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mc:AlternateContent xmlns:mc="http://schemas.openxmlformats.org/markup-compatibility/2006">
    <mc:Choice Requires="x15">
      <x15ac:absPath xmlns:x15ac="http://schemas.microsoft.com/office/spreadsheetml/2010/11/ac" url="C:\Users\aglickso\Desktop\temp\transportation\"/>
    </mc:Choice>
  </mc:AlternateContent>
  <xr:revisionPtr revIDLastSave="0" documentId="13_ncr:1_{E6FA6F66-837F-4B01-ABBD-65FD43025D24}" xr6:coauthVersionLast="45" xr6:coauthVersionMax="45" xr10:uidLastSave="{00000000-0000-0000-0000-000000000000}"/>
  <bookViews>
    <workbookView xWindow="-108" yWindow="-108" windowWidth="23256" windowHeight="12576" xr2:uid="{00000000-000D-0000-FFFF-FFFF00000000}"/>
  </bookViews>
  <sheets>
    <sheet name="Variables" sheetId="1" r:id="rId1"/>
    <sheet name="Value Lookup" sheetId="2" r:id="rId2"/>
    <sheet name="Tables" sheetId="3" r:id="rId3"/>
    <sheet name="Weights" sheetId="4" r:id="rId4"/>
    <sheet name="Frequencies" sheetId="5" r:id="rId5"/>
  </sheets>
  <definedNames>
    <definedName name="_xlnm._FilterDatabase" localSheetId="0" hidden="1">Variables!$A$1:$L$404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04" i="1" l="1"/>
  <c r="E404" i="1"/>
  <c r="F403" i="1"/>
  <c r="E403" i="1"/>
  <c r="F402" i="1"/>
  <c r="E402" i="1"/>
  <c r="F401" i="1"/>
  <c r="E401" i="1"/>
  <c r="F400" i="1"/>
  <c r="E400" i="1"/>
  <c r="F399" i="1"/>
  <c r="E399" i="1"/>
  <c r="F398" i="1"/>
  <c r="E398" i="1"/>
  <c r="F397" i="1"/>
  <c r="E397" i="1"/>
  <c r="F396" i="1"/>
  <c r="E396" i="1"/>
  <c r="F395" i="1"/>
  <c r="E395" i="1"/>
  <c r="F394" i="1"/>
  <c r="E394" i="1"/>
  <c r="F393" i="1"/>
  <c r="E393" i="1"/>
  <c r="F392" i="1"/>
  <c r="E392" i="1"/>
  <c r="F391" i="1"/>
  <c r="E391" i="1"/>
  <c r="F390" i="1"/>
  <c r="E390" i="1"/>
  <c r="F389" i="1"/>
  <c r="E389" i="1"/>
  <c r="F388" i="1"/>
  <c r="E388" i="1"/>
  <c r="F387" i="1"/>
  <c r="E387" i="1"/>
  <c r="F386" i="1"/>
  <c r="E386" i="1"/>
  <c r="F385" i="1"/>
  <c r="E385" i="1"/>
  <c r="F384" i="1"/>
  <c r="E384" i="1"/>
  <c r="F383" i="1"/>
  <c r="E383" i="1"/>
  <c r="F382" i="1"/>
  <c r="E382" i="1"/>
  <c r="F381" i="1"/>
  <c r="E381" i="1"/>
  <c r="F380" i="1"/>
  <c r="E380" i="1"/>
  <c r="F379" i="1"/>
  <c r="E379" i="1"/>
  <c r="F378" i="1"/>
  <c r="E378" i="1"/>
  <c r="F377" i="1"/>
  <c r="E377" i="1"/>
  <c r="F376" i="1"/>
  <c r="E376" i="1"/>
  <c r="F375" i="1"/>
  <c r="E375" i="1"/>
  <c r="F374" i="1"/>
  <c r="E374" i="1"/>
  <c r="F373" i="1"/>
  <c r="E373" i="1"/>
  <c r="F372" i="1"/>
  <c r="E372" i="1"/>
  <c r="F371" i="1"/>
  <c r="E371" i="1"/>
  <c r="F370" i="1"/>
  <c r="E370" i="1"/>
  <c r="F369" i="1"/>
  <c r="E369" i="1"/>
  <c r="F368" i="1"/>
  <c r="E368" i="1"/>
  <c r="F367" i="1"/>
  <c r="E367" i="1"/>
  <c r="F366" i="1"/>
  <c r="E366" i="1"/>
  <c r="F365" i="1"/>
  <c r="E365" i="1"/>
  <c r="F364" i="1"/>
  <c r="E364" i="1"/>
  <c r="F363" i="1"/>
  <c r="E363" i="1"/>
  <c r="F362" i="1"/>
  <c r="E362" i="1"/>
  <c r="F361" i="1"/>
  <c r="E361" i="1"/>
  <c r="F360" i="1"/>
  <c r="E360" i="1"/>
  <c r="F359" i="1"/>
  <c r="E359" i="1"/>
  <c r="F358" i="1"/>
  <c r="E358" i="1"/>
  <c r="F357" i="1"/>
  <c r="E357" i="1"/>
  <c r="F356" i="1"/>
  <c r="E356" i="1"/>
  <c r="F355" i="1"/>
  <c r="E355" i="1"/>
  <c r="F354" i="1"/>
  <c r="E354" i="1"/>
  <c r="F353" i="1"/>
  <c r="E353" i="1"/>
  <c r="F352" i="1"/>
  <c r="E352" i="1"/>
  <c r="F351" i="1"/>
  <c r="E351" i="1"/>
  <c r="F350" i="1"/>
  <c r="E350" i="1"/>
  <c r="F349" i="1"/>
  <c r="E349" i="1"/>
  <c r="F348" i="1"/>
  <c r="E348" i="1"/>
  <c r="F347" i="1"/>
  <c r="E347" i="1"/>
  <c r="F346" i="1"/>
  <c r="E346" i="1"/>
  <c r="F345" i="1"/>
  <c r="E345" i="1"/>
  <c r="F344" i="1"/>
  <c r="E344" i="1"/>
  <c r="F343" i="1"/>
  <c r="E343" i="1"/>
  <c r="F342" i="1"/>
  <c r="E342" i="1"/>
  <c r="F341" i="1"/>
  <c r="E341" i="1"/>
  <c r="F340" i="1"/>
  <c r="E340" i="1"/>
  <c r="F339" i="1"/>
  <c r="E339" i="1"/>
  <c r="F338" i="1"/>
  <c r="E338" i="1"/>
  <c r="F337" i="1"/>
  <c r="E337" i="1"/>
  <c r="F336" i="1"/>
  <c r="E336" i="1"/>
  <c r="F335" i="1"/>
  <c r="E335" i="1"/>
  <c r="F334" i="1"/>
  <c r="E334" i="1"/>
  <c r="F333" i="1"/>
  <c r="E333" i="1"/>
  <c r="F332" i="1"/>
  <c r="E332" i="1"/>
  <c r="F331" i="1"/>
  <c r="E331" i="1"/>
  <c r="F330" i="1"/>
  <c r="E330" i="1"/>
  <c r="F329" i="1"/>
  <c r="E329" i="1"/>
  <c r="F328" i="1"/>
  <c r="E328" i="1"/>
  <c r="F327" i="1"/>
  <c r="E327" i="1"/>
  <c r="F326" i="1"/>
  <c r="E326" i="1"/>
  <c r="F325" i="1"/>
  <c r="E325" i="1"/>
  <c r="F324" i="1"/>
  <c r="E324" i="1"/>
  <c r="F323" i="1"/>
  <c r="E323" i="1"/>
  <c r="F322" i="1"/>
  <c r="E322" i="1"/>
  <c r="F321" i="1"/>
  <c r="E321" i="1"/>
  <c r="F320" i="1"/>
  <c r="E320" i="1"/>
  <c r="F319" i="1"/>
  <c r="E319" i="1"/>
  <c r="F318" i="1"/>
  <c r="E318" i="1"/>
  <c r="F317" i="1"/>
  <c r="E317" i="1"/>
  <c r="F316" i="1"/>
  <c r="E316" i="1"/>
  <c r="F315" i="1"/>
  <c r="E315" i="1"/>
  <c r="F314" i="1"/>
  <c r="E314" i="1"/>
  <c r="F313" i="1"/>
  <c r="E313" i="1"/>
  <c r="F312" i="1"/>
  <c r="E312" i="1"/>
  <c r="F311" i="1"/>
  <c r="E311" i="1"/>
  <c r="F310" i="1"/>
  <c r="E310" i="1"/>
  <c r="F309" i="1"/>
  <c r="E309" i="1"/>
  <c r="F308" i="1"/>
  <c r="E308" i="1"/>
  <c r="F307" i="1"/>
  <c r="E307" i="1"/>
  <c r="F306" i="1"/>
  <c r="E306" i="1"/>
  <c r="F305" i="1"/>
  <c r="E305" i="1"/>
  <c r="F304" i="1"/>
  <c r="E304" i="1"/>
  <c r="F303" i="1"/>
  <c r="E303" i="1"/>
  <c r="F302" i="1"/>
  <c r="E302" i="1"/>
  <c r="F301" i="1"/>
  <c r="E301" i="1"/>
  <c r="F300" i="1"/>
  <c r="E300" i="1"/>
  <c r="F299" i="1"/>
  <c r="E299" i="1"/>
  <c r="F298" i="1"/>
  <c r="E298" i="1"/>
  <c r="F297" i="1"/>
  <c r="E297" i="1"/>
  <c r="F296" i="1"/>
  <c r="E296" i="1"/>
  <c r="F295" i="1"/>
  <c r="E295" i="1"/>
  <c r="F294" i="1"/>
  <c r="E294" i="1"/>
  <c r="F293" i="1"/>
  <c r="E293" i="1"/>
  <c r="F292" i="1"/>
  <c r="E292" i="1"/>
  <c r="F291" i="1"/>
  <c r="E291" i="1"/>
  <c r="F290" i="1"/>
  <c r="E290" i="1"/>
  <c r="F289" i="1"/>
  <c r="E289" i="1"/>
  <c r="F288" i="1"/>
  <c r="E288" i="1"/>
  <c r="F287" i="1"/>
  <c r="E287" i="1"/>
  <c r="F286" i="1"/>
  <c r="E286" i="1"/>
  <c r="F285" i="1"/>
  <c r="E285" i="1"/>
  <c r="F284" i="1"/>
  <c r="E284" i="1"/>
  <c r="F283" i="1"/>
  <c r="E283" i="1"/>
  <c r="F282" i="1"/>
  <c r="E282" i="1"/>
  <c r="F281" i="1"/>
  <c r="E281" i="1"/>
  <c r="F280" i="1"/>
  <c r="E280" i="1"/>
  <c r="F279" i="1"/>
  <c r="E279" i="1"/>
  <c r="F278" i="1"/>
  <c r="E278" i="1"/>
  <c r="F277" i="1"/>
  <c r="E277" i="1"/>
  <c r="F276" i="1"/>
  <c r="E276" i="1"/>
  <c r="F275" i="1"/>
  <c r="E275" i="1"/>
  <c r="F274" i="1"/>
  <c r="E274" i="1"/>
  <c r="F273" i="1"/>
  <c r="E273" i="1"/>
  <c r="F272" i="1"/>
  <c r="E272" i="1"/>
  <c r="F271" i="1"/>
  <c r="E271" i="1"/>
  <c r="F270" i="1"/>
  <c r="E270" i="1"/>
  <c r="F269" i="1"/>
  <c r="E269" i="1"/>
  <c r="F268" i="1"/>
  <c r="E268" i="1"/>
  <c r="F267" i="1"/>
  <c r="E267" i="1"/>
  <c r="F266" i="1"/>
  <c r="E266" i="1"/>
  <c r="F265" i="1"/>
  <c r="E265" i="1"/>
  <c r="F264" i="1"/>
  <c r="E264" i="1"/>
  <c r="F263" i="1"/>
  <c r="E263" i="1"/>
  <c r="F262" i="1"/>
  <c r="E262" i="1"/>
  <c r="F261" i="1"/>
  <c r="E261" i="1"/>
  <c r="F260" i="1"/>
  <c r="E260" i="1"/>
  <c r="F259" i="1"/>
  <c r="E259" i="1"/>
  <c r="F258" i="1"/>
  <c r="E258" i="1"/>
  <c r="F257" i="1"/>
  <c r="E257" i="1"/>
  <c r="F256" i="1"/>
  <c r="E256" i="1"/>
  <c r="F255" i="1"/>
  <c r="E255" i="1"/>
  <c r="F254" i="1"/>
  <c r="E254" i="1"/>
  <c r="F253" i="1"/>
  <c r="E253" i="1"/>
  <c r="F252" i="1"/>
  <c r="E252" i="1"/>
  <c r="F251" i="1"/>
  <c r="E251" i="1"/>
  <c r="F250" i="1"/>
  <c r="E250" i="1"/>
  <c r="F249" i="1"/>
  <c r="E249" i="1"/>
  <c r="F248" i="1"/>
  <c r="E248" i="1"/>
  <c r="F247" i="1"/>
  <c r="E247" i="1"/>
  <c r="F246" i="1"/>
  <c r="E246" i="1"/>
  <c r="F245" i="1"/>
  <c r="E245" i="1"/>
  <c r="F244" i="1"/>
  <c r="E244" i="1"/>
  <c r="F243" i="1"/>
  <c r="E243" i="1"/>
  <c r="F242" i="1"/>
  <c r="E242" i="1"/>
  <c r="F241" i="1"/>
  <c r="E241" i="1"/>
  <c r="F240" i="1"/>
  <c r="E240" i="1"/>
  <c r="F239" i="1"/>
  <c r="E239" i="1"/>
  <c r="F238" i="1"/>
  <c r="E238" i="1"/>
  <c r="F237" i="1"/>
  <c r="E237" i="1"/>
  <c r="F236" i="1"/>
  <c r="E236" i="1"/>
  <c r="F235" i="1"/>
  <c r="E235"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8" i="1"/>
  <c r="E218" i="1"/>
  <c r="F217" i="1"/>
  <c r="E217" i="1"/>
  <c r="F216" i="1"/>
  <c r="E216" i="1"/>
  <c r="F215" i="1"/>
  <c r="E215" i="1"/>
  <c r="F214" i="1"/>
  <c r="E214" i="1"/>
  <c r="F213" i="1"/>
  <c r="E213" i="1"/>
  <c r="F212" i="1"/>
  <c r="E212" i="1"/>
  <c r="F211" i="1"/>
  <c r="E211" i="1"/>
  <c r="F210" i="1"/>
  <c r="E210" i="1"/>
  <c r="F209" i="1"/>
  <c r="E209" i="1"/>
  <c r="F208" i="1"/>
  <c r="E208" i="1"/>
  <c r="F207" i="1"/>
  <c r="E207" i="1"/>
  <c r="F206" i="1"/>
  <c r="E206" i="1"/>
  <c r="F205" i="1"/>
  <c r="E205" i="1"/>
  <c r="F204" i="1"/>
  <c r="E204"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F12" i="1"/>
  <c r="E12" i="1"/>
  <c r="F11" i="1"/>
  <c r="E11" i="1"/>
  <c r="F10" i="1"/>
  <c r="E10" i="1"/>
  <c r="F9" i="1"/>
  <c r="E9" i="1"/>
  <c r="F8" i="1"/>
  <c r="E8" i="1"/>
  <c r="F7" i="1"/>
  <c r="E7" i="1"/>
  <c r="F6" i="1"/>
  <c r="E6" i="1"/>
  <c r="F5" i="1"/>
  <c r="E5" i="1"/>
  <c r="F4" i="1"/>
  <c r="E4" i="1"/>
  <c r="F3" i="1"/>
  <c r="E3" i="1"/>
  <c r="F2" i="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400-000001000000}">
      <text>
        <r>
          <rPr>
            <sz val="9"/>
            <color rgb="FF000000"/>
            <rFont val="Calibri"/>
          </rPr>
          <t>HOUSEID {not displaying table with 7,075 unique values}</t>
        </r>
      </text>
    </comment>
    <comment ref="A6" authorId="0" shapeId="0" xr:uid="{00000000-0006-0000-0400-000002000000}">
      <text>
        <r>
          <rPr>
            <sz val="9"/>
            <color rgb="FF000000"/>
            <rFont val="Calibri"/>
          </rPr>
          <t>TDAYDAT2 {not displaying table with 253 unique values}</t>
        </r>
      </text>
    </comment>
    <comment ref="A905" authorId="0" shapeId="0" xr:uid="{00000000-0006-0000-0400-000003000000}">
      <text>
        <r>
          <rPr>
            <sz val="9"/>
            <color rgb="FF000000"/>
            <rFont val="Calibri"/>
          </rPr>
          <t>HBHTNRNT17 {not displaying table with 3,034 unique values}</t>
        </r>
      </text>
    </comment>
    <comment ref="A908" authorId="0" shapeId="0" xr:uid="{00000000-0006-0000-0400-000004000000}">
      <text>
        <r>
          <rPr>
            <sz val="9"/>
            <color rgb="FF000000"/>
            <rFont val="Calibri"/>
          </rPr>
          <t>HBPPOPDN17 {not displaying table with 3,180 unique values}</t>
        </r>
      </text>
    </comment>
    <comment ref="A911" authorId="0" shapeId="0" xr:uid="{00000000-0006-0000-0400-000005000000}">
      <text>
        <r>
          <rPr>
            <sz val="9"/>
            <color rgb="FF000000"/>
            <rFont val="Calibri"/>
          </rPr>
          <t>HBRESDN17 {not displaying table with 3,180 unique values}</t>
        </r>
      </text>
    </comment>
    <comment ref="A914" authorId="0" shapeId="0" xr:uid="{00000000-0006-0000-0400-000006000000}">
      <text>
        <r>
          <rPr>
            <sz val="9"/>
            <color rgb="FF000000"/>
            <rFont val="Calibri"/>
          </rPr>
          <t>HTEEMPDN17 {not displaying table with 1,667 unique values}</t>
        </r>
      </text>
    </comment>
    <comment ref="A917" authorId="0" shapeId="0" xr:uid="{00000000-0006-0000-0400-000007000000}">
      <text>
        <r>
          <rPr>
            <sz val="9"/>
            <color rgb="FF000000"/>
            <rFont val="Calibri"/>
          </rPr>
          <t>HTHTNRNT17 {not displaying table with 1,660 unique values}</t>
        </r>
      </text>
    </comment>
    <comment ref="A920" authorId="0" shapeId="0" xr:uid="{00000000-0006-0000-0400-000008000000}">
      <text>
        <r>
          <rPr>
            <sz val="9"/>
            <color rgb="FF000000"/>
            <rFont val="Calibri"/>
          </rPr>
          <t>HTPPOPDN17 {not displaying table with 1,667 unique values}</t>
        </r>
      </text>
    </comment>
    <comment ref="A923" authorId="0" shapeId="0" xr:uid="{00000000-0006-0000-0400-000009000000}">
      <text>
        <r>
          <rPr>
            <sz val="9"/>
            <color rgb="FF000000"/>
            <rFont val="Calibri"/>
          </rPr>
          <t>HTRESDN17 {not displaying table with 1,667 unique values}</t>
        </r>
      </text>
    </comment>
    <comment ref="A951" authorId="0" shapeId="0" xr:uid="{00000000-0006-0000-0400-00000A000000}">
      <text>
        <r>
          <rPr>
            <sz val="9"/>
            <color rgb="FF000000"/>
            <rFont val="Calibri"/>
          </rPr>
          <t>HOUSEID {not displaying table with 7,075 unique values}</t>
        </r>
      </text>
    </comment>
    <comment ref="A967" authorId="0" shapeId="0" xr:uid="{00000000-0006-0000-0400-00000B000000}">
      <text>
        <r>
          <rPr>
            <sz val="9"/>
            <color rgb="FF000000"/>
            <rFont val="Calibri"/>
          </rPr>
          <t>PERINDT2 {not displaying table with 373 unique values}</t>
        </r>
      </text>
    </comment>
    <comment ref="A1869" authorId="0" shapeId="0" xr:uid="{00000000-0006-0000-0400-00000C000000}">
      <text>
        <r>
          <rPr>
            <sz val="9"/>
            <color rgb="FF000000"/>
            <rFont val="Calibri"/>
          </rPr>
          <t>WRKTIME {not displaying table with 274 unique values}</t>
        </r>
      </text>
    </comment>
    <comment ref="A2286" authorId="0" shapeId="0" xr:uid="{00000000-0006-0000-0400-00000D000000}">
      <text>
        <r>
          <rPr>
            <sz val="9"/>
            <color rgb="FF000000"/>
            <rFont val="Calibri"/>
          </rPr>
          <t>YEARMILE {not displaying table with 385 unique values}</t>
        </r>
      </text>
    </comment>
    <comment ref="A2794" authorId="0" shapeId="0" xr:uid="{00000000-0006-0000-0400-00000E000000}">
      <text>
        <r>
          <rPr>
            <sz val="9"/>
            <color rgb="FF000000"/>
            <rFont val="Calibri"/>
          </rPr>
          <t>GCDWORK {not displaying table with 2,351 unique values}</t>
        </r>
      </text>
    </comment>
    <comment ref="A2896" authorId="0" shapeId="0" xr:uid="{00000000-0006-0000-0400-00000F000000}">
      <text>
        <r>
          <rPr>
            <sz val="9"/>
            <color rgb="FF000000"/>
            <rFont val="Calibri"/>
          </rPr>
          <t>DISTTOWK17 {not displaying table with 2,722 unique values}</t>
        </r>
      </text>
    </comment>
    <comment ref="A2901" authorId="0" shapeId="0" xr:uid="{00000000-0006-0000-0400-000010000000}">
      <text>
        <r>
          <rPr>
            <sz val="9"/>
            <color rgb="FF000000"/>
            <rFont val="Calibri"/>
          </rPr>
          <t>DISTTOSC17 {not displaying table with 836 unique values}</t>
        </r>
      </text>
    </comment>
    <comment ref="A3041" authorId="0" shapeId="0" xr:uid="{00000000-0006-0000-0400-000011000000}">
      <text>
        <r>
          <rPr>
            <sz val="9"/>
            <color rgb="FF000000"/>
            <rFont val="Calibri"/>
          </rPr>
          <t>HOUSEID {not displaying table with 6,705 unique values}</t>
        </r>
      </text>
    </comment>
    <comment ref="A3292" authorId="0" shapeId="0" xr:uid="{00000000-0006-0000-0400-000012000000}">
      <text>
        <r>
          <rPr>
            <sz val="9"/>
            <color rgb="FF000000"/>
            <rFont val="Calibri"/>
          </rPr>
          <t>MODEL {not displaying table with 695 unique values}</t>
        </r>
      </text>
    </comment>
    <comment ref="A3364" authorId="0" shapeId="0" xr:uid="{00000000-0006-0000-0400-000013000000}">
      <text>
        <r>
          <rPr>
            <sz val="9"/>
            <color rgb="FF000000"/>
            <rFont val="Calibri"/>
          </rPr>
          <t>OD_READ {not displaying table with 6,930 unique values}</t>
        </r>
      </text>
    </comment>
    <comment ref="A3371" authorId="0" shapeId="0" xr:uid="{00000000-0006-0000-0400-000014000000}">
      <text>
        <r>
          <rPr>
            <sz val="9"/>
            <color rgb="FF000000"/>
            <rFont val="Calibri"/>
          </rPr>
          <t>OD_DATE {not displaying table with 379 unique values}</t>
        </r>
      </text>
    </comment>
    <comment ref="A3474" authorId="0" shapeId="0" xr:uid="{00000000-0006-0000-0400-000015000000}">
      <text>
        <r>
          <rPr>
            <sz val="9"/>
            <color rgb="FF000000"/>
            <rFont val="Calibri"/>
          </rPr>
          <t>VEHMILES {not displaying table with 445 unique values}</t>
        </r>
      </text>
    </comment>
    <comment ref="A3518" authorId="0" shapeId="0" xr:uid="{00000000-0006-0000-0400-000016000000}">
      <text>
        <r>
          <rPr>
            <sz val="9"/>
            <color rgb="FF000000"/>
            <rFont val="Calibri"/>
          </rPr>
          <t>ESTMILES {not displaying table with 395 unique values}</t>
        </r>
      </text>
    </comment>
    <comment ref="A3541" authorId="0" shapeId="0" xr:uid="{00000000-0006-0000-0400-000017000000}">
      <text>
        <r>
          <rPr>
            <sz val="9"/>
            <color rgb="FF000000"/>
            <rFont val="Calibri"/>
          </rPr>
          <t>ANNMILES {not displaying table with 823 unique values}</t>
        </r>
      </text>
    </comment>
    <comment ref="A3552" authorId="0" shapeId="0" xr:uid="{00000000-0006-0000-0400-000018000000}">
      <text>
        <r>
          <rPr>
            <sz val="9"/>
            <color rgb="FF000000"/>
            <rFont val="Calibri"/>
          </rPr>
          <t>HOUSEID {not displaying table with 6,515 unique values}</t>
        </r>
      </text>
    </comment>
    <comment ref="A3693" authorId="0" shapeId="0" xr:uid="{00000000-0006-0000-0400-000019000000}">
      <text>
        <r>
          <rPr>
            <sz val="9"/>
            <color rgb="FF000000"/>
            <rFont val="Calibri"/>
          </rPr>
          <t>STRTTIME {not displaying table with 1,166 unique values}</t>
        </r>
      </text>
    </comment>
    <comment ref="A3696" authorId="0" shapeId="0" xr:uid="{00000000-0006-0000-0400-00001A000000}">
      <text>
        <r>
          <rPr>
            <sz val="9"/>
            <color rgb="FF000000"/>
            <rFont val="Calibri"/>
          </rPr>
          <t>ENDTIME {not displaying table with 1,214 unique values}</t>
        </r>
      </text>
    </comment>
    <comment ref="A3699" authorId="0" shapeId="0" xr:uid="{00000000-0006-0000-0400-00001B000000}">
      <text>
        <r>
          <rPr>
            <sz val="9"/>
            <color rgb="FF000000"/>
            <rFont val="Calibri"/>
          </rPr>
          <t>STRTTIME17 {not displaying table with 28,574 unique values}</t>
        </r>
      </text>
    </comment>
    <comment ref="A3702" authorId="0" shapeId="0" xr:uid="{00000000-0006-0000-0400-00001C000000}">
      <text>
        <r>
          <rPr>
            <sz val="9"/>
            <color rgb="FF000000"/>
            <rFont val="Calibri"/>
          </rPr>
          <t>ENDTIME17 {not displaying table with 31,711 unique values}</t>
        </r>
      </text>
    </comment>
    <comment ref="A3871" authorId="0" shapeId="0" xr:uid="{00000000-0006-0000-0400-00001D000000}">
      <text>
        <r>
          <rPr>
            <sz val="9"/>
            <color rgb="FF000000"/>
            <rFont val="Calibri"/>
          </rPr>
          <t>TRVLCMIN {not displaying table with 250 unique values}</t>
        </r>
      </text>
    </comment>
    <comment ref="A3875" authorId="0" shapeId="0" xr:uid="{00000000-0006-0000-0400-00001E000000}">
      <text>
        <r>
          <rPr>
            <sz val="9"/>
            <color rgb="FF000000"/>
            <rFont val="Calibri"/>
          </rPr>
          <t>TRPMILES17 {not displaying table with 16,755 unique values}</t>
        </r>
      </text>
    </comment>
    <comment ref="A3878" authorId="0" shapeId="0" xr:uid="{00000000-0006-0000-0400-00001F000000}">
      <text>
        <r>
          <rPr>
            <sz val="9"/>
            <color rgb="FF000000"/>
            <rFont val="Calibri"/>
          </rPr>
          <t>TRPMILES {not displaying table with 16,774 unique values}</t>
        </r>
      </text>
    </comment>
    <comment ref="A3882" authorId="0" shapeId="0" xr:uid="{00000000-0006-0000-0400-000020000000}">
      <text>
        <r>
          <rPr>
            <sz val="9"/>
            <color rgb="FF000000"/>
            <rFont val="Calibri"/>
          </rPr>
          <t>WKBK_DIST {not displaying table with 151 unique values}</t>
        </r>
      </text>
    </comment>
    <comment ref="A4374" authorId="0" shapeId="0" xr:uid="{00000000-0006-0000-0400-000021000000}">
      <text>
        <r>
          <rPr>
            <sz val="9"/>
            <color rgb="FF000000"/>
            <rFont val="Calibri"/>
          </rPr>
          <t>DWELTIME {not displaying table with 759 unique values}</t>
        </r>
      </text>
    </comment>
    <comment ref="A4383" authorId="0" shapeId="0" xr:uid="{00000000-0006-0000-0400-000022000000}">
      <text>
        <r>
          <rPr>
            <sz val="9"/>
            <color rgb="FF000000"/>
            <rFont val="Calibri"/>
          </rPr>
          <t>VMT_MILE {not displaying table with 15,380 unique values}</t>
        </r>
      </text>
    </comment>
    <comment ref="A4387" authorId="0" shapeId="0" xr:uid="{00000000-0006-0000-0400-000023000000}">
      <text>
        <r>
          <rPr>
            <sz val="9"/>
            <color rgb="FF000000"/>
            <rFont val="Calibri"/>
          </rPr>
          <t>VMT_MILE17 {not displaying table with 15,358 unique values}</t>
        </r>
      </text>
    </comment>
    <comment ref="A4782" authorId="0" shapeId="0" xr:uid="{00000000-0006-0000-0400-000024000000}">
      <text>
        <r>
          <rPr>
            <sz val="9"/>
            <color rgb="FF000000"/>
            <rFont val="Calibri"/>
          </rPr>
          <t>TDCASEID {not displaying table with 50,317 unique values}</t>
        </r>
      </text>
    </comment>
    <comment ref="A4786" authorId="0" shapeId="0" xr:uid="{00000000-0006-0000-0400-000025000000}">
      <text>
        <r>
          <rPr>
            <sz val="9"/>
            <color rgb="FF000000"/>
            <rFont val="Calibri"/>
          </rPr>
          <t>HOUSEID {not displaying table with 7,075 unique values}</t>
        </r>
      </text>
    </comment>
    <comment ref="A4852" authorId="0" shapeId="0" xr:uid="{00000000-0006-0000-0400-000026000000}">
      <text>
        <r>
          <rPr>
            <sz val="9"/>
            <color rgb="FF000000"/>
            <rFont val="Calibri"/>
          </rPr>
          <t>LONGITUDE {not displaying table with 27,631 unique values}</t>
        </r>
      </text>
    </comment>
    <comment ref="A4855" authorId="0" shapeId="0" xr:uid="{00000000-0006-0000-0400-000027000000}">
      <text>
        <r>
          <rPr>
            <sz val="9"/>
            <color rgb="FF000000"/>
            <rFont val="Calibri"/>
          </rPr>
          <t>LATITUDE {not displaying table with 27,595 unique values}</t>
        </r>
      </text>
    </comment>
    <comment ref="A4858" authorId="0" shapeId="0" xr:uid="{00000000-0006-0000-0400-000028000000}">
      <text>
        <r>
          <rPr>
            <sz val="9"/>
            <color rgb="FF000000"/>
            <rFont val="Calibri"/>
          </rPr>
          <t>LOCNAME {not displaying table with 13,973 unique values}</t>
        </r>
      </text>
    </comment>
    <comment ref="A4861" authorId="0" shapeId="0" xr:uid="{00000000-0006-0000-0400-000029000000}">
      <text>
        <r>
          <rPr>
            <sz val="9"/>
            <color rgb="FF000000"/>
            <rFont val="Calibri"/>
          </rPr>
          <t>STREETADDR {not displaying table with 25,542 unique values}</t>
        </r>
      </text>
    </comment>
    <comment ref="A4864" authorId="0" shapeId="0" xr:uid="{00000000-0006-0000-0400-00002A000000}">
      <text>
        <r>
          <rPr>
            <sz val="9"/>
            <color rgb="FF000000"/>
            <rFont val="Calibri"/>
          </rPr>
          <t>CITY {not displaying table with 977 unique values}</t>
        </r>
      </text>
    </comment>
    <comment ref="A4929" authorId="0" shapeId="0" xr:uid="{00000000-0006-0000-0400-00002B000000}">
      <text>
        <r>
          <rPr>
            <sz val="9"/>
            <color rgb="FF000000"/>
            <rFont val="Calibri"/>
          </rPr>
          <t>ZIP {not displaying table with 1,413 unique values}</t>
        </r>
      </text>
    </comment>
    <comment ref="A4951" authorId="0" shapeId="0" xr:uid="{00000000-0006-0000-0400-00002C000000}">
      <text>
        <r>
          <rPr>
            <sz val="9"/>
            <color rgb="FF000000"/>
            <rFont val="Calibri"/>
          </rPr>
          <t>FULLADDR {not displaying table with 25,726 unique values}</t>
        </r>
      </text>
    </comment>
    <comment ref="A4954" authorId="0" shapeId="0" xr:uid="{00000000-0006-0000-0400-00002D000000}">
      <text>
        <r>
          <rPr>
            <sz val="9"/>
            <color rgb="FF000000"/>
            <rFont val="Calibri"/>
          </rPr>
          <t>FULLFIPS {not displaying table with 5,603 unique values}</t>
        </r>
      </text>
    </comment>
    <comment ref="A5008" authorId="0" shapeId="0" xr:uid="{00000000-0006-0000-0400-00002E000000}">
      <text>
        <r>
          <rPr>
            <sz val="9"/>
            <color rgb="FF000000"/>
            <rFont val="Calibri"/>
          </rPr>
          <t>CNTYFIPS {not displaying table with 174 unique values}</t>
        </r>
      </text>
    </comment>
    <comment ref="A5012" authorId="0" shapeId="0" xr:uid="{00000000-0006-0000-0400-00002F000000}">
      <text>
        <r>
          <rPr>
            <sz val="9"/>
            <color rgb="FF000000"/>
            <rFont val="Calibri"/>
          </rPr>
          <t>TRACTFIPS {not displaying table with 1,749 unique values}</t>
        </r>
      </text>
    </comment>
    <comment ref="A5029" authorId="0" shapeId="0" xr:uid="{00000000-0006-0000-0400-000030000000}">
      <text>
        <r>
          <rPr>
            <sz val="9"/>
            <color rgb="FF000000"/>
            <rFont val="Calibri"/>
          </rPr>
          <t>CBSA {not displaying table with 219 unique values}</t>
        </r>
      </text>
    </comment>
  </commentList>
</comments>
</file>

<file path=xl/sharedStrings.xml><?xml version="1.0" encoding="utf-8"?>
<sst xmlns="http://schemas.openxmlformats.org/spreadsheetml/2006/main" count="32782" uniqueCount="6859">
  <si>
    <t>NAME</t>
  </si>
  <si>
    <t>LABEL</t>
  </si>
  <si>
    <t>QUESTION TEXT</t>
  </si>
  <si>
    <t>DATA TYPE</t>
  </si>
  <si>
    <t>VALUES</t>
  </si>
  <si>
    <t>FREQUENCIES</t>
  </si>
  <si>
    <t>TABLE:
HOUSEHOLD</t>
  </si>
  <si>
    <t>TABLE:
PERSON</t>
  </si>
  <si>
    <t>TABLE:
VEHICLE</t>
  </si>
  <si>
    <t>TABLE:
TRIP</t>
  </si>
  <si>
    <t>TABLE:
LOCATION</t>
  </si>
  <si>
    <t>ADDON SPONSOR(S)</t>
  </si>
  <si>
    <t>AGERANGE</t>
  </si>
  <si>
    <t>Age range</t>
  </si>
  <si>
    <t>[$NEXT_HHMEM_AAGE]Because we want to make sure to ask questions that are age appropriate, in which age group [$DO_YOU2] belong...</t>
  </si>
  <si>
    <t>TEXT</t>
  </si>
  <si>
    <t>ALT_1</t>
  </si>
  <si>
    <t>Alternative Mode of Transportation: Public Transportation</t>
  </si>
  <si>
    <t>If you were unable to use your household vehicle(s), which of the following options would be available to you to get you from place to place? 
Please SELECT ALL that apply.</t>
  </si>
  <si>
    <t>ALT_2</t>
  </si>
  <si>
    <t>Alternative Mode of Transportation: Passenger to Friend or Family Member</t>
  </si>
  <si>
    <t>ALT_3</t>
  </si>
  <si>
    <t>Alternative Mode of Transportation: Rental Car</t>
  </si>
  <si>
    <t>ALT_4</t>
  </si>
  <si>
    <t>Alternative Mode of Transportation: Bicycle</t>
  </si>
  <si>
    <t>ALT_5</t>
  </si>
  <si>
    <t>Alternative Mode of Transportation: Walk</t>
  </si>
  <si>
    <t>ALT_6</t>
  </si>
  <si>
    <t>Alternative Mode of Transportation: Taxi</t>
  </si>
  <si>
    <t>ALT_7</t>
  </si>
  <si>
    <t>Alternative Mode of Transportation: None</t>
  </si>
  <si>
    <t>ALT_DK</t>
  </si>
  <si>
    <t>Alternative Mode of Transportation: Does Not Know Answer</t>
  </si>
  <si>
    <t>ALT_O</t>
  </si>
  <si>
    <t>Alternative Mode of Transportation (Other)</t>
  </si>
  <si>
    <t>ALT_RF</t>
  </si>
  <si>
    <t>Alternative Mode of Transportation: Refused to Answer</t>
  </si>
  <si>
    <t>ALT_SE</t>
  </si>
  <si>
    <t>Alternative Mode of Transportation: Something Else</t>
  </si>
  <si>
    <t>ANNMILES</t>
  </si>
  <si>
    <t>Self-reported annualized mile estimate</t>
  </si>
  <si>
    <t>NUMERIC</t>
  </si>
  <si>
    <t>AWAYHOME</t>
  </si>
  <si>
    <t>Reason respondent did not start their travel day with a home-based activity</t>
  </si>
  <si>
    <t>AWAYHOME17</t>
  </si>
  <si>
    <t>Reason respondent was not at their home location at the start of their travel day</t>
  </si>
  <si>
    <t>BIKE</t>
  </si>
  <si>
    <t>Frequency of Bicycle Use for Travel</t>
  </si>
  <si>
    <t>Bike</t>
  </si>
  <si>
    <t>BIKE2SAVE</t>
  </si>
  <si>
    <t>Bicycle to Reduce Financial Burden of Travel</t>
  </si>
  <si>
    <t>I bike to places to save money.</t>
  </si>
  <si>
    <t>BIKE4EX</t>
  </si>
  <si>
    <t>Count of Bike Trips for Exercise</t>
  </si>
  <si>
    <t>How many of these bicycle rides were strictly to exercise?</t>
  </si>
  <si>
    <t>BIKE_D</t>
  </si>
  <si>
    <t xml:space="preserve">Reason for Not Biking More: No nearby paths or trails </t>
  </si>
  <si>
    <t>Which of the following keeps you from biking more?
Please SELECT ALL that apply.</t>
  </si>
  <si>
    <t>BIKE_DK</t>
  </si>
  <si>
    <t>Reason for Not Biking More: Does not know answer</t>
  </si>
  <si>
    <t>BIKE_F</t>
  </si>
  <si>
    <t>Reason for Not Biking More: No sidewalks or sidewalks are in poor condition</t>
  </si>
  <si>
    <t>BIKE_G</t>
  </si>
  <si>
    <t xml:space="preserve">Reason for Not Biking More: Street crossings are unsafe </t>
  </si>
  <si>
    <t>BIKE_K</t>
  </si>
  <si>
    <t>Reason for Not Biking More: Heavy traffic with too many cars</t>
  </si>
  <si>
    <t>BIKE_P</t>
  </si>
  <si>
    <t>Reason for Not Biking More: Not enough lighting at night</t>
  </si>
  <si>
    <t>BIKE_R</t>
  </si>
  <si>
    <t>Reason for Not Biking More: No nearby parks</t>
  </si>
  <si>
    <t>BIKE_RF</t>
  </si>
  <si>
    <t>Reason for Not Biking More: Refused to answer</t>
  </si>
  <si>
    <t>BIKESHARE</t>
  </si>
  <si>
    <t>Count of Bike Share Program Usage</t>
  </si>
  <si>
    <t>Now we want you to think about the past 30 days.  In the past 30 days, how many times did [$YOU1] use a bike share program (e.g. Bikeshare, Zagster, or CycleHop)?</t>
  </si>
  <si>
    <t>BIKE_Z</t>
  </si>
  <si>
    <t>Reason for Not Biking More: None of the above</t>
  </si>
  <si>
    <t>BLOCKFIPS</t>
  </si>
  <si>
    <t>Census Block FIPS Code (2014 TIGER/Line)</t>
  </si>
  <si>
    <t>BORNINUS</t>
  </si>
  <si>
    <t>Born in United States</t>
  </si>
  <si>
    <t xml:space="preserve">[$WERE_YOU_CAP] born in the United States? </t>
  </si>
  <si>
    <t>BUS</t>
  </si>
  <si>
    <t>Frequency of Bus Use for Travel</t>
  </si>
  <si>
    <t>Bus</t>
  </si>
  <si>
    <t>CAR</t>
  </si>
  <si>
    <t>Frequency of Personal Vehicle Use for Travel</t>
  </si>
  <si>
    <t>Personal Vehicle (Car/Truck/SUV)</t>
  </si>
  <si>
    <t>CARRODE</t>
  </si>
  <si>
    <t>Count of People in Vehicle to Work</t>
  </si>
  <si>
    <t>How many people, including [$YOURSELF2], usually rode to work in the vehicle last week?</t>
  </si>
  <si>
    <t>CARSHARE</t>
  </si>
  <si>
    <t>Count of Care Share Program Usage</t>
  </si>
  <si>
    <t>In the past 30 days, how many times did [$YOU1] use a car sharing service where a car can be rented by the hour (e.g. Zipcar or Car2Go)?</t>
  </si>
  <si>
    <t>CBSA</t>
  </si>
  <si>
    <t>OMB Core Based Statistical Area</t>
  </si>
  <si>
    <t>CDIVMSAR</t>
  </si>
  <si>
    <t>Grouping of household by combination of census division, MSA status, and presence of a subway system when population greater than 1 million</t>
  </si>
  <si>
    <t>CENSUS_D</t>
  </si>
  <si>
    <t>2010 Census division classification for the respondent's home address</t>
  </si>
  <si>
    <t>CENSUS_R</t>
  </si>
  <si>
    <t>Census region classification for home address</t>
  </si>
  <si>
    <t>CITY</t>
  </si>
  <si>
    <t>City</t>
  </si>
  <si>
    <t>CNTTDHH</t>
  </si>
  <si>
    <t>Count of household trips on travel day</t>
  </si>
  <si>
    <t>CNTTDTR</t>
  </si>
  <si>
    <t>Count of person trips on travel day</t>
  </si>
  <si>
    <t>CNTYFIPS</t>
  </si>
  <si>
    <t>Census County FIPS Code (2014 TIGER/Line)</t>
  </si>
  <si>
    <t>CONDDK</t>
  </si>
  <si>
    <t>Does Not Know if Medical Condition Results in Reduced Day-to-Day Travel</t>
  </si>
  <si>
    <t>[$MEDCOND_RECALL]
Please SELECT ALL that apply.</t>
  </si>
  <si>
    <t>CONDNIGH</t>
  </si>
  <si>
    <t>Medical Condition Results in Limiting Driving to Daytime</t>
  </si>
  <si>
    <t>CONDNONE</t>
  </si>
  <si>
    <t>No Medical Condition Results in Reduced Day-to-Day Travel</t>
  </si>
  <si>
    <t>CONDPUB</t>
  </si>
  <si>
    <t>Medical Condition Results in Using Bus or Subway Less Frequently</t>
  </si>
  <si>
    <t>CONDRF</t>
  </si>
  <si>
    <t>Refused to Answer if Medical Condition Results in Reduced Day-to-Day Travel</t>
  </si>
  <si>
    <t>CONDRIDE</t>
  </si>
  <si>
    <t>Medical Condition Results in Asking Others for Rides</t>
  </si>
  <si>
    <t>CONDRIVE</t>
  </si>
  <si>
    <t>Medical Condition Results in Giving up Driving</t>
  </si>
  <si>
    <t>CONDSPEC</t>
  </si>
  <si>
    <t>Medical Condition Results in Using Special Transportation Services</t>
  </si>
  <si>
    <t>CONDTAX</t>
  </si>
  <si>
    <t>Medical Condition Results in Using a Reduced Fare Taxi</t>
  </si>
  <si>
    <t>CONDTRAV</t>
  </si>
  <si>
    <t>Medical Condition Results in Reduced Day-to-Day Travel</t>
  </si>
  <si>
    <t>COUNTRY</t>
  </si>
  <si>
    <t>Country</t>
  </si>
  <si>
    <t>CSA</t>
  </si>
  <si>
    <t>OMB Combined Statistical Area</t>
  </si>
  <si>
    <t>DELIVER</t>
  </si>
  <si>
    <t>Count of Times Purchased Online for Delivery in Last 30 Days</t>
  </si>
  <si>
    <t>Thank you for reporting [$YOUR2] travel details! Now we have a few more questions to help us understand why [$YOU_TRAVEL] the way [$YOU_THEY] do.
In the past 30 days, how many times did [$YOU1] purchase something online and have it delivered?</t>
  </si>
  <si>
    <t>DIARY</t>
  </si>
  <si>
    <t>Travel Diary completion status</t>
  </si>
  <si>
    <t>DIARYCMP</t>
  </si>
  <si>
    <t>Person Completed Log</t>
  </si>
  <si>
    <t>Now we are going to ask you about each of the places [$YOU1] went during [$YOUR_THEIR] travel day.  It will help you to have [$YOUR_THEIR] completed travel log with you as you complete this part of the survey.
[$CPLOG_RECALL]</t>
  </si>
  <si>
    <t>DIARYHAV</t>
  </si>
  <si>
    <t>Person Had Log During Survey</t>
  </si>
  <si>
    <t>Do you have [$YOUR2] completed travel log to refer to as you report [$YOUR_THEIR] travel?</t>
  </si>
  <si>
    <t>DIFFDATE</t>
  </si>
  <si>
    <t>Number of Days Between Travel Date and Survey Completion Date</t>
  </si>
  <si>
    <t>DISTTOSC17</t>
  </si>
  <si>
    <t>Road network distance, in miles, between respondent's home location and school location, sourced using Google Distance Matrix API (https://maps.googleapis.com/maps/api/distancematrix/)</t>
  </si>
  <si>
    <t>DISTTOWK17</t>
  </si>
  <si>
    <t>Road network distance, in miles, between respondent's home location and work location, sourced using Google Distance Matrix API (https://maps.googleapis.com/maps/api/distancematrix/)</t>
  </si>
  <si>
    <t>DRIVER</t>
  </si>
  <si>
    <t>Driver status, derived</t>
  </si>
  <si>
    <t>DROP_PRK</t>
  </si>
  <si>
    <t>Parked or Dropped Off at Station</t>
  </si>
  <si>
    <t>Did [$YOU1] park at the [$BUS_TRAIN] station or [$WERE_U_THEY] dropped off?</t>
  </si>
  <si>
    <t>DRVR</t>
  </si>
  <si>
    <t>Driver status</t>
  </si>
  <si>
    <t>[$DO_YOU_CAP] drive?</t>
  </si>
  <si>
    <t>DRVRCNT</t>
  </si>
  <si>
    <t>Number of drivers in household</t>
  </si>
  <si>
    <t>DRVR_FLG</t>
  </si>
  <si>
    <t>Respondent drove on trip</t>
  </si>
  <si>
    <t>DWELTIME</t>
  </si>
  <si>
    <t>Time at destination</t>
  </si>
  <si>
    <t>EDUC</t>
  </si>
  <si>
    <t>Educational Attainment</t>
  </si>
  <si>
    <t>What is the highest grade or degree that [$YOU_HAVE] earned?</t>
  </si>
  <si>
    <t>ENDAMPM</t>
  </si>
  <si>
    <t>Trip End Time: AM/PM</t>
  </si>
  <si>
    <t>What time did [$YOU1] arrive here?
You left the previous place [$LOCNAME] at [$LOCDEPTIME]</t>
  </si>
  <si>
    <t>ENDHOUR</t>
  </si>
  <si>
    <t>Trip End Time: Hour (1-12)</t>
  </si>
  <si>
    <t>ENDMINTE</t>
  </si>
  <si>
    <t>Trip End Time: Minute (0-59)</t>
  </si>
  <si>
    <t>ENDTIME</t>
  </si>
  <si>
    <t>Trip End Time (HHMM)</t>
  </si>
  <si>
    <t>ENDTIME17</t>
  </si>
  <si>
    <t>Trip End Time (ISO 8601 Date and Time)</t>
  </si>
  <si>
    <t>ESTMILE2</t>
  </si>
  <si>
    <t>Range of Estimated Miles Driven in Vehicle</t>
  </si>
  <si>
    <t>Would you say it was...</t>
  </si>
  <si>
    <t>ESTMILES</t>
  </si>
  <si>
    <t>Estimated Miles Driven in Vehicle</t>
  </si>
  <si>
    <t>About how many miles has this vehicle been driven by all drivers since [$YOU_HAVE2:R[$SELPERNO:C]] had it?</t>
  </si>
  <si>
    <t>FLAG100</t>
  </si>
  <si>
    <t>Whether all household members completed interview</t>
  </si>
  <si>
    <t>FLEXTIME</t>
  </si>
  <si>
    <t>Flex Time</t>
  </si>
  <si>
    <t>At [$YOUR_THEIR][$PRIMARY] job, [$DO_YOU] have the ability to set or change [$YOUR_THEIR] own start time?</t>
  </si>
  <si>
    <t>FRSTHM</t>
  </si>
  <si>
    <t>Travel day began with a home-based activity</t>
  </si>
  <si>
    <t>FRSTHM17</t>
  </si>
  <si>
    <t>Travel day began at home location</t>
  </si>
  <si>
    <t>FUELTYPE</t>
  </si>
  <si>
    <t>Fuel Type</t>
  </si>
  <si>
    <t xml:space="preserve">What type of fuel does it run on? </t>
  </si>
  <si>
    <t>FUELTYPE_O</t>
  </si>
  <si>
    <t>Fuel Type (Other)</t>
  </si>
  <si>
    <t xml:space="preserve">Please describe what type of fuel it runs on. </t>
  </si>
  <si>
    <t>FULLADDR</t>
  </si>
  <si>
    <t>Complete Address with Formatting</t>
  </si>
  <si>
    <t>FULLFIPS</t>
  </si>
  <si>
    <t>Census Block FIPS Code (Comprehensive) (2014 TIGER/Line)</t>
  </si>
  <si>
    <t>FUTURE</t>
  </si>
  <si>
    <t>Participate in Follow-Up Survey</t>
  </si>
  <si>
    <t>Would you be willing to participate in a follow-up survey?</t>
  </si>
  <si>
    <t>Arizona Department of Transportation
Maryland State Highway Administration
Des Moines Metropolitan Planning Organization
Georgia Department of Transportation
North Carolina Department of Transportation
North Central Texas Council of Governments
Texas Department of Transportation</t>
  </si>
  <si>
    <t>GASPRICE</t>
  </si>
  <si>
    <t>Price of gasoline, in cents, on respondent's travel day</t>
  </si>
  <si>
    <t>GCDWORK</t>
  </si>
  <si>
    <t>Minimum geodesic (Great Circle) distance between home location and work location in meters, using WGS84 coordinate system</t>
  </si>
  <si>
    <t>GT1JBLWK</t>
  </si>
  <si>
    <t>More than One Job</t>
  </si>
  <si>
    <t>[$DO_YOU_CAP2] have more than one job?  We mean more than one employer, not just multiple job sites.</t>
  </si>
  <si>
    <t>HBHTNRNT</t>
  </si>
  <si>
    <t>Category of the percent of renter-occupied housing in the census block group of the household's home location.</t>
  </si>
  <si>
    <t>HBHTNRNT17</t>
  </si>
  <si>
    <t>Percent of renter-occupied housing in the census block group of the household's home location.</t>
  </si>
  <si>
    <t>HBPPOPDN</t>
  </si>
  <si>
    <t>Category of population density (persons per square mile) in the census block group of the household's home location.</t>
  </si>
  <si>
    <t>HBPPOPDN17</t>
  </si>
  <si>
    <t>Population density (persons per square mile) in the census block group of the household's home location.</t>
  </si>
  <si>
    <t>HBRESDN</t>
  </si>
  <si>
    <t>Category of housing units per square mile in the census block group of the household's home location.</t>
  </si>
  <si>
    <t>HBRESDN17</t>
  </si>
  <si>
    <t>Housing units per square mile in the census block group of the household's home location.</t>
  </si>
  <si>
    <t>HEALTH</t>
  </si>
  <si>
    <t>Opinion of Health</t>
  </si>
  <si>
    <t>Would you say that in general [$YOUR2] health is...</t>
  </si>
  <si>
    <t>HFUEL</t>
  </si>
  <si>
    <t>Type of Hybrid Vehicle</t>
  </si>
  <si>
    <t>What type of vehicle is it?</t>
  </si>
  <si>
    <t>HFUEL_O</t>
  </si>
  <si>
    <t>Type of Hybrid Vehicle (Other)</t>
  </si>
  <si>
    <t xml:space="preserve">Please describe the type of hybrid vehicle it is? </t>
  </si>
  <si>
    <t>HH_CBSA</t>
  </si>
  <si>
    <t>Core Based Statistical Area (CBSA) FIPS code for the respondent's home address</t>
  </si>
  <si>
    <t>HHFAMINC</t>
  </si>
  <si>
    <t>Household income</t>
  </si>
  <si>
    <t>Please identify which category represents your total household income, before taxes, for last year.</t>
  </si>
  <si>
    <t>HH_HISP</t>
  </si>
  <si>
    <t>Hispanic status of household respondent</t>
  </si>
  <si>
    <t>HHMEMDRV</t>
  </si>
  <si>
    <t>Household member drove on trip</t>
  </si>
  <si>
    <t>HH_ONTD</t>
  </si>
  <si>
    <t>Number of household members on trip including respondent</t>
  </si>
  <si>
    <t>HH_RACE</t>
  </si>
  <si>
    <t>Race of household respondent</t>
  </si>
  <si>
    <t>HHRELATD</t>
  </si>
  <si>
    <t>At least two household persons are related</t>
  </si>
  <si>
    <t>HHRESP</t>
  </si>
  <si>
    <t>Person identifier of household respondent</t>
  </si>
  <si>
    <t xml:space="preserve">First, we will start with some questions about your household. Please select your name from the drop down list below. 
The person providing this information needs to be an adult household member. 
</t>
  </si>
  <si>
    <t>HHSIZE</t>
  </si>
  <si>
    <t>Count of household members</t>
  </si>
  <si>
    <t>Including yourself, how many people live in your home?</t>
  </si>
  <si>
    <t>HHSTATE</t>
  </si>
  <si>
    <t>Household state</t>
  </si>
  <si>
    <t>HHSTFIPS</t>
  </si>
  <si>
    <t>State FIPS for household address</t>
  </si>
  <si>
    <t>HHVEHCNT</t>
  </si>
  <si>
    <t>Count of household vehicles</t>
  </si>
  <si>
    <t>How many motor vehicles are owned, leased, or available for regular use by the people who currently live in your household?
Please be sure to include motorcycles, mopeds and RVs.</t>
  </si>
  <si>
    <t>HOMEOWN</t>
  </si>
  <si>
    <t>Home Ownership</t>
  </si>
  <si>
    <t>Do you own or rent your home?</t>
  </si>
  <si>
    <t>HOMEOWN_IMP</t>
  </si>
  <si>
    <t>Home Ownership (imputed)</t>
  </si>
  <si>
    <t>HOMEOWOS</t>
  </si>
  <si>
    <t>Home Ownership (Other)</t>
  </si>
  <si>
    <t>Please describe your arrangement.</t>
  </si>
  <si>
    <t>HOUSEID</t>
  </si>
  <si>
    <t>VEHICLE Table: Household Identifier
TRIP Table: Household Identifier
PERSON Table: Household Identifier
HOUSEHOLD Table: Household Identifier
LOCATION Table: Household Identifier</t>
  </si>
  <si>
    <t>HOWFRPOS</t>
  </si>
  <si>
    <t>Mode(s) Used from Transit to Trip Destination (Other)</t>
  </si>
  <si>
    <t xml:space="preserve">Please describe how [$YOU1] got from the [$MODETEXT] to [$LOCNAME]?   </t>
  </si>
  <si>
    <t>HOWPUBOS</t>
  </si>
  <si>
    <t>Mode(s) Used to Transit from Trip Origin (Other)</t>
  </si>
  <si>
    <t xml:space="preserve">How did [$YOU1] get to [$MODETEXT]? </t>
  </si>
  <si>
    <t>HTEEMPDN</t>
  </si>
  <si>
    <t>Category of workers per square mile in the census tract of the household's home location.</t>
  </si>
  <si>
    <t>HTEEMPDN17</t>
  </si>
  <si>
    <t>Workers per square mile in the census tract of the household's home location.</t>
  </si>
  <si>
    <t>HTHTNRNT</t>
  </si>
  <si>
    <t>Category of the percent of renter-occupied housing in the census tract of the household's home location.</t>
  </si>
  <si>
    <t>HTHTNRNT17</t>
  </si>
  <si>
    <t>Percent of renter-occupied housing in the census tract of the household's home location.</t>
  </si>
  <si>
    <t>HTPPOPDN</t>
  </si>
  <si>
    <t>Category of population density (persons per square mile) in the census tract of the household's home location.</t>
  </si>
  <si>
    <t>HTPPOPDN17</t>
  </si>
  <si>
    <t>Population density (persons per square mile) in the census tract of the household's home location.</t>
  </si>
  <si>
    <t>HTRESDN</t>
  </si>
  <si>
    <t>Category of housing units per square mile in the census tract of the household's home location.</t>
  </si>
  <si>
    <t>HTRESDN17</t>
  </si>
  <si>
    <t>Housing units per square mile in the census tract of the household's home location.</t>
  </si>
  <si>
    <t>HYBRID</t>
  </si>
  <si>
    <t>Hybrid vehicle</t>
  </si>
  <si>
    <t>JOBCATOS</t>
  </si>
  <si>
    <t>Job Category (Other)</t>
  </si>
  <si>
    <t>Please describe [$YOUR2_2] primary job.</t>
  </si>
  <si>
    <t>LANDLINE</t>
  </si>
  <si>
    <t>Landline Telephone Status</t>
  </si>
  <si>
    <t>Do you have a landline telephone?</t>
  </si>
  <si>
    <t>LANG</t>
  </si>
  <si>
    <t>Survey Language</t>
  </si>
  <si>
    <t>What language do you prefer?</t>
  </si>
  <si>
    <t>LATITUDE</t>
  </si>
  <si>
    <t>Latitude (WGS 84 / EPSG: 4326)</t>
  </si>
  <si>
    <t>LD_DIST</t>
  </si>
  <si>
    <t>Road network distance, in miles, between respondent's home location and geographical center of most frequently visited long distance city. Network distance and city's geographical center sourced using Google Distance Matrix API.</t>
  </si>
  <si>
    <t>LIF_CYC</t>
  </si>
  <si>
    <t>Life Cycle classification for the household, derived by attributes pertaining to age, relationship, and work status.</t>
  </si>
  <si>
    <t>LOCNAME</t>
  </si>
  <si>
    <t>Name of Location (Entered/Selected by Respondent)</t>
  </si>
  <si>
    <t/>
  </si>
  <si>
    <t>LOCNO</t>
  </si>
  <si>
    <t>LOCATION Table: Location Identifier
TRIP Table: Trip Destination Location Identifier</t>
  </si>
  <si>
    <t>LOCTYPE</t>
  </si>
  <si>
    <t>Type of Location</t>
  </si>
  <si>
    <t>LONGITUDE</t>
  </si>
  <si>
    <t>Longitude (WGS 84 / EPSG: 4326)</t>
  </si>
  <si>
    <t>LOOP_TRIP</t>
  </si>
  <si>
    <t>Trip origin and destination at identical location</t>
  </si>
  <si>
    <t>LPACT</t>
  </si>
  <si>
    <t>Count of Times of Light or Moderate Physical Activity in Past Week</t>
  </si>
  <si>
    <t>During a typical week how many times [$DO_YOU] do light or moderate physical activity for more than 30 minutes?</t>
  </si>
  <si>
    <t>LSTTRDAY17</t>
  </si>
  <si>
    <t>Last trip before travel day</t>
  </si>
  <si>
    <t>When was the last time [$YOU1] made a trip to another address before [$TRAVDATE]?</t>
  </si>
  <si>
    <t>MAKE</t>
  </si>
  <si>
    <t>Vehicle Make</t>
  </si>
  <si>
    <t xml:space="preserve">What is the make of this vehicle?
Click and type below to quickly find the make:
</t>
  </si>
  <si>
    <t>MAKE_O</t>
  </si>
  <si>
    <t>Vehicle Make (Other)</t>
  </si>
  <si>
    <t>Please describe the make of this vehicle.</t>
  </si>
  <si>
    <t>MCA8_OS</t>
  </si>
  <si>
    <t>Medical Device Used: Something Else</t>
  </si>
  <si>
    <t>[$DO_YOU_CAP] use any of the following? 
Please SELECT ALL that apply.</t>
  </si>
  <si>
    <t>MCA8_OTH</t>
  </si>
  <si>
    <t>Medical Device Used (Other)</t>
  </si>
  <si>
    <t>Please describe the device.</t>
  </si>
  <si>
    <t>MCUSED</t>
  </si>
  <si>
    <t>Count of Motorcycle or Moped Trips</t>
  </si>
  <si>
    <t>In the past 30 days, about how many times [$HAVE_YOU] driven a motorcycle or moped on public roadways?</t>
  </si>
  <si>
    <t>MEDCOND</t>
  </si>
  <si>
    <t>Medical Condition</t>
  </si>
  <si>
    <t>[$DO_YOU_CAP] have a condition or handicap that makes it difficult to travel outside of the home?</t>
  </si>
  <si>
    <t>MEDCOND6</t>
  </si>
  <si>
    <t>Medical Condition, How Long</t>
  </si>
  <si>
    <t>How long [$HAVE_YOU] had this condition?</t>
  </si>
  <si>
    <t>MODEL</t>
  </si>
  <si>
    <t>Vehicle Model</t>
  </si>
  <si>
    <t>What is the model of this vehicle?
Click and type below to quickly find the model:</t>
  </si>
  <si>
    <t>MODEL_O</t>
  </si>
  <si>
    <t>Vehicle Model (Other)</t>
  </si>
  <si>
    <t>Please describe the model of this vehicle.</t>
  </si>
  <si>
    <t>MSACAT</t>
  </si>
  <si>
    <t>Metropolitan Statistical Area (MSA) category for the household's home address, based on household's home geocode and TIGER/Line Shapefiles.</t>
  </si>
  <si>
    <t>MSASIZE</t>
  </si>
  <si>
    <t>Population size category of the Metropolitan Statistical Area (MSA), from the 2010-2014 five-year American Community Survey (ACS) API.</t>
  </si>
  <si>
    <t>NBIKETRP</t>
  </si>
  <si>
    <t>Count of Bike Trips</t>
  </si>
  <si>
    <t xml:space="preserve">In the past 7 days, how many times did [$YOU1] ride a bicycle outside including bicycling to go somewhere or for exercise?  </t>
  </si>
  <si>
    <t>NOCONG</t>
  </si>
  <si>
    <t>Trip Time in Minutes to Work without Traffic</t>
  </si>
  <si>
    <t>How many minutes would it take to drive to [$YOUR2] workplace if there was no traffic?</t>
  </si>
  <si>
    <t>NONHHCNT</t>
  </si>
  <si>
    <t>Number of non-household members on trip</t>
  </si>
  <si>
    <t>NUMADLT</t>
  </si>
  <si>
    <t>Count of adult household members at least 18 years old</t>
  </si>
  <si>
    <t>NUMONTRP</t>
  </si>
  <si>
    <t>Number of people on trip including respondent</t>
  </si>
  <si>
    <t>NUMTRANS</t>
  </si>
  <si>
    <t>Count of Transfers</t>
  </si>
  <si>
    <t>How many times during [$YOUR2] commute to [$LOCNAME] did [$YOU_THEY] transfer (bus to bus, train to bus, train to train, etc)?</t>
  </si>
  <si>
    <t>NWALKTRP</t>
  </si>
  <si>
    <t>Count of Walk Trips</t>
  </si>
  <si>
    <t xml:space="preserve">Now we are going to ask some general questions about [$YOUR2] usual travel activities.
In the past 7 days, how many times did [$YOU1] take a walk outside including walks to go somewhere, exercise or to walk the dog? </t>
  </si>
  <si>
    <t>OCCAT</t>
  </si>
  <si>
    <t>Job Category</t>
  </si>
  <si>
    <t>Which best describes [$YOUR2_2][$PRIMARY] job?</t>
  </si>
  <si>
    <t>OD_DATE</t>
  </si>
  <si>
    <t>Odometer Reading: Date</t>
  </si>
  <si>
    <t>When was the odometer reading taken?</t>
  </si>
  <si>
    <t>OD_DAY</t>
  </si>
  <si>
    <t>Odometer Reading: Day</t>
  </si>
  <si>
    <t>ODEVICE</t>
  </si>
  <si>
    <t>Frequency of Other Device Use to Access the Internet (Not Desktop or Laptop Computer, Smartphone, or Tablet)</t>
  </si>
  <si>
    <t>Other device, specify</t>
  </si>
  <si>
    <t>ODEVICE_O</t>
  </si>
  <si>
    <t>Other Device Used to Access the Internet (That is Not a Desktop or Laptop Computer, Smartphone, or Tablet)</t>
  </si>
  <si>
    <t>OD_MONTH</t>
  </si>
  <si>
    <t>Odometer Reading: Month</t>
  </si>
  <si>
    <t>OD_READ</t>
  </si>
  <si>
    <t>Odometer Reading</t>
  </si>
  <si>
    <t>How many miles does [$VEHYEARTEXT] [$MAKETEXT] [$MODELTEXT] have on it?</t>
  </si>
  <si>
    <t>OD_YEAR</t>
  </si>
  <si>
    <t>Odometer Reading: Year</t>
  </si>
  <si>
    <t>O_LOCNO</t>
  </si>
  <si>
    <t>Trip Origin Location Identifier</t>
  </si>
  <si>
    <t>ONTD_P1</t>
  </si>
  <si>
    <t>Household Person Identifier on Trip: 1</t>
  </si>
  <si>
    <t>ONTD_P10</t>
  </si>
  <si>
    <t>Household Person Identifier on Trip: 10</t>
  </si>
  <si>
    <t>ONTD_P11</t>
  </si>
  <si>
    <t>Household Person Identifier on Trip: 11</t>
  </si>
  <si>
    <t>ONTD_P12</t>
  </si>
  <si>
    <t>Household Person Identifier on Trip: 12</t>
  </si>
  <si>
    <t>ONTD_P13</t>
  </si>
  <si>
    <t>Household Person Identifier on Trip: 13</t>
  </si>
  <si>
    <t>ONTD_P14</t>
  </si>
  <si>
    <t>Household Person Identifier on Trip: 14</t>
  </si>
  <si>
    <t>ONTD_P15</t>
  </si>
  <si>
    <t>Household Person Identifier on Trip: 15</t>
  </si>
  <si>
    <t>ONTD_P2</t>
  </si>
  <si>
    <t>Household Person Identifier on Trip: 2</t>
  </si>
  <si>
    <t>ONTD_P3</t>
  </si>
  <si>
    <t>Household Person Identifier on Trip: 3</t>
  </si>
  <si>
    <t>ONTD_P4</t>
  </si>
  <si>
    <t>Household Person Identifier on Trip: 4</t>
  </si>
  <si>
    <t>ONTD_P5</t>
  </si>
  <si>
    <t>Household Person Identifier on Trip: 5</t>
  </si>
  <si>
    <t>ONTD_P6</t>
  </si>
  <si>
    <t>Household Person Identifier on Trip: 6</t>
  </si>
  <si>
    <t>ONTD_P7</t>
  </si>
  <si>
    <t>Household Person Identifier on Trip: 7</t>
  </si>
  <si>
    <t>ONTD_P8</t>
  </si>
  <si>
    <t>Household Person Identifier on Trip: 8</t>
  </si>
  <si>
    <t>ONTD_P9</t>
  </si>
  <si>
    <t>Household Person Identifier on Trip: 9</t>
  </si>
  <si>
    <t>OUTCNTRY</t>
  </si>
  <si>
    <t>Respondent was out of the country on travel day.</t>
  </si>
  <si>
    <t>OUTOFTWN</t>
  </si>
  <si>
    <t>Away from home for entire travel day</t>
  </si>
  <si>
    <t>PARA</t>
  </si>
  <si>
    <t>Frequency of Paratransit Use for Travel</t>
  </si>
  <si>
    <t>Paratransit</t>
  </si>
  <si>
    <t>PAYPROF</t>
  </si>
  <si>
    <t>Work for Pay in Previous Week</t>
  </si>
  <si>
    <t>Last week, did [$YOU2] do any work for either pay or profit?</t>
  </si>
  <si>
    <t>PC</t>
  </si>
  <si>
    <t>Frequency of Desktop or Laptop Computer Use to Access the Internet</t>
  </si>
  <si>
    <t>Desktop or laptop computer</t>
  </si>
  <si>
    <t>PERINDT2</t>
  </si>
  <si>
    <t>Survey Completion Date</t>
  </si>
  <si>
    <t>PERSONID</t>
  </si>
  <si>
    <t>LOCATION Table: Person Identifier of Work and School Location
TRIP Table: Person Identifier
PERSON Table: Person Identifier</t>
  </si>
  <si>
    <t>PHYACT</t>
  </si>
  <si>
    <t>Level of Physical Activity</t>
  </si>
  <si>
    <t>Which of the following statements best describes how physically active [$YOU_ARE] in a typical week?</t>
  </si>
  <si>
    <t>PLACE</t>
  </si>
  <si>
    <t>Travel is a Financial Burden</t>
  </si>
  <si>
    <t>Getting from place to place costs too much.</t>
  </si>
  <si>
    <t>PRICE</t>
  </si>
  <si>
    <t>Price of Gasoline Affects Travel</t>
  </si>
  <si>
    <t>The price of gas affects the number of places I go.</t>
  </si>
  <si>
    <t>PRMACT</t>
  </si>
  <si>
    <t>Primary Activity in Previous Week</t>
  </si>
  <si>
    <t>During most of last week [$WERE_YOU2]...</t>
  </si>
  <si>
    <t>PROXY</t>
  </si>
  <si>
    <t>Trip info from respondent or proxy</t>
  </si>
  <si>
    <t>PSGR_FLG</t>
  </si>
  <si>
    <t>Respondent was passenger on trip</t>
  </si>
  <si>
    <t>PTRANS</t>
  </si>
  <si>
    <t>Public Transportation to Reduce Financial Burden of Travel</t>
  </si>
  <si>
    <t>I use public transportation to save money.</t>
  </si>
  <si>
    <t>PTUSED</t>
  </si>
  <si>
    <t>Count of Public Transit Usage</t>
  </si>
  <si>
    <t>In the past 30 days, about how many days [$HAVE_YOU] used public transportation such as buses, subways, streetcars, or commuter trains?  
Do not include taxis.</t>
  </si>
  <si>
    <t>PUBTIME</t>
  </si>
  <si>
    <t>Minutes Spent Transferring to Work</t>
  </si>
  <si>
    <t>How many minutes each day [$DO_YOU] usually spend transferring during [$YOUR_THEIR] commute TO work (e.g. bus to bus, train to train, bus to train)?</t>
  </si>
  <si>
    <t>PUBTRANS</t>
  </si>
  <si>
    <t>Public transportation used on trip</t>
  </si>
  <si>
    <t>QC_DAY</t>
  </si>
  <si>
    <t>Travel Day Data Quality Code: Person Abandoned Trip Reporting without Completing Entire Day's Travel</t>
  </si>
  <si>
    <t>QC_JOINT</t>
  </si>
  <si>
    <t>Travel Day Data Quality Code: Person Has Contradictory Intra-Household Joint/Shared Travel</t>
  </si>
  <si>
    <t>QC_LOC</t>
  </si>
  <si>
    <t>Travel Day Data Quality Code: Person Has Low-Precision Location Data</t>
  </si>
  <si>
    <t>QC_LOOP</t>
  </si>
  <si>
    <t>Travel Day Data Quality Code: Person Has Unrealistic Back-to-Back/Loop Travel</t>
  </si>
  <si>
    <t>QC_TIME</t>
  </si>
  <si>
    <t>Travel Day Data Quality Code: Person Has Travel with Unrealistic Durations</t>
  </si>
  <si>
    <t>RACE_1</t>
  </si>
  <si>
    <t>Race: White</t>
  </si>
  <si>
    <t>Which of the following describes [$YOUR2_2] race? 
Please SELECT ALL that apply.</t>
  </si>
  <si>
    <t>RACE_2</t>
  </si>
  <si>
    <t>Race: Black or African American</t>
  </si>
  <si>
    <t>RACE_3</t>
  </si>
  <si>
    <t>Race: Asian</t>
  </si>
  <si>
    <t>RACE_4</t>
  </si>
  <si>
    <t>Race: American Indian or Alaska Native</t>
  </si>
  <si>
    <t>RACE_5</t>
  </si>
  <si>
    <t>Race: Native Hawaiian or other Pacific Islander</t>
  </si>
  <si>
    <t>RACE_DK</t>
  </si>
  <si>
    <t>Race: Does Not Know Answer</t>
  </si>
  <si>
    <t>RACE_O</t>
  </si>
  <si>
    <t>Race: Some Other Race Description</t>
  </si>
  <si>
    <t>Please provide [$YOUR2_2] race.</t>
  </si>
  <si>
    <t>RACE_RF</t>
  </si>
  <si>
    <t>Race: Refused to Answer</t>
  </si>
  <si>
    <t>RACE_SE</t>
  </si>
  <si>
    <t>Race: Some Other Race</t>
  </si>
  <si>
    <t>R_AGE</t>
  </si>
  <si>
    <t>Age</t>
  </si>
  <si>
    <t>How old [$ARE_YOU]?
[$DISP_AGE]</t>
  </si>
  <si>
    <t>R_AGE_IMP</t>
  </si>
  <si>
    <t>Age (imputed)</t>
  </si>
  <si>
    <t>RAIL</t>
  </si>
  <si>
    <t>MSA heavy rail status for household</t>
  </si>
  <si>
    <t>RECMODE</t>
  </si>
  <si>
    <t>Survey mode at recruit completion</t>
  </si>
  <si>
    <t>RESP_CNT</t>
  </si>
  <si>
    <t>Count of responding persons per household</t>
  </si>
  <si>
    <t>RETMODE</t>
  </si>
  <si>
    <t>Survey mode at retrieval completion</t>
  </si>
  <si>
    <t>R_HISP</t>
  </si>
  <si>
    <t>Hispanic or Latino Origin</t>
  </si>
  <si>
    <t>[$NEXT_HHMEM_HISP][$ARE_YOU_CAP2] of Hispanic or Latino origin?</t>
  </si>
  <si>
    <t>R_HISP_IMP</t>
  </si>
  <si>
    <t>Hispanic or Latino Origin (imputed)</t>
  </si>
  <si>
    <t>RIDESHARE</t>
  </si>
  <si>
    <t>Count of Rideshare App Usage</t>
  </si>
  <si>
    <t>In the past 30 days, how many times [$HAVE_YOU] purchased a ride with a smartphone rideshare app (e.g. Uber, Lyft, Sidecar)?</t>
  </si>
  <si>
    <t>R_RACE</t>
  </si>
  <si>
    <t>Race</t>
  </si>
  <si>
    <t>R_RACE_IMP</t>
  </si>
  <si>
    <t>Race (imputed)</t>
  </si>
  <si>
    <t>R_RELAT</t>
  </si>
  <si>
    <t>Relationship</t>
  </si>
  <si>
    <t>What is [$YOUR2_2] relationship to [$YOU_R1]? Relationships include biological, adopted and step.</t>
  </si>
  <si>
    <t>R_RETMODE</t>
  </si>
  <si>
    <t>R_SEX</t>
  </si>
  <si>
    <t>Gender</t>
  </si>
  <si>
    <t>Gender:</t>
  </si>
  <si>
    <t>R_SEX_IMP</t>
  </si>
  <si>
    <t>Gender (imputed)</t>
  </si>
  <si>
    <t>SAMEPLC</t>
  </si>
  <si>
    <t>Reason for No Trips</t>
  </si>
  <si>
    <t>What was the main reason that [$YOU1] did not go anywhere on [$YOUR_THEIR] travel day?</t>
  </si>
  <si>
    <t>SAMEPLC_O</t>
  </si>
  <si>
    <t>Reason for No Trips (Other)</t>
  </si>
  <si>
    <t>SAMPAREA</t>
  </si>
  <si>
    <t>Sample Area</t>
  </si>
  <si>
    <t>SAMPSTRAT</t>
  </si>
  <si>
    <t>Primary Sampling Stratum Assignment</t>
  </si>
  <si>
    <t>SCHTRN1</t>
  </si>
  <si>
    <t>Mode to School</t>
  </si>
  <si>
    <t>How [$DO_YOU] usually get to school? 
Please SELECT THE ONE used for most of the distance.</t>
  </si>
  <si>
    <t>SCHTRN1O</t>
  </si>
  <si>
    <t>Mode to School (Other)</t>
  </si>
  <si>
    <t>How [$DO_YOU] usually get to school?</t>
  </si>
  <si>
    <t>SCHTRN2</t>
  </si>
  <si>
    <t>Mode from School</t>
  </si>
  <si>
    <t>How [$DO_YOU] usually leave school?
Please SELECT THE ONE used for most of the distance.</t>
  </si>
  <si>
    <t>SCHTRN2O</t>
  </si>
  <si>
    <t>Mode from School (Other)</t>
  </si>
  <si>
    <t>How [$DO_YOU] usually leave school?</t>
  </si>
  <si>
    <t>SCHTYP</t>
  </si>
  <si>
    <t>Student Status</t>
  </si>
  <si>
    <t>The Department of Transportation and your local community are interested in ensuring travel safety to and from school. The following questions will help identify issues that children might face in traveling between home and school for the most recent school year. 
What type of school [$DO_YOU2] attend?
Think about the most recent school attended.</t>
  </si>
  <si>
    <t>SCRESP</t>
  </si>
  <si>
    <t>Person identifier of mail screener respondent, always 1 to roster self first</t>
  </si>
  <si>
    <t>SPHONE</t>
  </si>
  <si>
    <t>Frequency of Smartphone Use to Access the Internet</t>
  </si>
  <si>
    <t>Smartphone</t>
  </si>
  <si>
    <t>SPONSCHG</t>
  </si>
  <si>
    <t>Flag indicating SPONSOR variable changed during retrieval</t>
  </si>
  <si>
    <t>SPONSOR</t>
  </si>
  <si>
    <t>Addon status when national and addon sample are unioned by geography</t>
  </si>
  <si>
    <t>STATE</t>
  </si>
  <si>
    <t>State</t>
  </si>
  <si>
    <t>STATEFIPS</t>
  </si>
  <si>
    <t>Census State FIPS Code (2014 TIGER/Line)</t>
  </si>
  <si>
    <t>STREETADDR</t>
  </si>
  <si>
    <t>Street Address</t>
  </si>
  <si>
    <t>STRTAMPM</t>
  </si>
  <si>
    <t>Trip Start Time: AM/PM</t>
  </si>
  <si>
    <t>What time did [$YOU1] leave here?</t>
  </si>
  <si>
    <t>STRTHR</t>
  </si>
  <si>
    <t>Trip Start Time: Hour (1-12)</t>
  </si>
  <si>
    <t>STRTMIN</t>
  </si>
  <si>
    <t>Trip Start Time: Minute (0-59)</t>
  </si>
  <si>
    <t>STRTTIME</t>
  </si>
  <si>
    <t>Trip Start Time (HHMM)</t>
  </si>
  <si>
    <t>STRTTIME17</t>
  </si>
  <si>
    <t>Trip Start Time (ISO 8601 Date and Time)</t>
  </si>
  <si>
    <t>TAB</t>
  </si>
  <si>
    <t>Frequency of Tablet Use to Access the Internet</t>
  </si>
  <si>
    <t>Tablet</t>
  </si>
  <si>
    <t>TAXI</t>
  </si>
  <si>
    <t>Frequency of Taxi Service or Rideshare Use for Travel</t>
  </si>
  <si>
    <t>Taxi service or rideshare such as Uber/Lyft</t>
  </si>
  <si>
    <t>TDAYDAT2</t>
  </si>
  <si>
    <t>Survey Travel Date</t>
  </si>
  <si>
    <t>TDAYDATE</t>
  </si>
  <si>
    <t>Date of travel day (YYYYMM)</t>
  </si>
  <si>
    <t>TDCASEID</t>
  </si>
  <si>
    <t>Unique identifier for every trip record in the file</t>
  </si>
  <si>
    <t>TDDRIVER</t>
  </si>
  <si>
    <t>Travel day driver status</t>
  </si>
  <si>
    <t>TDTRPNUM</t>
  </si>
  <si>
    <t>Incrementing travel day trip number, starting at 1 for each person in the file</t>
  </si>
  <si>
    <t>TDWKND</t>
  </si>
  <si>
    <t>Weekend trip</t>
  </si>
  <si>
    <t>TIMETOWK</t>
  </si>
  <si>
    <t>Trip Time to Work in Minutes</t>
  </si>
  <si>
    <t xml:space="preserve">Thinking about [$YOUR_THEIR] daily commute to work last week, how many minutes did it usually take [$YOU1] to get from home to [$YOUR_THEIR][$PRIMARY] job / work? </t>
  </si>
  <si>
    <t>TIMEZONE</t>
  </si>
  <si>
    <t>Time Zone</t>
  </si>
  <si>
    <t>TRACC1</t>
  </si>
  <si>
    <t>Mode(s) Used to Transit from Trip Origin: Walking</t>
  </si>
  <si>
    <t>How did [$YOU1] get to the [$MODETEXT]? 
Please SELECT ALL that apply.</t>
  </si>
  <si>
    <t>TRACC10</t>
  </si>
  <si>
    <t>Mode(s) Used to Transit from Trip Origin: School bus</t>
  </si>
  <si>
    <t>TRACC11</t>
  </si>
  <si>
    <t>Mode(s) Used to Transit from Trip Origin: Public Transit or commuter bus</t>
  </si>
  <si>
    <t>TRACC12</t>
  </si>
  <si>
    <t>Mode(s) Used to Transit from Trip Origin: Paratransit / Dial-a-ride</t>
  </si>
  <si>
    <t>TRACC13</t>
  </si>
  <si>
    <t>Mode(s) Used to Transit from Trip Origin: Private / Charter / Tour/ Shuttle bus</t>
  </si>
  <si>
    <t>TRACC14</t>
  </si>
  <si>
    <t>Mode(s) Used to Transit from Trip Origin: City-to-city bus (Greyhound, Megabus)</t>
  </si>
  <si>
    <t>TRACC15</t>
  </si>
  <si>
    <t>Mode(s) Used to Transit from Trip Origin: Amtrak / Commuter rail</t>
  </si>
  <si>
    <t>TRACC16</t>
  </si>
  <si>
    <t>Mode(s) Used to Transit from Trip Origin: Subway / Elevated / Light rail / Street car</t>
  </si>
  <si>
    <t>TRACC17</t>
  </si>
  <si>
    <t>Mode(s) Used to Transit from Trip Origin: Taxi / Limo (Including Uber / Lyft)</t>
  </si>
  <si>
    <t>TRACC18</t>
  </si>
  <si>
    <t>Mode(s) Used to Transit from Trip Origin: Rental car (including Zipcar / Car2Go)</t>
  </si>
  <si>
    <t>TRACC19</t>
  </si>
  <si>
    <t>Mode(s) Used to Transit from Trip Origin: Airplane</t>
  </si>
  <si>
    <t>TRACC2</t>
  </si>
  <si>
    <t>Mode(s) Used to Transit from Trip Origin: Bicycle</t>
  </si>
  <si>
    <t>TRACC20</t>
  </si>
  <si>
    <t>Mode(s) Used to Transit from Trip Origin: Boat</t>
  </si>
  <si>
    <t>TRACC3</t>
  </si>
  <si>
    <t>Mode(s) Used to Transit from Trip Origin: Car</t>
  </si>
  <si>
    <t>TRACC4</t>
  </si>
  <si>
    <t>Mode(s) Used to Transit from Trip Origin: SUV</t>
  </si>
  <si>
    <t>TRACC5</t>
  </si>
  <si>
    <t>Mode(s) Used to Transit from Trip Origin: Van</t>
  </si>
  <si>
    <t>TRACC6</t>
  </si>
  <si>
    <t>Mode(s) Used to Transit from Trip Origin: Pickup Truck</t>
  </si>
  <si>
    <t>TRACC7</t>
  </si>
  <si>
    <t>Mode(s) Used to Transit from Trip Origin: Golf cart / Segway</t>
  </si>
  <si>
    <t>TRACC8</t>
  </si>
  <si>
    <t>Mode(s) Used to Transit from Trip Origin: Motorcycle / Moped</t>
  </si>
  <si>
    <t>TRACC9</t>
  </si>
  <si>
    <t>Mode(s) Used to Transit from Trip Origin: RV (motor home / ATV / snowmobile)</t>
  </si>
  <si>
    <t>TRACCDK</t>
  </si>
  <si>
    <t>Mode(s) Used to Transit from Trip Origin: Does Not Know Answer</t>
  </si>
  <si>
    <t>TRACC_O</t>
  </si>
  <si>
    <t>Mode(s) Used to Transit from Trip Origin: Something Else</t>
  </si>
  <si>
    <t>TRACCRF</t>
  </si>
  <si>
    <t>Mode(s) Used to Transit from Trip Origin: Refused to Answer</t>
  </si>
  <si>
    <t>TRACCTM</t>
  </si>
  <si>
    <t>Trip Time to Transit Station in Minutes</t>
  </si>
  <si>
    <t xml:space="preserve">How many minutes did it take [$YOU1] to get to the [$BUS_TRAIN] station? </t>
  </si>
  <si>
    <t>TRACTFIPS</t>
  </si>
  <si>
    <t>Census Tract FIPS Code (2014 TIGER/Line)</t>
  </si>
  <si>
    <t>TRAIN</t>
  </si>
  <si>
    <t>Frequency of Train Use for Travel</t>
  </si>
  <si>
    <t>Train/Subway</t>
  </si>
  <si>
    <t>TRANSCOMM_1</t>
  </si>
  <si>
    <t>Reason for Public Transit to be a Good Option for Commute: Close to work and home</t>
  </si>
  <si>
    <t>What are the THREE most important factors that would make [$YOUR2_2] public transit [$GA_EXP]system a good option for [$YOUR_THEIR2] commute?</t>
  </si>
  <si>
    <t>Des Moines Metropolitan Planning Organization
Georgia Department of Transportation</t>
  </si>
  <si>
    <t>TRANSCOMM_2</t>
  </si>
  <si>
    <t>Reason for Public Transit to be a Good Option for Commute: Fits schedule</t>
  </si>
  <si>
    <t>TRANSCOMM_3</t>
  </si>
  <si>
    <t>Reason for Public Transit to be a Good Option for Commute: Faster than driving</t>
  </si>
  <si>
    <t>Georgia Department of Transportation
Des Moines Metropolitan Planning Organization</t>
  </si>
  <si>
    <t>TRANSCOMM_4</t>
  </si>
  <si>
    <t>Reason for Public Transit to be a Good Option for Commute: Reasonable in cost</t>
  </si>
  <si>
    <t>TRANSCOMM_5</t>
  </si>
  <si>
    <t>Reason for Public Transit to be a Good Option for Commute: Consistently on time</t>
  </si>
  <si>
    <t>TRANSCOMM_6</t>
  </si>
  <si>
    <t>Reason for Public Transit to be a Good Option for Commute: Avoids travel stress</t>
  </si>
  <si>
    <t>TRANSCOMM_7</t>
  </si>
  <si>
    <t xml:space="preserve">Reason for Public Transit to be a Good Option for Commute: Safety </t>
  </si>
  <si>
    <t>TRANSCOMM_DK</t>
  </si>
  <si>
    <t>Reason for Public Transit to be a Good Option for Commute: Does Not Know Answer</t>
  </si>
  <si>
    <t>TRANSCOMM_NA</t>
  </si>
  <si>
    <t>Reason for Public Transit to be a Good Option for Commute: No other reasons</t>
  </si>
  <si>
    <t>TRANSCOMM_RF</t>
  </si>
  <si>
    <t>Reason for Public Transit to be a Good Option for Commute: Refused to Answer</t>
  </si>
  <si>
    <t>TRAVDAY</t>
  </si>
  <si>
    <t>Travel day - day of week</t>
  </si>
  <si>
    <t>TREGR1</t>
  </si>
  <si>
    <t>Mode(s) Used from Transit to Trip Destination: Walking</t>
  </si>
  <si>
    <t>How did [$YOU1] get from the [$MODETEXT] to [$LOCNAME]?
Please SELECT ALL that apply.</t>
  </si>
  <si>
    <t>TREGR10</t>
  </si>
  <si>
    <t>Mode(s) Used from Transit to Trip Destination: School bus</t>
  </si>
  <si>
    <t>TREGR11</t>
  </si>
  <si>
    <t>Mode(s) Used from Transit to Trip Destination: Public transit or commuter bus</t>
  </si>
  <si>
    <t>TREGR12</t>
  </si>
  <si>
    <t>Mode(s) Used from Transit to Trip Destination: Paratransit / Dial-a-ride</t>
  </si>
  <si>
    <t>TREGR13</t>
  </si>
  <si>
    <t>Mode(s) Used from Transit to Trip Destination: Private / Charter / Tour / Shuttle bus</t>
  </si>
  <si>
    <t>TREGR14</t>
  </si>
  <si>
    <t>Mode(s) Used from Transit to Trip Destination: City-to-city bus (Greyhound / Megabus)</t>
  </si>
  <si>
    <t>TREGR15</t>
  </si>
  <si>
    <t>Mode(s) Used from Transit to Trip Destination: Amtrak / Commuter rail</t>
  </si>
  <si>
    <t>TREGR16</t>
  </si>
  <si>
    <t>Mode(s) Used from Transit to Trip Destination: Subway / Elevated / Light rail / Street car</t>
  </si>
  <si>
    <t>TREGR17</t>
  </si>
  <si>
    <t>Mode(s) Used from Transit to Trip Destination: Taxi / Limo (including Uber / Lyft)</t>
  </si>
  <si>
    <t>TREGR18</t>
  </si>
  <si>
    <t>Mode(s) Used from Transit to Trip Destination: Rental car (including Zipcar / Car2Go)</t>
  </si>
  <si>
    <t>TREGR19</t>
  </si>
  <si>
    <t>Mode(s) Used from Transit to Trip Destination: Airplane</t>
  </si>
  <si>
    <t>TREGR2</t>
  </si>
  <si>
    <t>Mode(s) Used from Transit to Trip Destination: Bicycle</t>
  </si>
  <si>
    <t>TREGR20</t>
  </si>
  <si>
    <t>Mode(s) Used from Transit to Trip Destination: Boat</t>
  </si>
  <si>
    <t>TREGR3</t>
  </si>
  <si>
    <t>Mode(s) Used from Transit to Trip Destination: Car</t>
  </si>
  <si>
    <t>TREGR4</t>
  </si>
  <si>
    <t>Mode(s) Used from Transit to Trip Destination: SUV</t>
  </si>
  <si>
    <t>TREGR5</t>
  </si>
  <si>
    <t>Mode(s) Used from Transit to Trip Destination: Van</t>
  </si>
  <si>
    <t>TREGR6</t>
  </si>
  <si>
    <t>Mode(s) Used from Transit to Trip Destination: Pickup truck</t>
  </si>
  <si>
    <t>TREGR7</t>
  </si>
  <si>
    <t>Mode(s) Used from Transit to Trip Destination: Golf cart / Segway</t>
  </si>
  <si>
    <t>TREGR8</t>
  </si>
  <si>
    <t>Mode(s) Used from Transit to Trip Destination: Motorcycle / Moped</t>
  </si>
  <si>
    <t>TREGR9</t>
  </si>
  <si>
    <t>Mode(s) Used from Transit to Trip Destination: RV (motor home / ATV / snowmobile)</t>
  </si>
  <si>
    <t>TREGRDK</t>
  </si>
  <si>
    <t>Mode(s) Used from Transit to Trip Destination: Does Not Know Answer</t>
  </si>
  <si>
    <t>TREGR_O</t>
  </si>
  <si>
    <t>Mode(s) Used from Transit to Trip Destination: Something else</t>
  </si>
  <si>
    <t>TREGRRF</t>
  </si>
  <si>
    <t>Mode(s) Used from Transit to Trip Destination: Refused to Answer</t>
  </si>
  <si>
    <t>TREGRTM</t>
  </si>
  <si>
    <t>Time to Destination from Transit in Minutes</t>
  </si>
  <si>
    <t xml:space="preserve">How many minutes did it take [$YOU1] to get to [$LOCNAME] from the [$MODETEXT]? </t>
  </si>
  <si>
    <t>TRIP_CODE</t>
  </si>
  <si>
    <t>Household Has at Least One Person with a Travel Day Data Quality Code That Identifies Trip-Related Reporting That Is Not Realistic</t>
  </si>
  <si>
    <t>TRIPPURP</t>
  </si>
  <si>
    <t>Generalized purpose of trip, home-based and non-home based</t>
  </si>
  <si>
    <t>TRPACCMP</t>
  </si>
  <si>
    <t>Count of People on Trip</t>
  </si>
  <si>
    <t>TRPHHACC</t>
  </si>
  <si>
    <t>Count of Household Members on Trip</t>
  </si>
  <si>
    <t>TRPHHVEH</t>
  </si>
  <si>
    <t>Household Vehicle Used on Trip</t>
  </si>
  <si>
    <t>TRPMILES</t>
  </si>
  <si>
    <t>Trip distance in miles, derived from route geometry returned by Google Maps API, or from reported loop-trip distance</t>
  </si>
  <si>
    <t>TRPMILES17</t>
  </si>
  <si>
    <t>Trip distance in miles, derived from route geometry returned by Google Maps API</t>
  </si>
  <si>
    <t>TRPPUB</t>
  </si>
  <si>
    <t>Public Transit Usage on Trip</t>
  </si>
  <si>
    <t>Did [$YOU1] take a bus, subway, train, or some other type of public transportation during this trip?</t>
  </si>
  <si>
    <t>TRPTRANS</t>
  </si>
  <si>
    <t>Trip Mode, derived</t>
  </si>
  <si>
    <t>TRPTRANS17</t>
  </si>
  <si>
    <t>Trip Mode</t>
  </si>
  <si>
    <t>[$MODE_RECALL]</t>
  </si>
  <si>
    <t>TRPTRNOS</t>
  </si>
  <si>
    <t>Trip Mode (Other)</t>
  </si>
  <si>
    <t>How did [$YOU1] get to here?</t>
  </si>
  <si>
    <t>TRVLCMIN</t>
  </si>
  <si>
    <t>Trip Duration in Minutes</t>
  </si>
  <si>
    <t>TRWAITTM</t>
  </si>
  <si>
    <t>Transit wait time in minutes</t>
  </si>
  <si>
    <t>How many minutes did [$YOU1] have to wait for the [$BUS_TRAIN]?</t>
  </si>
  <si>
    <t>URBAN</t>
  </si>
  <si>
    <t>Household's urban area classification, based on home address and 2014 TIGER/Line Shapefile</t>
  </si>
  <si>
    <t>URBANSIZE</t>
  </si>
  <si>
    <t>Urban area size where home address is located</t>
  </si>
  <si>
    <t>URBRUR</t>
  </si>
  <si>
    <t>Household in urban/rural area</t>
  </si>
  <si>
    <t>USEPUBTR</t>
  </si>
  <si>
    <t>Public Transit Usage on Travel Date, derived</t>
  </si>
  <si>
    <t>USEPUBTR17</t>
  </si>
  <si>
    <t>Public Transit Usage on Travel Date</t>
  </si>
  <si>
    <t>Did [$YOU1] use a bus, subway, train, or some other type of public transportation during [$YOUR_THEIR] travel day?</t>
  </si>
  <si>
    <t>VEHAGE</t>
  </si>
  <si>
    <t>Age of vehicle, based on model year</t>
  </si>
  <si>
    <t>VEHID</t>
  </si>
  <si>
    <t>TRIP Table: Household Vehicle Identifier Used on Trip
VEHICLE Table: Vehicle Identifier</t>
  </si>
  <si>
    <t xml:space="preserve">What vehicle was used to get to [$LOCNAME]? </t>
  </si>
  <si>
    <t>VEHMILE2</t>
  </si>
  <si>
    <t>Range of Miles Driven in Vehicle Over Last Year</t>
  </si>
  <si>
    <t>VEHMILES</t>
  </si>
  <si>
    <t>Count of Miles Driven in Vehicle Over Last Year</t>
  </si>
  <si>
    <t>During the past 12 months, about how many miles was the [$VEHYEARTEXT] [$MAKETEXT] [$MODELTEXT] driven by all drivers?</t>
  </si>
  <si>
    <t>VEHOWNED</t>
  </si>
  <si>
    <t>Owned Vehicle Longer than a Year</t>
  </si>
  <si>
    <t>[$HAVE_YOU_CAP:R[$SELPERNO:C]] owned the [$VEHYEARTEXT] [$MAKETEXT] [$MODELTEXT] 1 year or more?</t>
  </si>
  <si>
    <t>VEHOWNMO</t>
  </si>
  <si>
    <t>Months of Vehicle Ownership</t>
  </si>
  <si>
    <t>About how many months [$HAVE_YOU:R[$SELPERNO:C]] owned the [$VEHYEARTEXT] [$MAKETEXT] [$MODELTEXT]?</t>
  </si>
  <si>
    <t>VEHTYOS</t>
  </si>
  <si>
    <t>Vehicle Type (Other)</t>
  </si>
  <si>
    <t xml:space="preserve">Please describe the type of vehicle. </t>
  </si>
  <si>
    <t>VEHTYPE</t>
  </si>
  <si>
    <t>Vehicle Type</t>
  </si>
  <si>
    <t xml:space="preserve">What type of vehicle is the [$VEHYEARTEXT] [$MAKETEXT] [$MODELTEXT]? </t>
  </si>
  <si>
    <t>VEHYEAR</t>
  </si>
  <si>
    <t>Vehicle Year</t>
  </si>
  <si>
    <t>Now, we would like you to tell us about each of the vehicles available to the people that live in your household. 
What's the year of the [$NEW_NEXT] vehicle?</t>
  </si>
  <si>
    <t>VERESTML</t>
  </si>
  <si>
    <t>Confirmation of Estimated Miles Driven in Vehicle</t>
  </si>
  <si>
    <t>You reported that the [$VEHYEARTEXT] [$MAKETEXT] [$MODELTEXT] was driven a total of [$ESTMILES:T] miles by all drivers since [$YOU_HAVE2:R[$SELPERNO:C]] had it.  Please confirm that this is correct?</t>
  </si>
  <si>
    <t>VERMILES</t>
  </si>
  <si>
    <t>Confirmation of Miles Driven in Vehicle</t>
  </si>
  <si>
    <t>You reported that the [$VEHYEARTEXT] [$MAKETEXT] [$MODELTEXT] was driven a total of [$VEHMILES:T] miles by all drivers during the past 12 months. Is this correct?</t>
  </si>
  <si>
    <t>VERYRMIL</t>
  </si>
  <si>
    <t>Confirmation of Miles Personally Driven in Vehicle</t>
  </si>
  <si>
    <t>You just said [$YOU1] personally drove [$YEARMILE:T] miles during the past 12 months.  Is this correct?</t>
  </si>
  <si>
    <t>VMT_MILE</t>
  </si>
  <si>
    <t>Trip distance in miles for personally driven vehicle trips, derived from route geometry returned by Google Maps API</t>
  </si>
  <si>
    <t>VMT_MILE17</t>
  </si>
  <si>
    <t>Trip distance in miles for personally driven vehicle trips, derived from route geometry returned by Google Maps API, or from reported loop-trip distance</t>
  </si>
  <si>
    <t>VPACT</t>
  </si>
  <si>
    <t>Count of Times of Vigorous Physical Activity in Past Week</t>
  </si>
  <si>
    <t>During a typical week how many times [$DO_YOU] do vigorous physical activity for more than 30 minutes?</t>
  </si>
  <si>
    <t>WALK</t>
  </si>
  <si>
    <t>Frequency of Walking for Travel</t>
  </si>
  <si>
    <t>Walk</t>
  </si>
  <si>
    <t>WALK2SAVE</t>
  </si>
  <si>
    <t>Walk to Reduce Financial Burden of Travel</t>
  </si>
  <si>
    <t>I walk to places to save money.</t>
  </si>
  <si>
    <t>WALK4EX</t>
  </si>
  <si>
    <t>Count of Walk Trips for Exercise</t>
  </si>
  <si>
    <t>How many of these walks were strictly for exercise?</t>
  </si>
  <si>
    <t>WALK_D</t>
  </si>
  <si>
    <t xml:space="preserve">Reason for Not Walking More: No nearby paths or trails </t>
  </si>
  <si>
    <t>Which of the following keeps you from walking more? 
Please SELECT ALL that apply.</t>
  </si>
  <si>
    <t>WALK_DK</t>
  </si>
  <si>
    <t>Reason for Not Walking More: Does not know answer</t>
  </si>
  <si>
    <t>WALK_E</t>
  </si>
  <si>
    <t>Reason for Not Walking More: No nearby parks</t>
  </si>
  <si>
    <t>WALK_F</t>
  </si>
  <si>
    <t>Reason for Not Walking More: No sidewalks or sidewalks are in poor condition</t>
  </si>
  <si>
    <t>WALK_G</t>
  </si>
  <si>
    <t>Reason for Not Walking More: Street crossings are unsafe</t>
  </si>
  <si>
    <t>WALK_K</t>
  </si>
  <si>
    <t>Reason for Not Walking More: Heavy traffic with too many cars</t>
  </si>
  <si>
    <t>WALK_Q</t>
  </si>
  <si>
    <t>Reason for Not Walking More: Not enough lighting at night</t>
  </si>
  <si>
    <t>WALK_RF</t>
  </si>
  <si>
    <t>Reason for Not Walking More: Refused to answer</t>
  </si>
  <si>
    <t>WALK_Z</t>
  </si>
  <si>
    <t>Reason for Not Walking More: None of the above</t>
  </si>
  <si>
    <t>W_CANE</t>
  </si>
  <si>
    <t>Medical Device Used: Cane</t>
  </si>
  <si>
    <t>W_CHAIR</t>
  </si>
  <si>
    <t>Medical Device Used: Wheelchair</t>
  </si>
  <si>
    <t>W_CRUTCH</t>
  </si>
  <si>
    <t>Medical Device Used: Crutches</t>
  </si>
  <si>
    <t>W_DOG</t>
  </si>
  <si>
    <t>Medical Device Used: Dog Assistance</t>
  </si>
  <si>
    <t>WEBUSE17</t>
  </si>
  <si>
    <t>Frequency of internet use</t>
  </si>
  <si>
    <t>WHODROVE</t>
  </si>
  <si>
    <t>Person Identifier Who Drove on Trip</t>
  </si>
  <si>
    <t>Who was the driver?</t>
  </si>
  <si>
    <t>WHOMAIN</t>
  </si>
  <si>
    <t>Vehicle Main Driver</t>
  </si>
  <si>
    <t xml:space="preserve">Who is the main driver? </t>
  </si>
  <si>
    <t>WHOPROXY</t>
  </si>
  <si>
    <t>Household Person Identifier Responsible for Trip Reporting</t>
  </si>
  <si>
    <t>WHYFROM</t>
  </si>
  <si>
    <t>Trip Origin Purpose</t>
  </si>
  <si>
    <t>What was [$YOUR2] main activity at [$LOCNAME]?</t>
  </si>
  <si>
    <t>WHYFROM_O</t>
  </si>
  <si>
    <t>Trip Origin Purpose (Other)</t>
  </si>
  <si>
    <t>WHYTO</t>
  </si>
  <si>
    <t>Trip Destination Purpose</t>
  </si>
  <si>
    <t>WHYTRP1S</t>
  </si>
  <si>
    <t>Trip purpose summary</t>
  </si>
  <si>
    <t>WHYTRP90</t>
  </si>
  <si>
    <t>Travel day trip purpose consistent with 1990 NPTS design.</t>
  </si>
  <si>
    <t>WHYTRPSP</t>
  </si>
  <si>
    <t>Trip Destination Purpose (Other)</t>
  </si>
  <si>
    <t>WKBK_DIST</t>
  </si>
  <si>
    <t>Loop trip distance</t>
  </si>
  <si>
    <t>What was the total distance traveled on [$YOUR2] [$MODE] trip (e.g., 1, 5, 10)?</t>
  </si>
  <si>
    <t>WKBK_UNIT</t>
  </si>
  <si>
    <t>Loop trip distance unit</t>
  </si>
  <si>
    <t>WKFMHMXX</t>
  </si>
  <si>
    <t>Count of Days Worked From Home in Last Month</t>
  </si>
  <si>
    <t>In the past 30 days, how many days did [$YOU1] work only from home or an alternate work place?</t>
  </si>
  <si>
    <t>WKFTPT</t>
  </si>
  <si>
    <t>Full-Time or Part-Time Worker</t>
  </si>
  <si>
    <t>[$DO_YOU_CAP2] work full-time or part-time at [$YOUR_THEIR2][$PRIMARY] job?  [$PRIMARY_EXP]
A full time job is at least 35 hours per week.</t>
  </si>
  <si>
    <t>WKRMHM</t>
  </si>
  <si>
    <t>Option of Working from Home</t>
  </si>
  <si>
    <t>[$DO_YOU_CAP] have the option of working from home or an alternate location instead of going into [$YOUR_THEIR][$PRIMARY] workplace?</t>
  </si>
  <si>
    <t>WKSTFIPS</t>
  </si>
  <si>
    <t xml:space="preserve">The state FIPS code for the respondent's geocoded work address. The state FIPS codes were identified using United States Census Bureau 2016 TIGER/Line Shapefiles. </t>
  </si>
  <si>
    <t>W_MTRCHR</t>
  </si>
  <si>
    <t>Medical Device Used: Motorized Wheelchair</t>
  </si>
  <si>
    <t>W_NONE</t>
  </si>
  <si>
    <t>Medical Device Used: None</t>
  </si>
  <si>
    <t>WORKER</t>
  </si>
  <si>
    <t>Worker status</t>
  </si>
  <si>
    <t>WORKER_IMP</t>
  </si>
  <si>
    <t>Worker status (imputed)</t>
  </si>
  <si>
    <t>WRKAMPM</t>
  </si>
  <si>
    <t>Arrival Time at Work: AM/PM</t>
  </si>
  <si>
    <t>WRKCOUNT</t>
  </si>
  <si>
    <t>Number of workers in household</t>
  </si>
  <si>
    <t>WRK_HOME</t>
  </si>
  <si>
    <t>Work from Home</t>
  </si>
  <si>
    <t>[$DO_YOU_CAP2] usually work from home?</t>
  </si>
  <si>
    <t>WRKHR</t>
  </si>
  <si>
    <t>Arrival Time at Work: Hour</t>
  </si>
  <si>
    <t>WRKMIN</t>
  </si>
  <si>
    <t>Arrival Time at Work: Minute</t>
  </si>
  <si>
    <t>WRKSCH_GA</t>
  </si>
  <si>
    <t>Work Schedule</t>
  </si>
  <si>
    <t>Which of the following best describes [$YOUR2] work schedule on a weekly basis?</t>
  </si>
  <si>
    <t>Georgia Department of Transportation</t>
  </si>
  <si>
    <t>WRKTIME</t>
  </si>
  <si>
    <t>Arrival Time at Work</t>
  </si>
  <si>
    <t>What time [$DO_YOU] usually arrive at [$YOUR_THEIR][$PRIMARY] job (e.g. 8:15 AM)?</t>
  </si>
  <si>
    <t>WRKTRANS</t>
  </si>
  <si>
    <t>Mode to Work</t>
  </si>
  <si>
    <t>How did [$YOU2] usually get to [$YOUR_THEIR2][$PRIMARY] job last week?  If you used more than one mode of transportation, please select the one used for most of the distance.</t>
  </si>
  <si>
    <t>WRKTRNOS</t>
  </si>
  <si>
    <t>Mode to Work (Other)</t>
  </si>
  <si>
    <t>How did [$YOU2] usually get to work last week?</t>
  </si>
  <si>
    <t>W_SCOOTR</t>
  </si>
  <si>
    <t>Medical Device Used: Motorized Scooter</t>
  </si>
  <si>
    <t>W_WHCANE</t>
  </si>
  <si>
    <t>Medical Device Used: White Cane</t>
  </si>
  <si>
    <t>W_WLKR</t>
  </si>
  <si>
    <t>Medical Device Used: Walker</t>
  </si>
  <si>
    <t>YEARMIL2</t>
  </si>
  <si>
    <t>Range of Miles Personally Driven in all Vehicles</t>
  </si>
  <si>
    <t>YEARMILE</t>
  </si>
  <si>
    <t>Miles Personally Driven in all Vehicles</t>
  </si>
  <si>
    <t>Please provide your best guess as to how many miles [$YOU1] personally drove during the past 12 months in all motorized vehicles.
Include all miles from work vehicles, rental cars and any other vehicles that are not owned by your household.</t>
  </si>
  <si>
    <t>YOUNGCHILD</t>
  </si>
  <si>
    <t>Count of persons with an age between 0 and 4 in household</t>
  </si>
  <si>
    <t>YRTOUS</t>
  </si>
  <si>
    <t>Year of Arrival in United States</t>
  </si>
  <si>
    <t xml:space="preserve">In what year did [$YOU1] come to the United States? </t>
  </si>
  <si>
    <t>YRTOUS2</t>
  </si>
  <si>
    <t>Range of Year of Arrival in United States</t>
  </si>
  <si>
    <t>Was it...</t>
  </si>
  <si>
    <t>ZIP</t>
  </si>
  <si>
    <t>Postal ZIP Code</t>
  </si>
  <si>
    <t>TABLE</t>
  </si>
  <si>
    <t>VALUE</t>
  </si>
  <si>
    <t>PERSON</t>
  </si>
  <si>
    <t>-8</t>
  </si>
  <si>
    <t>I don't know</t>
  </si>
  <si>
    <t>-7</t>
  </si>
  <si>
    <t>I prefer not to answer</t>
  </si>
  <si>
    <t>-1</t>
  </si>
  <si>
    <t>Appropriate skip</t>
  </si>
  <si>
    <t>01</t>
  </si>
  <si>
    <t xml:space="preserve">0-4 years old </t>
  </si>
  <si>
    <t>02</t>
  </si>
  <si>
    <t>5-15 years old</t>
  </si>
  <si>
    <t>03</t>
  </si>
  <si>
    <t>16-17 years old</t>
  </si>
  <si>
    <t>04</t>
  </si>
  <si>
    <t>18-64 years old</t>
  </si>
  <si>
    <t>05</t>
  </si>
  <si>
    <t>65-75 years old</t>
  </si>
  <si>
    <t>06</t>
  </si>
  <si>
    <t>76 years old or older</t>
  </si>
  <si>
    <t>-9</t>
  </si>
  <si>
    <t>Not ascertained</t>
  </si>
  <si>
    <t>Public transportation (bus, subway, light rail, etc.)</t>
  </si>
  <si>
    <t>Get a ride from a friend or family member</t>
  </si>
  <si>
    <t>Rental car (including Zipcar / Car2Go)</t>
  </si>
  <si>
    <t>Bicycle</t>
  </si>
  <si>
    <t xml:space="preserve">Taxi (regular taxi, Uber, Lyft, etc.) </t>
  </si>
  <si>
    <t>07</t>
  </si>
  <si>
    <t>None</t>
  </si>
  <si>
    <t>97</t>
  </si>
  <si>
    <t>Something Else</t>
  </si>
  <si>
    <t>VEHICLE</t>
  </si>
  <si>
    <t>Work</t>
  </si>
  <si>
    <t xml:space="preserve">Work-related meeting / trip </t>
  </si>
  <si>
    <t>Volunteer activities (not paid)</t>
  </si>
  <si>
    <t>Drop off /pick up someone</t>
  </si>
  <si>
    <t>Change type of transportation</t>
  </si>
  <si>
    <t>08</t>
  </si>
  <si>
    <t>Attend school as a student</t>
  </si>
  <si>
    <t>09</t>
  </si>
  <si>
    <t>Attend child care</t>
  </si>
  <si>
    <t>10</t>
  </si>
  <si>
    <t xml:space="preserve">Attend adult care </t>
  </si>
  <si>
    <t>11</t>
  </si>
  <si>
    <t>Buy goods (groceries, clothes, appliances, gas)</t>
  </si>
  <si>
    <t>12</t>
  </si>
  <si>
    <t>Buy services (dry cleaners, banking, service a car, pet care)</t>
  </si>
  <si>
    <t>13</t>
  </si>
  <si>
    <t>Buy meals (go out for a meal, snack, carry-out)</t>
  </si>
  <si>
    <t>14</t>
  </si>
  <si>
    <t>Other general errands (post office, library)</t>
  </si>
  <si>
    <t>15</t>
  </si>
  <si>
    <t>Recreational activities (visit parks, movies, bars, museums)</t>
  </si>
  <si>
    <t>16</t>
  </si>
  <si>
    <t>Exercise (go for a jog, walk, walk the dog, go to the gym)</t>
  </si>
  <si>
    <t>17</t>
  </si>
  <si>
    <t>Visit friends or relatives</t>
  </si>
  <si>
    <t>18</t>
  </si>
  <si>
    <t>Health care visit (medical, dental, therapy)</t>
  </si>
  <si>
    <t>19</t>
  </si>
  <si>
    <t>Religious or other community activities</t>
  </si>
  <si>
    <t>Something else</t>
  </si>
  <si>
    <t>Regular home activities (chores, sleep)</t>
  </si>
  <si>
    <t>Work from home (paid)</t>
  </si>
  <si>
    <t>HOUSEHOLD</t>
  </si>
  <si>
    <t xml:space="preserve">I prefer not to answer </t>
  </si>
  <si>
    <t xml:space="preserve">Daily </t>
  </si>
  <si>
    <t xml:space="preserve">A few times a week </t>
  </si>
  <si>
    <t xml:space="preserve">A few times a month </t>
  </si>
  <si>
    <t xml:space="preserve">A few times a year </t>
  </si>
  <si>
    <t>Never</t>
  </si>
  <si>
    <t xml:space="preserve">I don't know </t>
  </si>
  <si>
    <t>Strongly agree</t>
  </si>
  <si>
    <t>Agree</t>
  </si>
  <si>
    <t>Neither Agreeor Disagree</t>
  </si>
  <si>
    <t>Disagree</t>
  </si>
  <si>
    <t>Strongly disagree</t>
  </si>
  <si>
    <t>No nearby paths or trails</t>
  </si>
  <si>
    <t xml:space="preserve">No nearby parks </t>
  </si>
  <si>
    <t>No sidewalks or sidewalks are in poor condition</t>
  </si>
  <si>
    <t xml:space="preserve">Street crossings are unsafe </t>
  </si>
  <si>
    <t>Heavy traffic with too many cars</t>
  </si>
  <si>
    <t>Not enough lighting at night</t>
  </si>
  <si>
    <t>None of the above</t>
  </si>
  <si>
    <t>LOCATION</t>
  </si>
  <si>
    <t>Yes</t>
  </si>
  <si>
    <t>No</t>
  </si>
  <si>
    <t>Daily</t>
  </si>
  <si>
    <t>A few times a week</t>
  </si>
  <si>
    <t>New England (ME, NH, VT, CT, MA, RI) MSA or CMSA of 1 million or more with heavy rail</t>
  </si>
  <si>
    <t>New England (ME, NH, VT, CT, MA, RI) MSA or CMSA of 1 million or more without heavy rail</t>
  </si>
  <si>
    <t>New England (ME, NH, VT, CT, MA, RI) MSA of less than 1 million</t>
  </si>
  <si>
    <t>New England (ME, NH, VT, CT, MA, RI) Not in a MSA</t>
  </si>
  <si>
    <t>21</t>
  </si>
  <si>
    <t>Mid-Atlantic (NY, NJ, PA) MSA or CMSA of 1 million or more with heavy rail</t>
  </si>
  <si>
    <t>22</t>
  </si>
  <si>
    <t>Mid-Atlantic (NY, NJ, PA) MSA or CMSA of 1 million or more without heavy rail</t>
  </si>
  <si>
    <t>23</t>
  </si>
  <si>
    <t>Mid-Atlantic (NY, NJ, PA) MSA of less than 1 million</t>
  </si>
  <si>
    <t>24</t>
  </si>
  <si>
    <t>Mid-Atlantic (NY, NJ, PA) Not in a MSA</t>
  </si>
  <si>
    <t>31</t>
  </si>
  <si>
    <t>East North Central (IL, IN, MI, OH, WI) MSA or CMSA of 1 million or more with heavy rail</t>
  </si>
  <si>
    <t>32</t>
  </si>
  <si>
    <t>East North Central (IL, IN, MI, OH, WI) MSA or CMSA of 1 million or more without heavy rail</t>
  </si>
  <si>
    <t>33</t>
  </si>
  <si>
    <t>East North Central (IL, IN, MI, OH, WI) MSA of less than 1 million</t>
  </si>
  <si>
    <t>34</t>
  </si>
  <si>
    <t>East North Central (IL, IN, MI, OH, WI) Not in a MSA</t>
  </si>
  <si>
    <t>41</t>
  </si>
  <si>
    <t>West North Central (IA, KS, MO, MN, ND, NE, SD) MSA or CMSA of 1 million or more with heavy rail</t>
  </si>
  <si>
    <t>42</t>
  </si>
  <si>
    <t>West North Central (IA, KS, MO, MN, ND, NE, SD) MSA or CMSA of 1 million or more without heavy rail</t>
  </si>
  <si>
    <t>43</t>
  </si>
  <si>
    <t>West North Central (IA, KS, MO, MN, ND, NE, SD) MSA of less than 1 million</t>
  </si>
  <si>
    <t>44</t>
  </si>
  <si>
    <t>West North Central (IA, KS, MO, MN, ND, NE, SD) Not in a MSA</t>
  </si>
  <si>
    <t>51</t>
  </si>
  <si>
    <t>South Atlantic (DE, FL, GA, MD, NC, SC, WV, VA) MSA or CMSA of 1 million or more with heavy rail</t>
  </si>
  <si>
    <t>52</t>
  </si>
  <si>
    <t>South Atlantic (DE, FL, GA, MD, NC, SC, WV, VA) MSA or CMSA of 1 million or more without heavy rail</t>
  </si>
  <si>
    <t>53</t>
  </si>
  <si>
    <t>South Atlantic (DE, FL, GA, MD, NC, SC, WV, VA) MSA of less than 1 million</t>
  </si>
  <si>
    <t>54</t>
  </si>
  <si>
    <t>South Atlantic (DE, FL, GA, MD, NC, SC, WV, VA) Not in a MSA</t>
  </si>
  <si>
    <t>61</t>
  </si>
  <si>
    <t>East South Central (AL, KY, MS, TN) MSA or CMSA of 1 million or more with heavy rail</t>
  </si>
  <si>
    <t>62</t>
  </si>
  <si>
    <t>East South Central (AL, KY, MS, TN) MSA or CMSA of 1 million or more without heavy rail</t>
  </si>
  <si>
    <t>63</t>
  </si>
  <si>
    <t>East South Central (AL, KY, MS, TN) MSA of less than 1 million</t>
  </si>
  <si>
    <t>64</t>
  </si>
  <si>
    <t>East South Central (AL, KY, MS, TN) Not in a MSA</t>
  </si>
  <si>
    <t>71</t>
  </si>
  <si>
    <t>West South Central (AR, LA, OK, TX) MSA or CMSA of 1 million or more with heavy rail</t>
  </si>
  <si>
    <t>72</t>
  </si>
  <si>
    <t>West South Central (AR, LA, OK, TX) MSA or CMSA of 1 million or more without heavy rail</t>
  </si>
  <si>
    <t>73</t>
  </si>
  <si>
    <t>West South Central (AR, LA, OK, TX) MSA of less than 1 million</t>
  </si>
  <si>
    <t>74</t>
  </si>
  <si>
    <t>West South Central (AR, LA, OK, TX) Not in a MSA</t>
  </si>
  <si>
    <t>81</t>
  </si>
  <si>
    <t>Mountain (AZ, CO, ID, MT, NM, NV, UT, WY) MSA or CMSA of 1 million or more with heavy rail</t>
  </si>
  <si>
    <t>82</t>
  </si>
  <si>
    <t>Mountain (AZ, CO, ID, MT, NM, NV, UT, WY) MSA or CMSA of 1 million or more without heavy rail</t>
  </si>
  <si>
    <t>83</t>
  </si>
  <si>
    <t>Mountain (AZ, CO, ID, MT, NM, NV, UT, WY) MSA of less than 1 million</t>
  </si>
  <si>
    <t>84</t>
  </si>
  <si>
    <t>Mountain (AZ, CO, ID, MT, NM, NV, UT, WY) Not in a MSA</t>
  </si>
  <si>
    <t>91</t>
  </si>
  <si>
    <t>Pacific (AK, CA, HI, OR, WA) MSA or CMSA of 1 million or more with heavy rail</t>
  </si>
  <si>
    <t>92</t>
  </si>
  <si>
    <t>Pacific (AK, CA, HI, OR, WA) MSA or CMSA of 1 million or more without heavy rail</t>
  </si>
  <si>
    <t>93</t>
  </si>
  <si>
    <t>Pacific (AK, CA, HI, OR, WA) MSA of less than 1 million</t>
  </si>
  <si>
    <t>94</t>
  </si>
  <si>
    <t>Pacific (AK, CA, HI, OR, WA) Not in a MSA</t>
  </si>
  <si>
    <t>New England</t>
  </si>
  <si>
    <t>Middle Atlantic</t>
  </si>
  <si>
    <t>East North Central</t>
  </si>
  <si>
    <t>West North Central</t>
  </si>
  <si>
    <t>South Atlantic</t>
  </si>
  <si>
    <t>East South Central</t>
  </si>
  <si>
    <t>West South Central</t>
  </si>
  <si>
    <t>Mountain</t>
  </si>
  <si>
    <t>Pacific</t>
  </si>
  <si>
    <t>Northeast</t>
  </si>
  <si>
    <t>Midwest</t>
  </si>
  <si>
    <t>South</t>
  </si>
  <si>
    <t>West</t>
  </si>
  <si>
    <t>Reduced [$YOUR2] day-to-day travel</t>
  </si>
  <si>
    <t>Asked others for rides</t>
  </si>
  <si>
    <t>Limited driving to daytime</t>
  </si>
  <si>
    <t>Given up driving altogether</t>
  </si>
  <si>
    <t>Used the bus or subway less frequently</t>
  </si>
  <si>
    <t>Used special transportation services such as Dial-A-Ride</t>
  </si>
  <si>
    <t>Used a reduced fare taxi</t>
  </si>
  <si>
    <t xml:space="preserve">No </t>
  </si>
  <si>
    <t>TRIP</t>
  </si>
  <si>
    <t xml:space="preserve">Parked </t>
  </si>
  <si>
    <t>Dropped off</t>
  </si>
  <si>
    <t>Walked / Biked to [$BUS_TRAIN]</t>
  </si>
  <si>
    <t>Less than a high school graduate</t>
  </si>
  <si>
    <t>High school graduate or GED</t>
  </si>
  <si>
    <t>Some college or associates degree</t>
  </si>
  <si>
    <t>Bachelor's degree</t>
  </si>
  <si>
    <t>Graduate degree or professional degree</t>
  </si>
  <si>
    <t>5,000 miles or less</t>
  </si>
  <si>
    <t>5,001 to 10,000 miles</t>
  </si>
  <si>
    <t>10,001 to 15,000 miles</t>
  </si>
  <si>
    <t>15,001 to 20,000 miles, or</t>
  </si>
  <si>
    <t>More than 20,000 miles?</t>
  </si>
  <si>
    <t>-88</t>
  </si>
  <si>
    <t>-77</t>
  </si>
  <si>
    <t>Gas</t>
  </si>
  <si>
    <t>Diesel</t>
  </si>
  <si>
    <t xml:space="preserve">Hybrid, electric or alternative fuel </t>
  </si>
  <si>
    <t xml:space="preserve">Some other fuel </t>
  </si>
  <si>
    <t>0</t>
  </si>
  <si>
    <t>0-4%</t>
  </si>
  <si>
    <t>5-14%</t>
  </si>
  <si>
    <t>20</t>
  </si>
  <si>
    <t>15-24%</t>
  </si>
  <si>
    <t>30</t>
  </si>
  <si>
    <t>25-34%</t>
  </si>
  <si>
    <t>40</t>
  </si>
  <si>
    <t>35-44%</t>
  </si>
  <si>
    <t>50</t>
  </si>
  <si>
    <t>45-54%</t>
  </si>
  <si>
    <t>60</t>
  </si>
  <si>
    <t>55-64%</t>
  </si>
  <si>
    <t>70</t>
  </si>
  <si>
    <t>65-74%</t>
  </si>
  <si>
    <t>80</t>
  </si>
  <si>
    <t>75-84%</t>
  </si>
  <si>
    <t>90</t>
  </si>
  <si>
    <t>85-94%</t>
  </si>
  <si>
    <t>95</t>
  </si>
  <si>
    <t>95-100%</t>
  </si>
  <si>
    <t>0-99</t>
  </si>
  <si>
    <t>300</t>
  </si>
  <si>
    <t>100-499</t>
  </si>
  <si>
    <t>750</t>
  </si>
  <si>
    <t>500-999</t>
  </si>
  <si>
    <t>1500</t>
  </si>
  <si>
    <t>1,000-1,999</t>
  </si>
  <si>
    <t>3000</t>
  </si>
  <si>
    <t>2,000-3,999</t>
  </si>
  <si>
    <t>7000</t>
  </si>
  <si>
    <t>4,000-9,999</t>
  </si>
  <si>
    <t>17000</t>
  </si>
  <si>
    <t>10,000-24,999</t>
  </si>
  <si>
    <t>30000</t>
  </si>
  <si>
    <t>25,000-999,999</t>
  </si>
  <si>
    <t>Excellent</t>
  </si>
  <si>
    <t>Very good</t>
  </si>
  <si>
    <t>Good</t>
  </si>
  <si>
    <t>Fair</t>
  </si>
  <si>
    <t>Poor</t>
  </si>
  <si>
    <t xml:space="preserve">Biodiesel </t>
  </si>
  <si>
    <t>Plug-in Hybrid (gas/electric e.g., Chevy Volt)</t>
  </si>
  <si>
    <t>Electric (e.g. Nissan Leaf)</t>
  </si>
  <si>
    <t>Hybrid (gas/electric, not plug-in e.g., Toyota Prius)</t>
  </si>
  <si>
    <t>10100</t>
  </si>
  <si>
    <t>Aberdeen, SD</t>
  </si>
  <si>
    <t>10140</t>
  </si>
  <si>
    <t>Aberdeen, WA</t>
  </si>
  <si>
    <t>10180</t>
  </si>
  <si>
    <t>Abilene, TX</t>
  </si>
  <si>
    <t>10300</t>
  </si>
  <si>
    <t>Adrian, MI</t>
  </si>
  <si>
    <t>10420</t>
  </si>
  <si>
    <t>Akron, OH</t>
  </si>
  <si>
    <t>10460</t>
  </si>
  <si>
    <t>Alamogordo, NM</t>
  </si>
  <si>
    <t>10500</t>
  </si>
  <si>
    <t>Albany, GA</t>
  </si>
  <si>
    <t>10540</t>
  </si>
  <si>
    <t>Albany, OR</t>
  </si>
  <si>
    <t>10580</t>
  </si>
  <si>
    <t>Albany-Schenectady-Troy, NY</t>
  </si>
  <si>
    <t>10620</t>
  </si>
  <si>
    <t>Albemarle, NC</t>
  </si>
  <si>
    <t>10660</t>
  </si>
  <si>
    <t>Albert Lea, MN</t>
  </si>
  <si>
    <t>10700</t>
  </si>
  <si>
    <t>Albertville, AL</t>
  </si>
  <si>
    <t>10740</t>
  </si>
  <si>
    <t>Albuquerque, NM</t>
  </si>
  <si>
    <t>10780</t>
  </si>
  <si>
    <t>Alexandria, LA</t>
  </si>
  <si>
    <t>10820</t>
  </si>
  <si>
    <t>Alexandria, MN</t>
  </si>
  <si>
    <t>10860</t>
  </si>
  <si>
    <t>Alice, TX</t>
  </si>
  <si>
    <t>10900</t>
  </si>
  <si>
    <t>Allentown-Bethlehem-Easton, PA-NJ</t>
  </si>
  <si>
    <t>10940</t>
  </si>
  <si>
    <t>Alma, MI</t>
  </si>
  <si>
    <t>10980</t>
  </si>
  <si>
    <t>Alpena, MI</t>
  </si>
  <si>
    <t>11020</t>
  </si>
  <si>
    <t>Altoona, PA</t>
  </si>
  <si>
    <t>11060</t>
  </si>
  <si>
    <t>Altus, OK</t>
  </si>
  <si>
    <t>11100</t>
  </si>
  <si>
    <t>Amarillo, TX</t>
  </si>
  <si>
    <t>11140</t>
  </si>
  <si>
    <t>Americus, GA</t>
  </si>
  <si>
    <t>11180</t>
  </si>
  <si>
    <t>Ames, IA</t>
  </si>
  <si>
    <t>11220</t>
  </si>
  <si>
    <t>Amsterdam, NY</t>
  </si>
  <si>
    <t>11260</t>
  </si>
  <si>
    <t>Anchorage, AK</t>
  </si>
  <si>
    <t>11380</t>
  </si>
  <si>
    <t>Andrews, TX</t>
  </si>
  <si>
    <t>11420</t>
  </si>
  <si>
    <t>Angola, IN</t>
  </si>
  <si>
    <t>11460</t>
  </si>
  <si>
    <t>Ann Arbor, MI</t>
  </si>
  <si>
    <t>11500</t>
  </si>
  <si>
    <t>Anniston-Oxford-Jacksonville, AL</t>
  </si>
  <si>
    <t>11540</t>
  </si>
  <si>
    <t>Appleton, WI</t>
  </si>
  <si>
    <t>11580</t>
  </si>
  <si>
    <t>Arcadia, FL</t>
  </si>
  <si>
    <t>11620</t>
  </si>
  <si>
    <t>Ardmore, OK</t>
  </si>
  <si>
    <t>11680</t>
  </si>
  <si>
    <t>Arkansas City-Winfield, KS</t>
  </si>
  <si>
    <t>11700</t>
  </si>
  <si>
    <t>Asheville, NC</t>
  </si>
  <si>
    <t>11740</t>
  </si>
  <si>
    <t>Ashland, OH</t>
  </si>
  <si>
    <t>11780</t>
  </si>
  <si>
    <t>Ashtabula, OH</t>
  </si>
  <si>
    <t>11820</t>
  </si>
  <si>
    <t>Astoria, OR</t>
  </si>
  <si>
    <t>11860</t>
  </si>
  <si>
    <t>Atchison, KS</t>
  </si>
  <si>
    <t>11900</t>
  </si>
  <si>
    <t>Athens, OH</t>
  </si>
  <si>
    <t>11940</t>
  </si>
  <si>
    <t>Athens, TN</t>
  </si>
  <si>
    <t>11980</t>
  </si>
  <si>
    <t>Athens, TX</t>
  </si>
  <si>
    <t>12020</t>
  </si>
  <si>
    <t>Athens-Clarke County, GA</t>
  </si>
  <si>
    <t>12060</t>
  </si>
  <si>
    <t>Atlanta-Sandy Springs-Roswell, GA</t>
  </si>
  <si>
    <t>12100</t>
  </si>
  <si>
    <t>Atlantic City-Hammonton, NJ</t>
  </si>
  <si>
    <t>12140</t>
  </si>
  <si>
    <t>Auburn, IN</t>
  </si>
  <si>
    <t>12180</t>
  </si>
  <si>
    <t>Auburn, NY</t>
  </si>
  <si>
    <t>12220</t>
  </si>
  <si>
    <t>Auburn-Opelika, AL</t>
  </si>
  <si>
    <t>12260</t>
  </si>
  <si>
    <t>Augusta-Richmond County, GA-SC</t>
  </si>
  <si>
    <t>12300</t>
  </si>
  <si>
    <t>Augusta-Waterville, ME</t>
  </si>
  <si>
    <t>12380</t>
  </si>
  <si>
    <t>Austin, MN</t>
  </si>
  <si>
    <t>12420</t>
  </si>
  <si>
    <t>Austin-Round Rock, TX</t>
  </si>
  <si>
    <t>12460</t>
  </si>
  <si>
    <t>Bainbridge, GA</t>
  </si>
  <si>
    <t>12540</t>
  </si>
  <si>
    <t>Bakersfield, CA</t>
  </si>
  <si>
    <t>12580</t>
  </si>
  <si>
    <t>Baltimore-Columbia-Towson, MD</t>
  </si>
  <si>
    <t>12620</t>
  </si>
  <si>
    <t>Bangor, ME</t>
  </si>
  <si>
    <t>12660</t>
  </si>
  <si>
    <t>Baraboo, WI</t>
  </si>
  <si>
    <t>12680</t>
  </si>
  <si>
    <t>Bardstown, KY</t>
  </si>
  <si>
    <t>12700</t>
  </si>
  <si>
    <t>Barnstable Town, MA</t>
  </si>
  <si>
    <t>12740</t>
  </si>
  <si>
    <t>Barre, VT</t>
  </si>
  <si>
    <t>12780</t>
  </si>
  <si>
    <t>Bartlesville, OK</t>
  </si>
  <si>
    <t>12820</t>
  </si>
  <si>
    <t>Bastrop, LA</t>
  </si>
  <si>
    <t>12860</t>
  </si>
  <si>
    <t>Batavia, NY</t>
  </si>
  <si>
    <t>12940</t>
  </si>
  <si>
    <t>Baton Rouge, LA</t>
  </si>
  <si>
    <t>12980</t>
  </si>
  <si>
    <t>Battle Creek, MI</t>
  </si>
  <si>
    <t>13020</t>
  </si>
  <si>
    <t>Bay City, MI</t>
  </si>
  <si>
    <t>13060</t>
  </si>
  <si>
    <t>Bay City, TX</t>
  </si>
  <si>
    <t>13100</t>
  </si>
  <si>
    <t>Beatrice, NE</t>
  </si>
  <si>
    <t>13140</t>
  </si>
  <si>
    <t>Beaumont-Port Arthur, TX</t>
  </si>
  <si>
    <t>13180</t>
  </si>
  <si>
    <t>Beaver Dam, WI</t>
  </si>
  <si>
    <t>13220</t>
  </si>
  <si>
    <t>Beckley, WV</t>
  </si>
  <si>
    <t>13300</t>
  </si>
  <si>
    <t>Beeville, TX</t>
  </si>
  <si>
    <t>13380</t>
  </si>
  <si>
    <t>Bellingham, WA</t>
  </si>
  <si>
    <t>13420</t>
  </si>
  <si>
    <t>Bemidji, MN</t>
  </si>
  <si>
    <t>13460</t>
  </si>
  <si>
    <t>Bend-Redmond, OR</t>
  </si>
  <si>
    <t>13500</t>
  </si>
  <si>
    <t>Bennettsville, SC</t>
  </si>
  <si>
    <t>13540</t>
  </si>
  <si>
    <t>Bennington, VT</t>
  </si>
  <si>
    <t>13620</t>
  </si>
  <si>
    <t>Berlin, NH-VT</t>
  </si>
  <si>
    <t>13660</t>
  </si>
  <si>
    <t>Big Rapids, MI</t>
  </si>
  <si>
    <t>13700</t>
  </si>
  <si>
    <t>Big Spring, TX</t>
  </si>
  <si>
    <t>13720</t>
  </si>
  <si>
    <t>Big Stone Gap, VA</t>
  </si>
  <si>
    <t>13740</t>
  </si>
  <si>
    <t>Billings, MT</t>
  </si>
  <si>
    <t>13780</t>
  </si>
  <si>
    <t>Binghamton, NY</t>
  </si>
  <si>
    <t>13820</t>
  </si>
  <si>
    <t>Birmingham-Hoover, AL</t>
  </si>
  <si>
    <t>13900</t>
  </si>
  <si>
    <t>Bismarck, ND</t>
  </si>
  <si>
    <t>13940</t>
  </si>
  <si>
    <t>Blackfoot, ID</t>
  </si>
  <si>
    <t>13980</t>
  </si>
  <si>
    <t>Blacksburg-Christiansburg-Radford, VA</t>
  </si>
  <si>
    <t>14010</t>
  </si>
  <si>
    <t>Bloomington, IL</t>
  </si>
  <si>
    <t>14020</t>
  </si>
  <si>
    <t>Bloomington, IN</t>
  </si>
  <si>
    <t>14100</t>
  </si>
  <si>
    <t>Bloomsburg-Berwick, PA</t>
  </si>
  <si>
    <t>14140</t>
  </si>
  <si>
    <t>Bluefield, WV-VA</t>
  </si>
  <si>
    <t>14180</t>
  </si>
  <si>
    <t>Blytheville, AR</t>
  </si>
  <si>
    <t>14220</t>
  </si>
  <si>
    <t>Bogalusa, LA</t>
  </si>
  <si>
    <t>14260</t>
  </si>
  <si>
    <t>Boise City, ID</t>
  </si>
  <si>
    <t>14340</t>
  </si>
  <si>
    <t>Boone, IA</t>
  </si>
  <si>
    <t>14380</t>
  </si>
  <si>
    <t>Boone, NC</t>
  </si>
  <si>
    <t>14420</t>
  </si>
  <si>
    <t>Borger, TX</t>
  </si>
  <si>
    <t>14460</t>
  </si>
  <si>
    <t>Boston-Cambridge-Newton, MA-NH</t>
  </si>
  <si>
    <t>14500</t>
  </si>
  <si>
    <t>Boulder, CO</t>
  </si>
  <si>
    <t>14540</t>
  </si>
  <si>
    <t>Bowling Green, KY</t>
  </si>
  <si>
    <t>14580</t>
  </si>
  <si>
    <t>Bozeman, MT</t>
  </si>
  <si>
    <t>14620</t>
  </si>
  <si>
    <t>Bradford, PA</t>
  </si>
  <si>
    <t>14660</t>
  </si>
  <si>
    <t>Brainerd, MN</t>
  </si>
  <si>
    <t>14700</t>
  </si>
  <si>
    <t>Branson, MO</t>
  </si>
  <si>
    <t>14720</t>
  </si>
  <si>
    <t>Breckenridge, CO</t>
  </si>
  <si>
    <t>14740</t>
  </si>
  <si>
    <t>Bremerton-Silverdale, WA</t>
  </si>
  <si>
    <t>14780</t>
  </si>
  <si>
    <t>Brenham, TX</t>
  </si>
  <si>
    <t>14820</t>
  </si>
  <si>
    <t>Brevard, NC</t>
  </si>
  <si>
    <t>14860</t>
  </si>
  <si>
    <t>Bridgeport-Stamford-Norwalk, CT</t>
  </si>
  <si>
    <t>15100</t>
  </si>
  <si>
    <t>Brookings, SD</t>
  </si>
  <si>
    <t>15180</t>
  </si>
  <si>
    <t>Brownsville-Harlingen, TX</t>
  </si>
  <si>
    <t>15220</t>
  </si>
  <si>
    <t>Brownwood, TX</t>
  </si>
  <si>
    <t>15260</t>
  </si>
  <si>
    <t>Brunswick, GA</t>
  </si>
  <si>
    <t>15340</t>
  </si>
  <si>
    <t>Bucyrus, OH</t>
  </si>
  <si>
    <t>15380</t>
  </si>
  <si>
    <t>Buffalo-Cheektowaga-Niagara Falls, NY</t>
  </si>
  <si>
    <t>15420</t>
  </si>
  <si>
    <t>Burley, ID</t>
  </si>
  <si>
    <t>15460</t>
  </si>
  <si>
    <t>Burlington, IA-IL</t>
  </si>
  <si>
    <t>15500</t>
  </si>
  <si>
    <t>Burlington, NC</t>
  </si>
  <si>
    <t>15540</t>
  </si>
  <si>
    <t>Burlington-South Burlington, VT</t>
  </si>
  <si>
    <t>15580</t>
  </si>
  <si>
    <t>Butte-Silver Bow, MT</t>
  </si>
  <si>
    <t>15620</t>
  </si>
  <si>
    <t>Cadillac, MI</t>
  </si>
  <si>
    <t>15660</t>
  </si>
  <si>
    <t>Calhoun, GA</t>
  </si>
  <si>
    <t>15680</t>
  </si>
  <si>
    <t>California-Lexington Park, MD</t>
  </si>
  <si>
    <t>15700</t>
  </si>
  <si>
    <t>Cambridge, MD</t>
  </si>
  <si>
    <t>15740</t>
  </si>
  <si>
    <t>Cambridge, OH</t>
  </si>
  <si>
    <t>15780</t>
  </si>
  <si>
    <t>Camden, AR</t>
  </si>
  <si>
    <t>15820</t>
  </si>
  <si>
    <t>Campbellsville, KY</t>
  </si>
  <si>
    <t>15860</t>
  </si>
  <si>
    <t>CaÃ±on City, CO</t>
  </si>
  <si>
    <t>15900</t>
  </si>
  <si>
    <t>Canton, IL</t>
  </si>
  <si>
    <t>15940</t>
  </si>
  <si>
    <t>Canton-Massillon, OH</t>
  </si>
  <si>
    <t>15980</t>
  </si>
  <si>
    <t>Cape Coral-Fort Myers, FL</t>
  </si>
  <si>
    <t>16020</t>
  </si>
  <si>
    <t>Cape Girardeau, MO-IL</t>
  </si>
  <si>
    <t>16060</t>
  </si>
  <si>
    <t>Carbondale-Marion, IL</t>
  </si>
  <si>
    <t>16100</t>
  </si>
  <si>
    <t>Carlsbad-Artesia, NM</t>
  </si>
  <si>
    <t>16180</t>
  </si>
  <si>
    <t>Carson City, NV</t>
  </si>
  <si>
    <t>16220</t>
  </si>
  <si>
    <t>Casper, WY</t>
  </si>
  <si>
    <t>16260</t>
  </si>
  <si>
    <t>Cedar City, UT</t>
  </si>
  <si>
    <t>16300</t>
  </si>
  <si>
    <t>Cedar Rapids, IA</t>
  </si>
  <si>
    <t>16340</t>
  </si>
  <si>
    <t>Cedartown, GA</t>
  </si>
  <si>
    <t>16380</t>
  </si>
  <si>
    <t>Celina, OH</t>
  </si>
  <si>
    <t>16460</t>
  </si>
  <si>
    <t>Centralia, IL</t>
  </si>
  <si>
    <t>16500</t>
  </si>
  <si>
    <t>Centralia, WA</t>
  </si>
  <si>
    <t>16540</t>
  </si>
  <si>
    <t>Chambersburg-Waynesboro, PA</t>
  </si>
  <si>
    <t>16580</t>
  </si>
  <si>
    <t>Champaign-Urbana, IL</t>
  </si>
  <si>
    <t>16620</t>
  </si>
  <si>
    <t>Charleston, WV</t>
  </si>
  <si>
    <t>16660</t>
  </si>
  <si>
    <t>Charleston-Mattoon, IL</t>
  </si>
  <si>
    <t>16700</t>
  </si>
  <si>
    <t>Charleston-North Charleston, SC</t>
  </si>
  <si>
    <t>16740</t>
  </si>
  <si>
    <t>Charlotte-Concord-Gastonia, NC-SC</t>
  </si>
  <si>
    <t>16820</t>
  </si>
  <si>
    <t>Charlottesville, VA</t>
  </si>
  <si>
    <t>16860</t>
  </si>
  <si>
    <t>Chattanooga, TN-GA</t>
  </si>
  <si>
    <t>16940</t>
  </si>
  <si>
    <t>Cheyenne, WY</t>
  </si>
  <si>
    <t>16980</t>
  </si>
  <si>
    <t>Chicago-Naperville-Elgin, IL-IN-WI</t>
  </si>
  <si>
    <t>17020</t>
  </si>
  <si>
    <t>Chico, CA</t>
  </si>
  <si>
    <t>17060</t>
  </si>
  <si>
    <t>Chillicothe, OH</t>
  </si>
  <si>
    <t>17140</t>
  </si>
  <si>
    <t>Cincinnati, OH-KY-IN</t>
  </si>
  <si>
    <t>17200</t>
  </si>
  <si>
    <t>Claremont-Lebanon, NH-VT</t>
  </si>
  <si>
    <t>17220</t>
  </si>
  <si>
    <t>Clarksburg, WV</t>
  </si>
  <si>
    <t>17300</t>
  </si>
  <si>
    <t>Clarksville, TN-KY</t>
  </si>
  <si>
    <t>17340</t>
  </si>
  <si>
    <t>Clearlake, CA</t>
  </si>
  <si>
    <t>17380</t>
  </si>
  <si>
    <t>Cleveland, MS</t>
  </si>
  <si>
    <t>17420</t>
  </si>
  <si>
    <t>Cleveland, TN</t>
  </si>
  <si>
    <t>17460</t>
  </si>
  <si>
    <t>Cleveland-Elyria, OH</t>
  </si>
  <si>
    <t>17540</t>
  </si>
  <si>
    <t>Clinton, IA</t>
  </si>
  <si>
    <t>17580</t>
  </si>
  <si>
    <t>Clovis, NM</t>
  </si>
  <si>
    <t>17660</t>
  </si>
  <si>
    <t>Coeur d'Alene, ID</t>
  </si>
  <si>
    <t>17700</t>
  </si>
  <si>
    <t>Coffeyville, KS</t>
  </si>
  <si>
    <t>17740</t>
  </si>
  <si>
    <t>Coldwater, MI</t>
  </si>
  <si>
    <t>17780</t>
  </si>
  <si>
    <t>College Station-Bryan, TX</t>
  </si>
  <si>
    <t>17820</t>
  </si>
  <si>
    <t>Colorado Springs, CO</t>
  </si>
  <si>
    <t>17860</t>
  </si>
  <si>
    <t>Columbia, MO</t>
  </si>
  <si>
    <t>17900</t>
  </si>
  <si>
    <t>Columbia, SC</t>
  </si>
  <si>
    <t>17980</t>
  </si>
  <si>
    <t>Columbus, GA-AL</t>
  </si>
  <si>
    <t>18020</t>
  </si>
  <si>
    <t>Columbus, IN</t>
  </si>
  <si>
    <t>18060</t>
  </si>
  <si>
    <t>Columbus, MS</t>
  </si>
  <si>
    <t>18100</t>
  </si>
  <si>
    <t>Columbus, NE</t>
  </si>
  <si>
    <t>18140</t>
  </si>
  <si>
    <t>Columbus, OH</t>
  </si>
  <si>
    <t>18180</t>
  </si>
  <si>
    <t>Concord, NH</t>
  </si>
  <si>
    <t>18260</t>
  </si>
  <si>
    <t>Cookeville, TN</t>
  </si>
  <si>
    <t>18300</t>
  </si>
  <si>
    <t>Coos Bay, OR</t>
  </si>
  <si>
    <t>18380</t>
  </si>
  <si>
    <t>Cordele, GA</t>
  </si>
  <si>
    <t>18420</t>
  </si>
  <si>
    <t>Corinth, MS</t>
  </si>
  <si>
    <t>18460</t>
  </si>
  <si>
    <t>Cornelia, GA</t>
  </si>
  <si>
    <t>18500</t>
  </si>
  <si>
    <t>Corning, NY</t>
  </si>
  <si>
    <t>18580</t>
  </si>
  <si>
    <t>Corpus Christi, TX</t>
  </si>
  <si>
    <t>18620</t>
  </si>
  <si>
    <t>Corsicana, TX</t>
  </si>
  <si>
    <t>18660</t>
  </si>
  <si>
    <t>Cortland, NY</t>
  </si>
  <si>
    <t>18700</t>
  </si>
  <si>
    <t>Corvallis, OR</t>
  </si>
  <si>
    <t>18740</t>
  </si>
  <si>
    <t>Coshocton, OH</t>
  </si>
  <si>
    <t>18780</t>
  </si>
  <si>
    <t>Craig, CO</t>
  </si>
  <si>
    <t>18820</t>
  </si>
  <si>
    <t>Crawfordsville, IN</t>
  </si>
  <si>
    <t>18860</t>
  </si>
  <si>
    <t>Crescent City, CA</t>
  </si>
  <si>
    <t>18880</t>
  </si>
  <si>
    <t>Crestview-Fort Walton Beach-Destin, FL</t>
  </si>
  <si>
    <t>18900</t>
  </si>
  <si>
    <t>Crossville, TN</t>
  </si>
  <si>
    <t>18980</t>
  </si>
  <si>
    <t>Cullman, AL</t>
  </si>
  <si>
    <t>19000</t>
  </si>
  <si>
    <t>Cullowhee, NC</t>
  </si>
  <si>
    <t>19060</t>
  </si>
  <si>
    <t>Cumberland, MD-WV</t>
  </si>
  <si>
    <t>19100</t>
  </si>
  <si>
    <t>Dallas-Fort Worth-Arlington, TX</t>
  </si>
  <si>
    <t>19140</t>
  </si>
  <si>
    <t>Dalton, GA</t>
  </si>
  <si>
    <t>19180</t>
  </si>
  <si>
    <t>Danville, IL</t>
  </si>
  <si>
    <t>19220</t>
  </si>
  <si>
    <t>Danville, KY</t>
  </si>
  <si>
    <t>19260</t>
  </si>
  <si>
    <t>Danville, VA</t>
  </si>
  <si>
    <t>19300</t>
  </si>
  <si>
    <t>Daphne-Fairhope-Foley, AL</t>
  </si>
  <si>
    <t>19340</t>
  </si>
  <si>
    <t>Davenport-Moline-Rock Island, IA-IL</t>
  </si>
  <si>
    <t>19380</t>
  </si>
  <si>
    <t>Dayton, OH</t>
  </si>
  <si>
    <t>19420</t>
  </si>
  <si>
    <t>Dayton, TN</t>
  </si>
  <si>
    <t>19460</t>
  </si>
  <si>
    <t>Decatur, AL</t>
  </si>
  <si>
    <t>19500</t>
  </si>
  <si>
    <t>Decatur, IL</t>
  </si>
  <si>
    <t>19540</t>
  </si>
  <si>
    <t>Decatur, IN</t>
  </si>
  <si>
    <t>19580</t>
  </si>
  <si>
    <t>Defiance, OH</t>
  </si>
  <si>
    <t>19620</t>
  </si>
  <si>
    <t>Del Rio, TX</t>
  </si>
  <si>
    <t>19660</t>
  </si>
  <si>
    <t>Deltona-Daytona Beach-Ormond Beach, FL</t>
  </si>
  <si>
    <t>19700</t>
  </si>
  <si>
    <t>Deming, NM</t>
  </si>
  <si>
    <t>19740</t>
  </si>
  <si>
    <t>Denver-Aurora-Lakewood, CO</t>
  </si>
  <si>
    <t>19760</t>
  </si>
  <si>
    <t>DeRidder, LA</t>
  </si>
  <si>
    <t>19780</t>
  </si>
  <si>
    <t>Des Moines-West Des Moines, IA</t>
  </si>
  <si>
    <t>19820</t>
  </si>
  <si>
    <t>Detroit-Warren-Dearborn, MI</t>
  </si>
  <si>
    <t>19860</t>
  </si>
  <si>
    <t>Dickinson, ND</t>
  </si>
  <si>
    <t>19940</t>
  </si>
  <si>
    <t>Dixon, IL</t>
  </si>
  <si>
    <t>19980</t>
  </si>
  <si>
    <t>Dodge City, KS</t>
  </si>
  <si>
    <t>20020</t>
  </si>
  <si>
    <t>Dothan, AL</t>
  </si>
  <si>
    <t>20060</t>
  </si>
  <si>
    <t>Douglas, GA</t>
  </si>
  <si>
    <t>20100</t>
  </si>
  <si>
    <t>Dover, DE</t>
  </si>
  <si>
    <t>20140</t>
  </si>
  <si>
    <t>Dublin, GA</t>
  </si>
  <si>
    <t>20180</t>
  </si>
  <si>
    <t>DuBois, PA</t>
  </si>
  <si>
    <t>20220</t>
  </si>
  <si>
    <t>Dubuque, IA</t>
  </si>
  <si>
    <t>20260</t>
  </si>
  <si>
    <t>Duluth, MN-WI</t>
  </si>
  <si>
    <t>20300</t>
  </si>
  <si>
    <t>Dumas, TX</t>
  </si>
  <si>
    <t>20340</t>
  </si>
  <si>
    <t>Duncan, OK</t>
  </si>
  <si>
    <t>20380</t>
  </si>
  <si>
    <t>Dunn, NC</t>
  </si>
  <si>
    <t>20420</t>
  </si>
  <si>
    <t>Durango, CO</t>
  </si>
  <si>
    <t>20460</t>
  </si>
  <si>
    <t>Durant, OK</t>
  </si>
  <si>
    <t>20500</t>
  </si>
  <si>
    <t>Durham-Chapel Hill, NC</t>
  </si>
  <si>
    <t>20540</t>
  </si>
  <si>
    <t>Dyersburg, TN</t>
  </si>
  <si>
    <t>20580</t>
  </si>
  <si>
    <t>Eagle Pass, TX</t>
  </si>
  <si>
    <t>20660</t>
  </si>
  <si>
    <t>Easton, MD</t>
  </si>
  <si>
    <t>20700</t>
  </si>
  <si>
    <t>East Stroudsburg, PA</t>
  </si>
  <si>
    <t>20740</t>
  </si>
  <si>
    <t>Eau Claire, WI</t>
  </si>
  <si>
    <t>20780</t>
  </si>
  <si>
    <t>Edwards, CO</t>
  </si>
  <si>
    <t>20820</t>
  </si>
  <si>
    <t>Effingham, IL</t>
  </si>
  <si>
    <t>20900</t>
  </si>
  <si>
    <t>El Campo, TX</t>
  </si>
  <si>
    <t>20940</t>
  </si>
  <si>
    <t>El Centro, CA</t>
  </si>
  <si>
    <t>20980</t>
  </si>
  <si>
    <t>El Dorado, AR</t>
  </si>
  <si>
    <t>21020</t>
  </si>
  <si>
    <t>Elizabeth City, NC</t>
  </si>
  <si>
    <t>21060</t>
  </si>
  <si>
    <t>Elizabethtown-Fort Knox, KY</t>
  </si>
  <si>
    <t>21120</t>
  </si>
  <si>
    <t>Elk City, OK</t>
  </si>
  <si>
    <t>21140</t>
  </si>
  <si>
    <t>Elkhart-Goshen, IN</t>
  </si>
  <si>
    <t>21180</t>
  </si>
  <si>
    <t>Elkins, WV</t>
  </si>
  <si>
    <t>21220</t>
  </si>
  <si>
    <t>Elko, NV</t>
  </si>
  <si>
    <t>21260</t>
  </si>
  <si>
    <t>Ellensburg, WA</t>
  </si>
  <si>
    <t>21300</t>
  </si>
  <si>
    <t>Elmira, NY</t>
  </si>
  <si>
    <t>21340</t>
  </si>
  <si>
    <t>El Paso, TX</t>
  </si>
  <si>
    <t>21380</t>
  </si>
  <si>
    <t>Emporia, KS</t>
  </si>
  <si>
    <t>21420</t>
  </si>
  <si>
    <t>Enid, OK</t>
  </si>
  <si>
    <t>21460</t>
  </si>
  <si>
    <t>Enterprise, AL</t>
  </si>
  <si>
    <t>21500</t>
  </si>
  <si>
    <t>Erie, PA</t>
  </si>
  <si>
    <t>21540</t>
  </si>
  <si>
    <t>Escanaba, MI</t>
  </si>
  <si>
    <t>21580</t>
  </si>
  <si>
    <t>EspaÃ±ola, NM</t>
  </si>
  <si>
    <t>21660</t>
  </si>
  <si>
    <t>Eugene, OR</t>
  </si>
  <si>
    <t>21700</t>
  </si>
  <si>
    <t>Eureka-Arcata-Fortuna, CA</t>
  </si>
  <si>
    <t>21740</t>
  </si>
  <si>
    <t>Evanston, WY</t>
  </si>
  <si>
    <t>21780</t>
  </si>
  <si>
    <t>Evansville, IN-KY</t>
  </si>
  <si>
    <t>21820</t>
  </si>
  <si>
    <t>Fairbanks, AK</t>
  </si>
  <si>
    <t>21840</t>
  </si>
  <si>
    <t>Fairfield, IA</t>
  </si>
  <si>
    <t>21900</t>
  </si>
  <si>
    <t>Fairmont, WV</t>
  </si>
  <si>
    <t>22020</t>
  </si>
  <si>
    <t>Fargo, ND-MN</t>
  </si>
  <si>
    <t>22060</t>
  </si>
  <si>
    <t>Faribault-Northfield, MN</t>
  </si>
  <si>
    <t>22100</t>
  </si>
  <si>
    <t>Farmington, MO</t>
  </si>
  <si>
    <t>22140</t>
  </si>
  <si>
    <t>Farmington, NM</t>
  </si>
  <si>
    <t>22180</t>
  </si>
  <si>
    <t>Fayetteville, NC</t>
  </si>
  <si>
    <t>22220</t>
  </si>
  <si>
    <t>Fayetteville-Springdale-Rogers, AR-MO</t>
  </si>
  <si>
    <t>22260</t>
  </si>
  <si>
    <t>Fergus Falls, MN</t>
  </si>
  <si>
    <t>22280</t>
  </si>
  <si>
    <t>Fernley, NV</t>
  </si>
  <si>
    <t>22300</t>
  </si>
  <si>
    <t>Findlay, OH</t>
  </si>
  <si>
    <t>22340</t>
  </si>
  <si>
    <t>Fitzgerald, GA</t>
  </si>
  <si>
    <t>22380</t>
  </si>
  <si>
    <t>Flagstaff, AZ</t>
  </si>
  <si>
    <t>22420</t>
  </si>
  <si>
    <t>Flint, MI</t>
  </si>
  <si>
    <t>22500</t>
  </si>
  <si>
    <t>Florence, SC</t>
  </si>
  <si>
    <t>22520</t>
  </si>
  <si>
    <t>Florence-Muscle Shoals, AL</t>
  </si>
  <si>
    <t>22540</t>
  </si>
  <si>
    <t>Fond du Lac, WI</t>
  </si>
  <si>
    <t>22580</t>
  </si>
  <si>
    <t>Forest City, NC</t>
  </si>
  <si>
    <t>22660</t>
  </si>
  <si>
    <t>Fort Collins, CO</t>
  </si>
  <si>
    <t>22700</t>
  </si>
  <si>
    <t>Fort Dodge, IA</t>
  </si>
  <si>
    <t>22780</t>
  </si>
  <si>
    <t>Fort Leonard Wood, MO</t>
  </si>
  <si>
    <t>22800</t>
  </si>
  <si>
    <t>Fort Madison-Keokuk, IA-IL-MO</t>
  </si>
  <si>
    <t>22820</t>
  </si>
  <si>
    <t>Fort Morgan, CO</t>
  </si>
  <si>
    <t>22860</t>
  </si>
  <si>
    <t>Fort Polk South, LA</t>
  </si>
  <si>
    <t>22900</t>
  </si>
  <si>
    <t>Fort Smith, AR-OK</t>
  </si>
  <si>
    <t>23060</t>
  </si>
  <si>
    <t>Fort Wayne, IN</t>
  </si>
  <si>
    <t>23180</t>
  </si>
  <si>
    <t>Frankfort, KY</t>
  </si>
  <si>
    <t>23240</t>
  </si>
  <si>
    <t>Fredericksburg, TX</t>
  </si>
  <si>
    <t>23300</t>
  </si>
  <si>
    <t>Freeport, IL</t>
  </si>
  <si>
    <t>23340</t>
  </si>
  <si>
    <t>Fremont, NE</t>
  </si>
  <si>
    <t>23380</t>
  </si>
  <si>
    <t>Fremont, OH</t>
  </si>
  <si>
    <t>23420</t>
  </si>
  <si>
    <t>Fresno, CA</t>
  </si>
  <si>
    <t>23460</t>
  </si>
  <si>
    <t>Gadsden, AL</t>
  </si>
  <si>
    <t>23500</t>
  </si>
  <si>
    <t>Gaffney, SC</t>
  </si>
  <si>
    <t>23540</t>
  </si>
  <si>
    <t>Gainesville, FL</t>
  </si>
  <si>
    <t>23580</t>
  </si>
  <si>
    <t>Gainesville, GA</t>
  </si>
  <si>
    <t>23620</t>
  </si>
  <si>
    <t>Gainesville, TX</t>
  </si>
  <si>
    <t>23660</t>
  </si>
  <si>
    <t>Galesburg, IL</t>
  </si>
  <si>
    <t>23700</t>
  </si>
  <si>
    <t>Gallup, NM</t>
  </si>
  <si>
    <t>23780</t>
  </si>
  <si>
    <t>Garden City, KS</t>
  </si>
  <si>
    <t>23820</t>
  </si>
  <si>
    <t>Gardnerville Ranchos, NV</t>
  </si>
  <si>
    <t>23860</t>
  </si>
  <si>
    <t>Georgetown, SC</t>
  </si>
  <si>
    <t>23900</t>
  </si>
  <si>
    <t>Gettysburg, PA</t>
  </si>
  <si>
    <t>23940</t>
  </si>
  <si>
    <t>Gillette, WY</t>
  </si>
  <si>
    <t>23980</t>
  </si>
  <si>
    <t>Glasgow, KY</t>
  </si>
  <si>
    <t>24020</t>
  </si>
  <si>
    <t>Glens Falls, NY</t>
  </si>
  <si>
    <t>24060</t>
  </si>
  <si>
    <t>Glenwood Springs, CO</t>
  </si>
  <si>
    <t>24100</t>
  </si>
  <si>
    <t>Gloversville, NY</t>
  </si>
  <si>
    <t>24140</t>
  </si>
  <si>
    <t>Goldsboro, NC</t>
  </si>
  <si>
    <t>24220</t>
  </si>
  <si>
    <t>Grand Forks, ND-MN</t>
  </si>
  <si>
    <t>24260</t>
  </si>
  <si>
    <t>Grand Island, NE</t>
  </si>
  <si>
    <t>24300</t>
  </si>
  <si>
    <t>Grand Junction, CO</t>
  </si>
  <si>
    <t>24340</t>
  </si>
  <si>
    <t>Grand Rapids-Wyoming, MI</t>
  </si>
  <si>
    <t>24420</t>
  </si>
  <si>
    <t>Grants Pass, OR</t>
  </si>
  <si>
    <t>24460</t>
  </si>
  <si>
    <t>Great Bend, KS</t>
  </si>
  <si>
    <t>24500</t>
  </si>
  <si>
    <t>Great Falls, MT</t>
  </si>
  <si>
    <t>24540</t>
  </si>
  <si>
    <t>Greeley, CO</t>
  </si>
  <si>
    <t>24580</t>
  </si>
  <si>
    <t>Green Bay, WI</t>
  </si>
  <si>
    <t>24620</t>
  </si>
  <si>
    <t>Greeneville, TN</t>
  </si>
  <si>
    <t>24640</t>
  </si>
  <si>
    <t>Greenfield Town, MA</t>
  </si>
  <si>
    <t>24660</t>
  </si>
  <si>
    <t>Greensboro-High Point, NC</t>
  </si>
  <si>
    <t>24700</t>
  </si>
  <si>
    <t>Greensburg, IN</t>
  </si>
  <si>
    <t>24740</t>
  </si>
  <si>
    <t>Greenville, MS</t>
  </si>
  <si>
    <t>24780</t>
  </si>
  <si>
    <t>Greenville, NC</t>
  </si>
  <si>
    <t>24820</t>
  </si>
  <si>
    <t>Greenville, OH</t>
  </si>
  <si>
    <t>24860</t>
  </si>
  <si>
    <t>Greenville-Anderson-Mauldin, SC</t>
  </si>
  <si>
    <t>24900</t>
  </si>
  <si>
    <t>Greenwood, MS</t>
  </si>
  <si>
    <t>24940</t>
  </si>
  <si>
    <t>Greenwood, SC</t>
  </si>
  <si>
    <t>24980</t>
  </si>
  <si>
    <t>Grenada, MS</t>
  </si>
  <si>
    <t>25060</t>
  </si>
  <si>
    <t>Gulfport-Biloxi-Pascagoula, MS</t>
  </si>
  <si>
    <t>25100</t>
  </si>
  <si>
    <t>Guymon, OK</t>
  </si>
  <si>
    <t>25180</t>
  </si>
  <si>
    <t>Hagerstown-Martinsburg, MD-WV</t>
  </si>
  <si>
    <t>25200</t>
  </si>
  <si>
    <t>Hailey, ID</t>
  </si>
  <si>
    <t>25220</t>
  </si>
  <si>
    <t>Hammond, LA</t>
  </si>
  <si>
    <t>25260</t>
  </si>
  <si>
    <t>Hanford-Corcoran, CA</t>
  </si>
  <si>
    <t>25300</t>
  </si>
  <si>
    <t>Hannibal, MO</t>
  </si>
  <si>
    <t>25420</t>
  </si>
  <si>
    <t>Harrisburg-Carlisle, PA</t>
  </si>
  <si>
    <t>25460</t>
  </si>
  <si>
    <t>Harrison, AR</t>
  </si>
  <si>
    <t>25500</t>
  </si>
  <si>
    <t>Harrisonburg, VA</t>
  </si>
  <si>
    <t>25540</t>
  </si>
  <si>
    <t>Hartford-West Hartford-East Hartford, CT</t>
  </si>
  <si>
    <t>25580</t>
  </si>
  <si>
    <t>Hastings, NE</t>
  </si>
  <si>
    <t>25620</t>
  </si>
  <si>
    <t>Hattiesburg, MS</t>
  </si>
  <si>
    <t>25700</t>
  </si>
  <si>
    <t>Hays, KS</t>
  </si>
  <si>
    <t>25720</t>
  </si>
  <si>
    <t>Heber, UT</t>
  </si>
  <si>
    <t>25740</t>
  </si>
  <si>
    <t>Helena, MT</t>
  </si>
  <si>
    <t>25760</t>
  </si>
  <si>
    <t>Helena-West Helena, AR</t>
  </si>
  <si>
    <t>25780</t>
  </si>
  <si>
    <t>Henderson, NC</t>
  </si>
  <si>
    <t>25820</t>
  </si>
  <si>
    <t>Hereford, TX</t>
  </si>
  <si>
    <t>25840</t>
  </si>
  <si>
    <t>Hermiston-Pendleton, OR</t>
  </si>
  <si>
    <t>25860</t>
  </si>
  <si>
    <t>Hickory-Lenoir-Morganton, NC</t>
  </si>
  <si>
    <t>25880</t>
  </si>
  <si>
    <t>Hillsdale, MI</t>
  </si>
  <si>
    <t>25900</t>
  </si>
  <si>
    <t>Hilo, HI</t>
  </si>
  <si>
    <t>25940</t>
  </si>
  <si>
    <t>Hilton Head Island-Bluffton-Beaufort, SC</t>
  </si>
  <si>
    <t>25980</t>
  </si>
  <si>
    <t>Hinesville, GA</t>
  </si>
  <si>
    <t>26020</t>
  </si>
  <si>
    <t>Hobbs, NM</t>
  </si>
  <si>
    <t>26090</t>
  </si>
  <si>
    <t>Holland, MI</t>
  </si>
  <si>
    <t>26140</t>
  </si>
  <si>
    <t>Homosassa Springs, FL</t>
  </si>
  <si>
    <t>26300</t>
  </si>
  <si>
    <t>Hot Springs, AR</t>
  </si>
  <si>
    <t>26340</t>
  </si>
  <si>
    <t>Houghton, MI</t>
  </si>
  <si>
    <t>26380</t>
  </si>
  <si>
    <t>Houma-Thibodaux, LA</t>
  </si>
  <si>
    <t>26420</t>
  </si>
  <si>
    <t>Houston-The Woodlands-Sugar Land, TX</t>
  </si>
  <si>
    <t>26460</t>
  </si>
  <si>
    <t>Hudson, NY</t>
  </si>
  <si>
    <t>26500</t>
  </si>
  <si>
    <t>Huntingdon, PA</t>
  </si>
  <si>
    <t>26540</t>
  </si>
  <si>
    <t>Huntington, IN</t>
  </si>
  <si>
    <t>26580</t>
  </si>
  <si>
    <t>Huntington-Ashland, WV-KY-OH</t>
  </si>
  <si>
    <t>26620</t>
  </si>
  <si>
    <t>Huntsville, AL</t>
  </si>
  <si>
    <t>26660</t>
  </si>
  <si>
    <t>Huntsville, TX</t>
  </si>
  <si>
    <t>26700</t>
  </si>
  <si>
    <t>Huron, SD</t>
  </si>
  <si>
    <t>26740</t>
  </si>
  <si>
    <t>Hutchinson, KS</t>
  </si>
  <si>
    <t>26780</t>
  </si>
  <si>
    <t>Hutchinson, MN</t>
  </si>
  <si>
    <t>26820</t>
  </si>
  <si>
    <t>Idaho Falls, ID</t>
  </si>
  <si>
    <t>26860</t>
  </si>
  <si>
    <t>Indiana, PA</t>
  </si>
  <si>
    <t>26900</t>
  </si>
  <si>
    <t>Indianapolis-Carmel-Anderson, IN</t>
  </si>
  <si>
    <t>26940</t>
  </si>
  <si>
    <t>Indianola, MS</t>
  </si>
  <si>
    <t>26960</t>
  </si>
  <si>
    <t>Ionia, MI</t>
  </si>
  <si>
    <t>26980</t>
  </si>
  <si>
    <t>Iowa City, IA</t>
  </si>
  <si>
    <t>27020</t>
  </si>
  <si>
    <t>Iron Mountain, MI-WI</t>
  </si>
  <si>
    <t>27060</t>
  </si>
  <si>
    <t>Ithaca, NY</t>
  </si>
  <si>
    <t>27100</t>
  </si>
  <si>
    <t>Jackson, MI</t>
  </si>
  <si>
    <t>27140</t>
  </si>
  <si>
    <t>Jackson, MS</t>
  </si>
  <si>
    <t>27160</t>
  </si>
  <si>
    <t>Jackson, OH</t>
  </si>
  <si>
    <t>27180</t>
  </si>
  <si>
    <t>Jackson, TN</t>
  </si>
  <si>
    <t>27220</t>
  </si>
  <si>
    <t>Jackson, WY-ID</t>
  </si>
  <si>
    <t>27260</t>
  </si>
  <si>
    <t>Jacksonville, FL</t>
  </si>
  <si>
    <t>27300</t>
  </si>
  <si>
    <t>Jacksonville, IL</t>
  </si>
  <si>
    <t>27340</t>
  </si>
  <si>
    <t>Jacksonville, NC</t>
  </si>
  <si>
    <t>27380</t>
  </si>
  <si>
    <t>Jacksonville, TX</t>
  </si>
  <si>
    <t>27420</t>
  </si>
  <si>
    <t>Jamestown, ND</t>
  </si>
  <si>
    <t>27460</t>
  </si>
  <si>
    <t>Jamestown-Dunkirk-Fredonia, NY</t>
  </si>
  <si>
    <t>27500</t>
  </si>
  <si>
    <t>Janesville-Beloit, WI</t>
  </si>
  <si>
    <t>27540</t>
  </si>
  <si>
    <t>Jasper, IN</t>
  </si>
  <si>
    <t>27600</t>
  </si>
  <si>
    <t>Jefferson, GA</t>
  </si>
  <si>
    <t>27620</t>
  </si>
  <si>
    <t>Jefferson City, MO</t>
  </si>
  <si>
    <t>27700</t>
  </si>
  <si>
    <t>Jesup, GA</t>
  </si>
  <si>
    <t>27740</t>
  </si>
  <si>
    <t>Johnson City, TN</t>
  </si>
  <si>
    <t>27780</t>
  </si>
  <si>
    <t>Johnstown, PA</t>
  </si>
  <si>
    <t>27860</t>
  </si>
  <si>
    <t>Jonesboro, AR</t>
  </si>
  <si>
    <t>27900</t>
  </si>
  <si>
    <t>Joplin, MO</t>
  </si>
  <si>
    <t>27920</t>
  </si>
  <si>
    <t>Junction City, KS</t>
  </si>
  <si>
    <t>27940</t>
  </si>
  <si>
    <t>Juneau, AK</t>
  </si>
  <si>
    <t>27980</t>
  </si>
  <si>
    <t>Kahului-Wailuku-Lahaina, HI</t>
  </si>
  <si>
    <t>28020</t>
  </si>
  <si>
    <t>Kalamazoo-Portage, MI</t>
  </si>
  <si>
    <t>28060</t>
  </si>
  <si>
    <t>Kalispell, MT</t>
  </si>
  <si>
    <t>28100</t>
  </si>
  <si>
    <t>Kankakee, IL</t>
  </si>
  <si>
    <t>28140</t>
  </si>
  <si>
    <t>Kansas City, MO-KS</t>
  </si>
  <si>
    <t>28180</t>
  </si>
  <si>
    <t>Kapaa, HI</t>
  </si>
  <si>
    <t>28260</t>
  </si>
  <si>
    <t>Kearney, NE</t>
  </si>
  <si>
    <t>28300</t>
  </si>
  <si>
    <t>Keene, NH</t>
  </si>
  <si>
    <t>28340</t>
  </si>
  <si>
    <t>Kendallville, IN</t>
  </si>
  <si>
    <t>28380</t>
  </si>
  <si>
    <t>Kennett, MO</t>
  </si>
  <si>
    <t>28420</t>
  </si>
  <si>
    <t>Kennewick-Richland, WA</t>
  </si>
  <si>
    <t>28500</t>
  </si>
  <si>
    <t>Kerrville, TX</t>
  </si>
  <si>
    <t>28540</t>
  </si>
  <si>
    <t>Ketchikan, AK</t>
  </si>
  <si>
    <t>28580</t>
  </si>
  <si>
    <t>Key West, FL</t>
  </si>
  <si>
    <t>28620</t>
  </si>
  <si>
    <t>Kill Devil Hills, NC</t>
  </si>
  <si>
    <t>28660</t>
  </si>
  <si>
    <t>Killeen-Temple, TX</t>
  </si>
  <si>
    <t>28700</t>
  </si>
  <si>
    <t>Kingsport-Bristol-Bristol, TN-VA</t>
  </si>
  <si>
    <t>28740</t>
  </si>
  <si>
    <t>Kingston, NY</t>
  </si>
  <si>
    <t>28780</t>
  </si>
  <si>
    <t>Kingsville, TX</t>
  </si>
  <si>
    <t>28820</t>
  </si>
  <si>
    <t>Kinston, NC</t>
  </si>
  <si>
    <t>28860</t>
  </si>
  <si>
    <t>Kirksville, MO</t>
  </si>
  <si>
    <t>28900</t>
  </si>
  <si>
    <t>Klamath Falls, OR</t>
  </si>
  <si>
    <t>28940</t>
  </si>
  <si>
    <t>Knoxville, TN</t>
  </si>
  <si>
    <t>29020</t>
  </si>
  <si>
    <t>Kokomo, IN</t>
  </si>
  <si>
    <t>29060</t>
  </si>
  <si>
    <t>Laconia, NH</t>
  </si>
  <si>
    <t>29100</t>
  </si>
  <si>
    <t>La Crosse-Onalaska, WI-MN</t>
  </si>
  <si>
    <t>29180</t>
  </si>
  <si>
    <t>Lafayette, LA</t>
  </si>
  <si>
    <t>29200</t>
  </si>
  <si>
    <t>Lafayette-West Lafayette, IN</t>
  </si>
  <si>
    <t>29260</t>
  </si>
  <si>
    <t>La Grande, OR</t>
  </si>
  <si>
    <t>29300</t>
  </si>
  <si>
    <t>LaGrange, GA</t>
  </si>
  <si>
    <t>29340</t>
  </si>
  <si>
    <t>Lake Charles, LA</t>
  </si>
  <si>
    <t>29380</t>
  </si>
  <si>
    <t>Lake City, FL</t>
  </si>
  <si>
    <t>29420</t>
  </si>
  <si>
    <t>Lake Havasu City-Kingman, AZ</t>
  </si>
  <si>
    <t>29460</t>
  </si>
  <si>
    <t>Lakeland-Winter Haven, FL</t>
  </si>
  <si>
    <t>29500</t>
  </si>
  <si>
    <t>Lamesa, TX</t>
  </si>
  <si>
    <t>29540</t>
  </si>
  <si>
    <t>Lancaster, PA</t>
  </si>
  <si>
    <t>29620</t>
  </si>
  <si>
    <t>Lansing-East Lansing, MI</t>
  </si>
  <si>
    <t>29660</t>
  </si>
  <si>
    <t>Laramie, WY</t>
  </si>
  <si>
    <t>29700</t>
  </si>
  <si>
    <t>Laredo, TX</t>
  </si>
  <si>
    <t>29740</t>
  </si>
  <si>
    <t>Las Cruces, NM</t>
  </si>
  <si>
    <t>29820</t>
  </si>
  <si>
    <t>Las Vegas-Henderson-Paradise, NV</t>
  </si>
  <si>
    <t>29860</t>
  </si>
  <si>
    <t>Laurel, MS</t>
  </si>
  <si>
    <t>29900</t>
  </si>
  <si>
    <t>Laurinburg, NC</t>
  </si>
  <si>
    <t>29940</t>
  </si>
  <si>
    <t>Lawrence, KS</t>
  </si>
  <si>
    <t>30020</t>
  </si>
  <si>
    <t>Lawton, OK</t>
  </si>
  <si>
    <t>30060</t>
  </si>
  <si>
    <t>Lebanon, MO</t>
  </si>
  <si>
    <t>30140</t>
  </si>
  <si>
    <t>Lebanon, PA</t>
  </si>
  <si>
    <t>30220</t>
  </si>
  <si>
    <t>Levelland, TX</t>
  </si>
  <si>
    <t>30260</t>
  </si>
  <si>
    <t>Lewisburg, PA</t>
  </si>
  <si>
    <t>30280</t>
  </si>
  <si>
    <t>Lewisburg, TN</t>
  </si>
  <si>
    <t>30300</t>
  </si>
  <si>
    <t>Lewiston, ID-WA</t>
  </si>
  <si>
    <t>30340</t>
  </si>
  <si>
    <t>Lewiston-Auburn, ME</t>
  </si>
  <si>
    <t>30380</t>
  </si>
  <si>
    <t>Lewistown, PA</t>
  </si>
  <si>
    <t>30420</t>
  </si>
  <si>
    <t>Lexington, NE</t>
  </si>
  <si>
    <t>30460</t>
  </si>
  <si>
    <t>Lexington-Fayette, KY</t>
  </si>
  <si>
    <t>30620</t>
  </si>
  <si>
    <t>Lima, OH</t>
  </si>
  <si>
    <t>30660</t>
  </si>
  <si>
    <t>Lincoln, IL</t>
  </si>
  <si>
    <t>30700</t>
  </si>
  <si>
    <t>Lincoln, NE</t>
  </si>
  <si>
    <t>30780</t>
  </si>
  <si>
    <t>Little Rock-North Little Rock-Conway, AR</t>
  </si>
  <si>
    <t>30820</t>
  </si>
  <si>
    <t>Lock Haven, PA</t>
  </si>
  <si>
    <t>30860</t>
  </si>
  <si>
    <t>Logan, UT-ID</t>
  </si>
  <si>
    <t>30880</t>
  </si>
  <si>
    <t>Logan, WV</t>
  </si>
  <si>
    <t>30940</t>
  </si>
  <si>
    <t>London, KY</t>
  </si>
  <si>
    <t>30980</t>
  </si>
  <si>
    <t>Longview, TX</t>
  </si>
  <si>
    <t>31020</t>
  </si>
  <si>
    <t>Longview, WA</t>
  </si>
  <si>
    <t>31060</t>
  </si>
  <si>
    <t>Los Alamos, NM</t>
  </si>
  <si>
    <t>31080</t>
  </si>
  <si>
    <t>Los Angeles-Long Beach-Anaheim, CA</t>
  </si>
  <si>
    <t>31140</t>
  </si>
  <si>
    <t>Louisville/Jefferson County, KY-IN</t>
  </si>
  <si>
    <t>31180</t>
  </si>
  <si>
    <t>Lubbock, TX</t>
  </si>
  <si>
    <t>31220</t>
  </si>
  <si>
    <t>Ludington, MI</t>
  </si>
  <si>
    <t>31260</t>
  </si>
  <si>
    <t>Lufkin, TX</t>
  </si>
  <si>
    <t>31300</t>
  </si>
  <si>
    <t>Lumberton, NC</t>
  </si>
  <si>
    <t>31340</t>
  </si>
  <si>
    <t>Lynchburg, VA</t>
  </si>
  <si>
    <t>31380</t>
  </si>
  <si>
    <t>Macomb, IL</t>
  </si>
  <si>
    <t>31420</t>
  </si>
  <si>
    <t>Macon, GA</t>
  </si>
  <si>
    <t>31460</t>
  </si>
  <si>
    <t>Madera, CA</t>
  </si>
  <si>
    <t>31500</t>
  </si>
  <si>
    <t>Madison, IN</t>
  </si>
  <si>
    <t>31540</t>
  </si>
  <si>
    <t>Madison, WI</t>
  </si>
  <si>
    <t>31580</t>
  </si>
  <si>
    <t>Madisonville, KY</t>
  </si>
  <si>
    <t>31660</t>
  </si>
  <si>
    <t>Malone, NY</t>
  </si>
  <si>
    <t>31680</t>
  </si>
  <si>
    <t>Malvern, AR</t>
  </si>
  <si>
    <t>31700</t>
  </si>
  <si>
    <t>Manchester-Nashua, NH</t>
  </si>
  <si>
    <t>31740</t>
  </si>
  <si>
    <t>Manhattan, KS</t>
  </si>
  <si>
    <t>31820</t>
  </si>
  <si>
    <t>Manitowoc, WI</t>
  </si>
  <si>
    <t>31860</t>
  </si>
  <si>
    <t>Mankato-North Mankato, MN</t>
  </si>
  <si>
    <t>31900</t>
  </si>
  <si>
    <t>Mansfield, OH</t>
  </si>
  <si>
    <t>31930</t>
  </si>
  <si>
    <t>Marietta, OH</t>
  </si>
  <si>
    <t>31940</t>
  </si>
  <si>
    <t>Marinette, WI-MI</t>
  </si>
  <si>
    <t>31980</t>
  </si>
  <si>
    <t>Marion, IN</t>
  </si>
  <si>
    <t>32000</t>
  </si>
  <si>
    <t>Marion, NC</t>
  </si>
  <si>
    <t>32020</t>
  </si>
  <si>
    <t>Marion, OH</t>
  </si>
  <si>
    <t>32100</t>
  </si>
  <si>
    <t>Marquette, MI</t>
  </si>
  <si>
    <t>32140</t>
  </si>
  <si>
    <t>Marshall, MN</t>
  </si>
  <si>
    <t>32180</t>
  </si>
  <si>
    <t>Marshall, MO</t>
  </si>
  <si>
    <t>32220</t>
  </si>
  <si>
    <t>Marshall, TX</t>
  </si>
  <si>
    <t>32260</t>
  </si>
  <si>
    <t>Marshalltown, IA</t>
  </si>
  <si>
    <t>32280</t>
  </si>
  <si>
    <t>Martin, TN</t>
  </si>
  <si>
    <t>32300</t>
  </si>
  <si>
    <t>Martinsville, VA</t>
  </si>
  <si>
    <t>32340</t>
  </si>
  <si>
    <t>Maryville, MO</t>
  </si>
  <si>
    <t>32380</t>
  </si>
  <si>
    <t>Mason City, IA</t>
  </si>
  <si>
    <t>32460</t>
  </si>
  <si>
    <t>Mayfield, KY</t>
  </si>
  <si>
    <t>32500</t>
  </si>
  <si>
    <t>Maysville, KY</t>
  </si>
  <si>
    <t>32540</t>
  </si>
  <si>
    <t>McAlester, OK</t>
  </si>
  <si>
    <t>32580</t>
  </si>
  <si>
    <t>McAllen-Edinburg-Mission, TX</t>
  </si>
  <si>
    <t>32620</t>
  </si>
  <si>
    <t>McComb, MS</t>
  </si>
  <si>
    <t>32660</t>
  </si>
  <si>
    <t>McMinnville, TN</t>
  </si>
  <si>
    <t>32700</t>
  </si>
  <si>
    <t>McPherson, KS</t>
  </si>
  <si>
    <t>32740</t>
  </si>
  <si>
    <t>Meadville, PA</t>
  </si>
  <si>
    <t>32780</t>
  </si>
  <si>
    <t>Medford, OR</t>
  </si>
  <si>
    <t>32820</t>
  </si>
  <si>
    <t>Memphis, TN-MS-AR</t>
  </si>
  <si>
    <t>32860</t>
  </si>
  <si>
    <t>Menomonie, WI</t>
  </si>
  <si>
    <t>32900</t>
  </si>
  <si>
    <t>Merced, CA</t>
  </si>
  <si>
    <t>32940</t>
  </si>
  <si>
    <t>Meridian, MS</t>
  </si>
  <si>
    <t>32980</t>
  </si>
  <si>
    <t>Merrill, WI</t>
  </si>
  <si>
    <t>33020</t>
  </si>
  <si>
    <t>Mexico, MO</t>
  </si>
  <si>
    <t>33060</t>
  </si>
  <si>
    <t>Miami, OK</t>
  </si>
  <si>
    <t>33100</t>
  </si>
  <si>
    <t>Miami-Fort Lauderdale-West Palm Beach, FL</t>
  </si>
  <si>
    <t>33140</t>
  </si>
  <si>
    <t>Michigan City-La Porte, IN</t>
  </si>
  <si>
    <t>33180</t>
  </si>
  <si>
    <t>Middlesborough, KY</t>
  </si>
  <si>
    <t>33220</t>
  </si>
  <si>
    <t>Midland, MI</t>
  </si>
  <si>
    <t>33260</t>
  </si>
  <si>
    <t>Midland, TX</t>
  </si>
  <si>
    <t>33300</t>
  </si>
  <si>
    <t>Milledgeville, GA</t>
  </si>
  <si>
    <t>33340</t>
  </si>
  <si>
    <t>Milwaukee-Waukesha-West Allis, WI</t>
  </si>
  <si>
    <t>33420</t>
  </si>
  <si>
    <t>Mineral Wells, TX</t>
  </si>
  <si>
    <t>33460</t>
  </si>
  <si>
    <t>Minneapolis-St. Paul-Bloomington, MN-WI</t>
  </si>
  <si>
    <t>33500</t>
  </si>
  <si>
    <t>Minot, ND</t>
  </si>
  <si>
    <t>33540</t>
  </si>
  <si>
    <t>Missoula, MT</t>
  </si>
  <si>
    <t>33580</t>
  </si>
  <si>
    <t>Mitchell, SD</t>
  </si>
  <si>
    <t>33620</t>
  </si>
  <si>
    <t>Moberly, MO</t>
  </si>
  <si>
    <t>33660</t>
  </si>
  <si>
    <t>Mobile, AL</t>
  </si>
  <si>
    <t>33700</t>
  </si>
  <si>
    <t>Modesto, CA</t>
  </si>
  <si>
    <t>33740</t>
  </si>
  <si>
    <t>Monroe, LA</t>
  </si>
  <si>
    <t>33780</t>
  </si>
  <si>
    <t>Monroe, MI</t>
  </si>
  <si>
    <t>33860</t>
  </si>
  <si>
    <t>Montgomery, AL</t>
  </si>
  <si>
    <t>33940</t>
  </si>
  <si>
    <t>Montrose, CO</t>
  </si>
  <si>
    <t>33980</t>
  </si>
  <si>
    <t>Morehead City, NC</t>
  </si>
  <si>
    <t>34020</t>
  </si>
  <si>
    <t>Morgan City, LA</t>
  </si>
  <si>
    <t>34060</t>
  </si>
  <si>
    <t>Morgantown, WV</t>
  </si>
  <si>
    <t>34100</t>
  </si>
  <si>
    <t>Morristown, TN</t>
  </si>
  <si>
    <t>34140</t>
  </si>
  <si>
    <t>Moscow, ID</t>
  </si>
  <si>
    <t>34180</t>
  </si>
  <si>
    <t>Moses Lake, WA</t>
  </si>
  <si>
    <t>34220</t>
  </si>
  <si>
    <t>Moultrie, GA</t>
  </si>
  <si>
    <t>34260</t>
  </si>
  <si>
    <t>Mountain Home, AR</t>
  </si>
  <si>
    <t>34300</t>
  </si>
  <si>
    <t>Mountain Home, ID</t>
  </si>
  <si>
    <t>34340</t>
  </si>
  <si>
    <t>Mount Airy, NC</t>
  </si>
  <si>
    <t>34380</t>
  </si>
  <si>
    <t>Mount Pleasant, MI</t>
  </si>
  <si>
    <t>34420</t>
  </si>
  <si>
    <t>Mount Pleasant, TX</t>
  </si>
  <si>
    <t>34460</t>
  </si>
  <si>
    <t>Mount Sterling, KY</t>
  </si>
  <si>
    <t>34540</t>
  </si>
  <si>
    <t>Mount Vernon, OH</t>
  </si>
  <si>
    <t>34580</t>
  </si>
  <si>
    <t>Mount Vernon-Anacortes, WA</t>
  </si>
  <si>
    <t>34620</t>
  </si>
  <si>
    <t>Muncie, IN</t>
  </si>
  <si>
    <t>34660</t>
  </si>
  <si>
    <t>Murray, KY</t>
  </si>
  <si>
    <t>34700</t>
  </si>
  <si>
    <t>Muscatine, IA</t>
  </si>
  <si>
    <t>34740</t>
  </si>
  <si>
    <t>Muskegon, MI</t>
  </si>
  <si>
    <t>34780</t>
  </si>
  <si>
    <t>Muskogee, OK</t>
  </si>
  <si>
    <t>34820</t>
  </si>
  <si>
    <t>Myrtle Beach-Conway-North Myrtle Beach, SC-NC</t>
  </si>
  <si>
    <t>34860</t>
  </si>
  <si>
    <t>Nacogdoches, TX</t>
  </si>
  <si>
    <t>34900</t>
  </si>
  <si>
    <t>Napa, CA</t>
  </si>
  <si>
    <t>34940</t>
  </si>
  <si>
    <t>Naples-Immokalee-Marco Island, FL</t>
  </si>
  <si>
    <t>34980</t>
  </si>
  <si>
    <t>Nashville-Davidson--Murfreesboro--Franklin, TN</t>
  </si>
  <si>
    <t>35020</t>
  </si>
  <si>
    <t>Natchez, MS-LA</t>
  </si>
  <si>
    <t>35060</t>
  </si>
  <si>
    <t>Natchitoches, LA</t>
  </si>
  <si>
    <t>35100</t>
  </si>
  <si>
    <t>New Bern, NC</t>
  </si>
  <si>
    <t>35140</t>
  </si>
  <si>
    <t>Newberry, SC</t>
  </si>
  <si>
    <t>35220</t>
  </si>
  <si>
    <t>New Castle, IN</t>
  </si>
  <si>
    <t>35260</t>
  </si>
  <si>
    <t>New Castle, PA</t>
  </si>
  <si>
    <t>35300</t>
  </si>
  <si>
    <t>New Haven-Milford, CT</t>
  </si>
  <si>
    <t>35380</t>
  </si>
  <si>
    <t>New Orleans-Metairie, LA</t>
  </si>
  <si>
    <t>35420</t>
  </si>
  <si>
    <t>New Philadelphia-Dover, OH</t>
  </si>
  <si>
    <t>35440</t>
  </si>
  <si>
    <t>Newport, OR</t>
  </si>
  <si>
    <t>35500</t>
  </si>
  <si>
    <t>Newton, IA</t>
  </si>
  <si>
    <t>35580</t>
  </si>
  <si>
    <t>New Ulm, MN</t>
  </si>
  <si>
    <t>35620</t>
  </si>
  <si>
    <t>New York-Newark-Jersey City, NY-NJ-PA</t>
  </si>
  <si>
    <t>35660</t>
  </si>
  <si>
    <t>Niles-Benton Harbor, MI</t>
  </si>
  <si>
    <t>35700</t>
  </si>
  <si>
    <t>Nogales, AZ</t>
  </si>
  <si>
    <t>35740</t>
  </si>
  <si>
    <t>Norfolk, NE</t>
  </si>
  <si>
    <t>35840</t>
  </si>
  <si>
    <t>North Port-Sarasota-Bradenton, FL</t>
  </si>
  <si>
    <t>35860</t>
  </si>
  <si>
    <t>North Vernon, IN</t>
  </si>
  <si>
    <t>35900</t>
  </si>
  <si>
    <t>North Wilkesboro, NC</t>
  </si>
  <si>
    <t>35940</t>
  </si>
  <si>
    <t>Norwalk, OH</t>
  </si>
  <si>
    <t>35980</t>
  </si>
  <si>
    <t>Norwich-New London, CT</t>
  </si>
  <si>
    <t>36020</t>
  </si>
  <si>
    <t>Oak Harbor, WA</t>
  </si>
  <si>
    <t>36100</t>
  </si>
  <si>
    <t>Ocala, FL</t>
  </si>
  <si>
    <t>36140</t>
  </si>
  <si>
    <t>Ocean City, NJ</t>
  </si>
  <si>
    <t>36220</t>
  </si>
  <si>
    <t>Odessa, TX</t>
  </si>
  <si>
    <t>36260</t>
  </si>
  <si>
    <t>Ogden-Clearfield, UT</t>
  </si>
  <si>
    <t>36300</t>
  </si>
  <si>
    <t>Ogdensburg-Massena, NY</t>
  </si>
  <si>
    <t>36340</t>
  </si>
  <si>
    <t>Oil City, PA</t>
  </si>
  <si>
    <t>36380</t>
  </si>
  <si>
    <t>Okeechobee, FL</t>
  </si>
  <si>
    <t>36420</t>
  </si>
  <si>
    <t>Oklahoma City, OK</t>
  </si>
  <si>
    <t>36460</t>
  </si>
  <si>
    <t>Olean, NY</t>
  </si>
  <si>
    <t>36500</t>
  </si>
  <si>
    <t>Olympia-Tumwater, WA</t>
  </si>
  <si>
    <t>36540</t>
  </si>
  <si>
    <t>Omaha-Council Bluffs, NE-IA</t>
  </si>
  <si>
    <t>36580</t>
  </si>
  <si>
    <t>Oneonta, NY</t>
  </si>
  <si>
    <t>36620</t>
  </si>
  <si>
    <t>Ontario, OR-ID</t>
  </si>
  <si>
    <t>36660</t>
  </si>
  <si>
    <t>Opelousas, LA</t>
  </si>
  <si>
    <t>36700</t>
  </si>
  <si>
    <t>Orangeburg, SC</t>
  </si>
  <si>
    <t>36740</t>
  </si>
  <si>
    <t>Orlando-Kissimmee-Sanford, FL</t>
  </si>
  <si>
    <t>36780</t>
  </si>
  <si>
    <t>Oshkosh-Neenah, WI</t>
  </si>
  <si>
    <t>36830</t>
  </si>
  <si>
    <t>Othello, WA</t>
  </si>
  <si>
    <t>36840</t>
  </si>
  <si>
    <t>Ottawa, KS</t>
  </si>
  <si>
    <t>36860</t>
  </si>
  <si>
    <t>Ottawa-Peru, IL</t>
  </si>
  <si>
    <t>36900</t>
  </si>
  <si>
    <t>Ottumwa, IA</t>
  </si>
  <si>
    <t>36940</t>
  </si>
  <si>
    <t>Owatonna, MN</t>
  </si>
  <si>
    <t>36980</t>
  </si>
  <si>
    <t>Owensboro, KY</t>
  </si>
  <si>
    <t>37020</t>
  </si>
  <si>
    <t>Owosso, MI</t>
  </si>
  <si>
    <t>37060</t>
  </si>
  <si>
    <t>Oxford, MS</t>
  </si>
  <si>
    <t>37080</t>
  </si>
  <si>
    <t>Oxford, NC</t>
  </si>
  <si>
    <t>37100</t>
  </si>
  <si>
    <t>Oxnard-Thousand Oaks-Ventura, CA</t>
  </si>
  <si>
    <t>37120</t>
  </si>
  <si>
    <t>Ozark, AL</t>
  </si>
  <si>
    <t>37140</t>
  </si>
  <si>
    <t>Paducah, KY-IL</t>
  </si>
  <si>
    <t>37220</t>
  </si>
  <si>
    <t>Pahrump, NV</t>
  </si>
  <si>
    <t>37260</t>
  </si>
  <si>
    <t>Palatka, FL</t>
  </si>
  <si>
    <t>37300</t>
  </si>
  <si>
    <t>Palestine, TX</t>
  </si>
  <si>
    <t>37340</t>
  </si>
  <si>
    <t>Palm Bay-Melbourne-Titusville, FL</t>
  </si>
  <si>
    <t>37420</t>
  </si>
  <si>
    <t>Pampa, TX</t>
  </si>
  <si>
    <t>37460</t>
  </si>
  <si>
    <t>Panama City, FL</t>
  </si>
  <si>
    <t>37500</t>
  </si>
  <si>
    <t>Paragould, AR</t>
  </si>
  <si>
    <t>37540</t>
  </si>
  <si>
    <t>Paris, TN</t>
  </si>
  <si>
    <t>37580</t>
  </si>
  <si>
    <t>Paris, TX</t>
  </si>
  <si>
    <t>37620</t>
  </si>
  <si>
    <t>Parkersburg-Vienna, WV</t>
  </si>
  <si>
    <t>37660</t>
  </si>
  <si>
    <t>Parsons, KS</t>
  </si>
  <si>
    <t>37740</t>
  </si>
  <si>
    <t>Payson, AZ</t>
  </si>
  <si>
    <t>37780</t>
  </si>
  <si>
    <t>Pecos, TX</t>
  </si>
  <si>
    <t>37860</t>
  </si>
  <si>
    <t>Pensacola-Ferry Pass-Brent, FL</t>
  </si>
  <si>
    <t>37900</t>
  </si>
  <si>
    <t>Peoria, IL</t>
  </si>
  <si>
    <t>37940</t>
  </si>
  <si>
    <t>Peru, IN</t>
  </si>
  <si>
    <t>37980</t>
  </si>
  <si>
    <t>Philadelphia-Camden-Wilmington, PA-NJ-DE-MD</t>
  </si>
  <si>
    <t>38060</t>
  </si>
  <si>
    <t>Phoenix-Mesa-Scottsdale, AZ</t>
  </si>
  <si>
    <t>38100</t>
  </si>
  <si>
    <t>Picayune, MS</t>
  </si>
  <si>
    <t>38180</t>
  </si>
  <si>
    <t>Pierre, SD</t>
  </si>
  <si>
    <t>38220</t>
  </si>
  <si>
    <t>Pine Bluff, AR</t>
  </si>
  <si>
    <t>38240</t>
  </si>
  <si>
    <t>Pinehurst-Southern Pines, NC</t>
  </si>
  <si>
    <t>38260</t>
  </si>
  <si>
    <t>Pittsburg, KS</t>
  </si>
  <si>
    <t>38300</t>
  </si>
  <si>
    <t>Pittsburgh, PA</t>
  </si>
  <si>
    <t>38340</t>
  </si>
  <si>
    <t>Pittsfield, MA</t>
  </si>
  <si>
    <t>38380</t>
  </si>
  <si>
    <t>Plainview, TX</t>
  </si>
  <si>
    <t>38420</t>
  </si>
  <si>
    <t>Platteville, WI</t>
  </si>
  <si>
    <t>38460</t>
  </si>
  <si>
    <t>Plattsburgh, NY</t>
  </si>
  <si>
    <t>38500</t>
  </si>
  <si>
    <t>Plymouth, IN</t>
  </si>
  <si>
    <t>38540</t>
  </si>
  <si>
    <t>Pocatello, ID</t>
  </si>
  <si>
    <t>38580</t>
  </si>
  <si>
    <t>Point Pleasant, WV-OH</t>
  </si>
  <si>
    <t>38620</t>
  </si>
  <si>
    <t>Ponca City, OK</t>
  </si>
  <si>
    <t>38700</t>
  </si>
  <si>
    <t>Pontiac, IL</t>
  </si>
  <si>
    <t>38740</t>
  </si>
  <si>
    <t>Poplar Bluff, MO</t>
  </si>
  <si>
    <t>38780</t>
  </si>
  <si>
    <t>Portales, NM</t>
  </si>
  <si>
    <t>38820</t>
  </si>
  <si>
    <t>Port Angeles, WA</t>
  </si>
  <si>
    <t>38840</t>
  </si>
  <si>
    <t>Port Clinton, OH</t>
  </si>
  <si>
    <t>38860</t>
  </si>
  <si>
    <t>Portland-South Portland, ME</t>
  </si>
  <si>
    <t>38900</t>
  </si>
  <si>
    <t>Portland-Vancouver-Hillsboro, OR-WA</t>
  </si>
  <si>
    <t>38920</t>
  </si>
  <si>
    <t>Port Lavaca, TX</t>
  </si>
  <si>
    <t>38940</t>
  </si>
  <si>
    <t>Port St. Lucie, FL</t>
  </si>
  <si>
    <t>39020</t>
  </si>
  <si>
    <t>Portsmouth, OH</t>
  </si>
  <si>
    <t>39060</t>
  </si>
  <si>
    <t>Pottsville, PA</t>
  </si>
  <si>
    <t>39140</t>
  </si>
  <si>
    <t>Prescott, AZ</t>
  </si>
  <si>
    <t>39220</t>
  </si>
  <si>
    <t>Price, UT</t>
  </si>
  <si>
    <t>39260</t>
  </si>
  <si>
    <t>Prineville, OR</t>
  </si>
  <si>
    <t>39300</t>
  </si>
  <si>
    <t>Providence-Warwick, RI-MA</t>
  </si>
  <si>
    <t>39340</t>
  </si>
  <si>
    <t>Provo-Orem, UT</t>
  </si>
  <si>
    <t>39380</t>
  </si>
  <si>
    <t>Pueblo, CO</t>
  </si>
  <si>
    <t>39420</t>
  </si>
  <si>
    <t>Pullman, WA</t>
  </si>
  <si>
    <t>39460</t>
  </si>
  <si>
    <t>Punta Gorda, FL</t>
  </si>
  <si>
    <t>39500</t>
  </si>
  <si>
    <t>Quincy, IL-MO</t>
  </si>
  <si>
    <t>39540</t>
  </si>
  <si>
    <t>Racine, WI</t>
  </si>
  <si>
    <t>39580</t>
  </si>
  <si>
    <t>Raleigh, NC</t>
  </si>
  <si>
    <t>39660</t>
  </si>
  <si>
    <t>Rapid City, SD</t>
  </si>
  <si>
    <t>39700</t>
  </si>
  <si>
    <t>Raymondville, TX</t>
  </si>
  <si>
    <t>39740</t>
  </si>
  <si>
    <t>Reading, PA</t>
  </si>
  <si>
    <t>39780</t>
  </si>
  <si>
    <t>Red Bluff, CA</t>
  </si>
  <si>
    <t>39820</t>
  </si>
  <si>
    <t>Redding, CA</t>
  </si>
  <si>
    <t>39860</t>
  </si>
  <si>
    <t>Red Wing, MN</t>
  </si>
  <si>
    <t>39900</t>
  </si>
  <si>
    <t>Reno, NV</t>
  </si>
  <si>
    <t>39940</t>
  </si>
  <si>
    <t>Rexburg, ID</t>
  </si>
  <si>
    <t>39980</t>
  </si>
  <si>
    <t>Richmond, IN</t>
  </si>
  <si>
    <t>40060</t>
  </si>
  <si>
    <t>Richmond, VA</t>
  </si>
  <si>
    <t>40080</t>
  </si>
  <si>
    <t>Richmond-Berea, KY</t>
  </si>
  <si>
    <t>40100</t>
  </si>
  <si>
    <t>Rio Grande City, TX</t>
  </si>
  <si>
    <t>40140</t>
  </si>
  <si>
    <t>Riverside-San Bernardino-Ontario, CA</t>
  </si>
  <si>
    <t>40180</t>
  </si>
  <si>
    <t>Riverton, WY</t>
  </si>
  <si>
    <t>40220</t>
  </si>
  <si>
    <t>Roanoke, VA</t>
  </si>
  <si>
    <t>40260</t>
  </si>
  <si>
    <t>Roanoke Rapids, NC</t>
  </si>
  <si>
    <t>40300</t>
  </si>
  <si>
    <t>Rochelle, IL</t>
  </si>
  <si>
    <t>40340</t>
  </si>
  <si>
    <t>Rochester, MN</t>
  </si>
  <si>
    <t>40380</t>
  </si>
  <si>
    <t>Rochester, NY</t>
  </si>
  <si>
    <t>40420</t>
  </si>
  <si>
    <t>Rockford, IL</t>
  </si>
  <si>
    <t>40460</t>
  </si>
  <si>
    <t>Rockingham, NC</t>
  </si>
  <si>
    <t>40540</t>
  </si>
  <si>
    <t>Rock Springs, WY</t>
  </si>
  <si>
    <t>40580</t>
  </si>
  <si>
    <t>Rocky Mount, NC</t>
  </si>
  <si>
    <t>40620</t>
  </si>
  <si>
    <t>Rolla, MO</t>
  </si>
  <si>
    <t>40660</t>
  </si>
  <si>
    <t>Rome, GA</t>
  </si>
  <si>
    <t>40700</t>
  </si>
  <si>
    <t>Roseburg, OR</t>
  </si>
  <si>
    <t>40740</t>
  </si>
  <si>
    <t>Roswell, NM</t>
  </si>
  <si>
    <t>40780</t>
  </si>
  <si>
    <t>Russellville, AR</t>
  </si>
  <si>
    <t>40820</t>
  </si>
  <si>
    <t>Ruston, LA</t>
  </si>
  <si>
    <t>40860</t>
  </si>
  <si>
    <t>Rutland, VT</t>
  </si>
  <si>
    <t>40900</t>
  </si>
  <si>
    <t>Sacramento--Roseville--Arden-Arcade, CA</t>
  </si>
  <si>
    <t>40940</t>
  </si>
  <si>
    <t>Safford, AZ</t>
  </si>
  <si>
    <t>40980</t>
  </si>
  <si>
    <t>Saginaw, MI</t>
  </si>
  <si>
    <t>41060</t>
  </si>
  <si>
    <t>St. Cloud, MN</t>
  </si>
  <si>
    <t>41100</t>
  </si>
  <si>
    <t>St. George, UT</t>
  </si>
  <si>
    <t>41140</t>
  </si>
  <si>
    <t>St. Joseph, MO-KS</t>
  </si>
  <si>
    <t>41180</t>
  </si>
  <si>
    <t>St. Louis, MO-IL</t>
  </si>
  <si>
    <t>41220</t>
  </si>
  <si>
    <t>St. Marys, GA</t>
  </si>
  <si>
    <t>41400</t>
  </si>
  <si>
    <t>Salem, OH</t>
  </si>
  <si>
    <t>41420</t>
  </si>
  <si>
    <t>Salem, OR</t>
  </si>
  <si>
    <t>41460</t>
  </si>
  <si>
    <t>Salina, KS</t>
  </si>
  <si>
    <t>41500</t>
  </si>
  <si>
    <t>Salinas, CA</t>
  </si>
  <si>
    <t>41540</t>
  </si>
  <si>
    <t>Salisbury, MD-DE</t>
  </si>
  <si>
    <t>41620</t>
  </si>
  <si>
    <t>Salt Lake City, UT</t>
  </si>
  <si>
    <t>41660</t>
  </si>
  <si>
    <t>San Angelo, TX</t>
  </si>
  <si>
    <t>41700</t>
  </si>
  <si>
    <t>San Antonio-New Braunfels, TX</t>
  </si>
  <si>
    <t>41740</t>
  </si>
  <si>
    <t>San Diego-Carlsbad, CA</t>
  </si>
  <si>
    <t>41760</t>
  </si>
  <si>
    <t>Sandpoint, ID</t>
  </si>
  <si>
    <t>41780</t>
  </si>
  <si>
    <t>Sandusky, OH</t>
  </si>
  <si>
    <t>41820</t>
  </si>
  <si>
    <t>Sanford, NC</t>
  </si>
  <si>
    <t>41860</t>
  </si>
  <si>
    <t>San Francisco-Oakland-Hayward, CA</t>
  </si>
  <si>
    <t>41940</t>
  </si>
  <si>
    <t>San Jose-Sunnyvale-Santa Clara, CA</t>
  </si>
  <si>
    <t>42020</t>
  </si>
  <si>
    <t>San Luis Obispo-Paso Robles-Arroyo Grande, CA</t>
  </si>
  <si>
    <t>42100</t>
  </si>
  <si>
    <t>Santa Cruz-Watsonville, CA</t>
  </si>
  <si>
    <t>42140</t>
  </si>
  <si>
    <t>Santa Fe, NM</t>
  </si>
  <si>
    <t>42200</t>
  </si>
  <si>
    <t>Santa Maria-Santa Barbara, CA</t>
  </si>
  <si>
    <t>42220</t>
  </si>
  <si>
    <t>Santa Rosa, CA</t>
  </si>
  <si>
    <t>42300</t>
  </si>
  <si>
    <t>Sault Ste. Marie, MI</t>
  </si>
  <si>
    <t>42340</t>
  </si>
  <si>
    <t>Savannah, GA</t>
  </si>
  <si>
    <t>42380</t>
  </si>
  <si>
    <t>Sayre, PA</t>
  </si>
  <si>
    <t>42420</t>
  </si>
  <si>
    <t>Scottsbluff, NE</t>
  </si>
  <si>
    <t>42460</t>
  </si>
  <si>
    <t>Scottsboro, AL</t>
  </si>
  <si>
    <t>42540</t>
  </si>
  <si>
    <t>Scranton--Wilkes-Barre--Hazleton, PA</t>
  </si>
  <si>
    <t>42620</t>
  </si>
  <si>
    <t>Searcy, AR</t>
  </si>
  <si>
    <t>42660</t>
  </si>
  <si>
    <t>Seattle-Tacoma-Bellevue, WA</t>
  </si>
  <si>
    <t>42680</t>
  </si>
  <si>
    <t>Sebastian-Vero Beach, FL</t>
  </si>
  <si>
    <t>42700</t>
  </si>
  <si>
    <t>Sebring, FL</t>
  </si>
  <si>
    <t>42740</t>
  </si>
  <si>
    <t>Sedalia, MO</t>
  </si>
  <si>
    <t>42780</t>
  </si>
  <si>
    <t>Selinsgrove, PA</t>
  </si>
  <si>
    <t>42820</t>
  </si>
  <si>
    <t>Selma, AL</t>
  </si>
  <si>
    <t>42860</t>
  </si>
  <si>
    <t>Seneca, SC</t>
  </si>
  <si>
    <t>42900</t>
  </si>
  <si>
    <t>Seneca Falls, NY</t>
  </si>
  <si>
    <t>42940</t>
  </si>
  <si>
    <t>Sevierville, TN</t>
  </si>
  <si>
    <t>42980</t>
  </si>
  <si>
    <t>Seymour, IN</t>
  </si>
  <si>
    <t>43020</t>
  </si>
  <si>
    <t>Shawano, WI</t>
  </si>
  <si>
    <t>43060</t>
  </si>
  <si>
    <t>Shawnee, OK</t>
  </si>
  <si>
    <t>43100</t>
  </si>
  <si>
    <t>Sheboygan, WI</t>
  </si>
  <si>
    <t>43140</t>
  </si>
  <si>
    <t>Shelby, NC</t>
  </si>
  <si>
    <t>43180</t>
  </si>
  <si>
    <t>Shelbyville, TN</t>
  </si>
  <si>
    <t>43220</t>
  </si>
  <si>
    <t>Shelton, WA</t>
  </si>
  <si>
    <t>43260</t>
  </si>
  <si>
    <t>Sheridan, WY</t>
  </si>
  <si>
    <t>43300</t>
  </si>
  <si>
    <t>Sherman-Denison, TX</t>
  </si>
  <si>
    <t>43320</t>
  </si>
  <si>
    <t>Show Low, AZ</t>
  </si>
  <si>
    <t>43340</t>
  </si>
  <si>
    <t>Shreveport-Bossier City, LA</t>
  </si>
  <si>
    <t>43380</t>
  </si>
  <si>
    <t>Sidney, OH</t>
  </si>
  <si>
    <t>43420</t>
  </si>
  <si>
    <t>Sierra Vista-Douglas, AZ</t>
  </si>
  <si>
    <t>43460</t>
  </si>
  <si>
    <t>Sikeston, MO</t>
  </si>
  <si>
    <t>43500</t>
  </si>
  <si>
    <t>Silver City, NM</t>
  </si>
  <si>
    <t>43580</t>
  </si>
  <si>
    <t>Sioux City, IA-NE-SD</t>
  </si>
  <si>
    <t>43620</t>
  </si>
  <si>
    <t>Sioux Falls, SD</t>
  </si>
  <si>
    <t>43660</t>
  </si>
  <si>
    <t>Snyder, TX</t>
  </si>
  <si>
    <t>43700</t>
  </si>
  <si>
    <t>Somerset, KY</t>
  </si>
  <si>
    <t>43740</t>
  </si>
  <si>
    <t>Somerset, PA</t>
  </si>
  <si>
    <t>43760</t>
  </si>
  <si>
    <t>Sonora, CA</t>
  </si>
  <si>
    <t>43780</t>
  </si>
  <si>
    <t>South Bend-Mishawaka, IN-MI</t>
  </si>
  <si>
    <t>43900</t>
  </si>
  <si>
    <t>Spartanburg, SC</t>
  </si>
  <si>
    <t>43940</t>
  </si>
  <si>
    <t>Spearfish, SD</t>
  </si>
  <si>
    <t>43980</t>
  </si>
  <si>
    <t>Spencer, IA</t>
  </si>
  <si>
    <t>44020</t>
  </si>
  <si>
    <t>Spirit Lake, IA</t>
  </si>
  <si>
    <t>44060</t>
  </si>
  <si>
    <t>Spokane-Spokane Valley, WA</t>
  </si>
  <si>
    <t>44100</t>
  </si>
  <si>
    <t>Springfield, IL</t>
  </si>
  <si>
    <t>44140</t>
  </si>
  <si>
    <t>Springfield, MA</t>
  </si>
  <si>
    <t>44180</t>
  </si>
  <si>
    <t>Springfield, MO</t>
  </si>
  <si>
    <t>44220</t>
  </si>
  <si>
    <t>Springfield, OH</t>
  </si>
  <si>
    <t>44260</t>
  </si>
  <si>
    <t>Starkville, MS</t>
  </si>
  <si>
    <t>44300</t>
  </si>
  <si>
    <t>State College, PA</t>
  </si>
  <si>
    <t>44340</t>
  </si>
  <si>
    <t>Statesboro, GA</t>
  </si>
  <si>
    <t>44420</t>
  </si>
  <si>
    <t>Staunton-Waynesboro, VA</t>
  </si>
  <si>
    <t>44460</t>
  </si>
  <si>
    <t>Steamboat Springs, CO</t>
  </si>
  <si>
    <t>44500</t>
  </si>
  <si>
    <t>Stephenville, TX</t>
  </si>
  <si>
    <t>44540</t>
  </si>
  <si>
    <t>Sterling, CO</t>
  </si>
  <si>
    <t>44580</t>
  </si>
  <si>
    <t>Sterling, IL</t>
  </si>
  <si>
    <t>44620</t>
  </si>
  <si>
    <t>Stevens Point, WI</t>
  </si>
  <si>
    <t>44660</t>
  </si>
  <si>
    <t>Stillwater, OK</t>
  </si>
  <si>
    <t>44700</t>
  </si>
  <si>
    <t>Stockton-Lodi, CA</t>
  </si>
  <si>
    <t>44740</t>
  </si>
  <si>
    <t>Storm Lake, IA</t>
  </si>
  <si>
    <t>44780</t>
  </si>
  <si>
    <t>Sturgis, MI</t>
  </si>
  <si>
    <t>44860</t>
  </si>
  <si>
    <t>Sulphur Springs, TX</t>
  </si>
  <si>
    <t>44900</t>
  </si>
  <si>
    <t>Summerville, GA</t>
  </si>
  <si>
    <t>44920</t>
  </si>
  <si>
    <t>Summit Park, UT</t>
  </si>
  <si>
    <t>44940</t>
  </si>
  <si>
    <t>Sumter, SC</t>
  </si>
  <si>
    <t>44980</t>
  </si>
  <si>
    <t>Sunbury, PA</t>
  </si>
  <si>
    <t>45000</t>
  </si>
  <si>
    <t>Susanville, CA</t>
  </si>
  <si>
    <t>45020</t>
  </si>
  <si>
    <t>Sweetwater, TX</t>
  </si>
  <si>
    <t>45060</t>
  </si>
  <si>
    <t>Syracuse, NY</t>
  </si>
  <si>
    <t>45140</t>
  </si>
  <si>
    <t>Tahlequah, OK</t>
  </si>
  <si>
    <t>45180</t>
  </si>
  <si>
    <t>Talladega-Sylacauga, AL</t>
  </si>
  <si>
    <t>45220</t>
  </si>
  <si>
    <t>Tallahassee, FL</t>
  </si>
  <si>
    <t>45300</t>
  </si>
  <si>
    <t>Tampa-St. Petersburg-Clearwater, FL</t>
  </si>
  <si>
    <t>45340</t>
  </si>
  <si>
    <t>Taos, NM</t>
  </si>
  <si>
    <t>45380</t>
  </si>
  <si>
    <t>Taylorville, IL</t>
  </si>
  <si>
    <t>45460</t>
  </si>
  <si>
    <t>Terre Haute, IN</t>
  </si>
  <si>
    <t>45500</t>
  </si>
  <si>
    <t>Texarkana, TX-AR</t>
  </si>
  <si>
    <t>45520</t>
  </si>
  <si>
    <t>The Dalles, OR</t>
  </si>
  <si>
    <t>45540</t>
  </si>
  <si>
    <t>The Villages, FL</t>
  </si>
  <si>
    <t>45580</t>
  </si>
  <si>
    <t>Thomaston, GA</t>
  </si>
  <si>
    <t>45620</t>
  </si>
  <si>
    <t>Thomasville, GA</t>
  </si>
  <si>
    <t>45660</t>
  </si>
  <si>
    <t>Tiffin, OH</t>
  </si>
  <si>
    <t>45700</t>
  </si>
  <si>
    <t>Tifton, GA</t>
  </si>
  <si>
    <t>45740</t>
  </si>
  <si>
    <t>Toccoa, GA</t>
  </si>
  <si>
    <t>45780</t>
  </si>
  <si>
    <t>Toledo, OH</t>
  </si>
  <si>
    <t>45820</t>
  </si>
  <si>
    <t>Topeka, KS</t>
  </si>
  <si>
    <t>45860</t>
  </si>
  <si>
    <t>Torrington, CT</t>
  </si>
  <si>
    <t>45900</t>
  </si>
  <si>
    <t>Traverse City, MI</t>
  </si>
  <si>
    <t>45940</t>
  </si>
  <si>
    <t>Trenton, NJ</t>
  </si>
  <si>
    <t>45980</t>
  </si>
  <si>
    <t>Troy, AL</t>
  </si>
  <si>
    <t>46020</t>
  </si>
  <si>
    <t>Truckee-Grass Valley, CA</t>
  </si>
  <si>
    <t>46060</t>
  </si>
  <si>
    <t>Tucson, AZ</t>
  </si>
  <si>
    <t>46100</t>
  </si>
  <si>
    <t>Tullahoma-Manchester, TN</t>
  </si>
  <si>
    <t>46140</t>
  </si>
  <si>
    <t>Tulsa, OK</t>
  </si>
  <si>
    <t>46180</t>
  </si>
  <si>
    <t>Tupelo, MS</t>
  </si>
  <si>
    <t>46220</t>
  </si>
  <si>
    <t>Tuscaloosa, AL</t>
  </si>
  <si>
    <t>46300</t>
  </si>
  <si>
    <t>Twin Falls, ID</t>
  </si>
  <si>
    <t>46340</t>
  </si>
  <si>
    <t>Tyler, TX</t>
  </si>
  <si>
    <t>46380</t>
  </si>
  <si>
    <t>Ukiah, CA</t>
  </si>
  <si>
    <t>46460</t>
  </si>
  <si>
    <t>Union City, TN-KY</t>
  </si>
  <si>
    <t>46500</t>
  </si>
  <si>
    <t>Urbana, OH</t>
  </si>
  <si>
    <t>46520</t>
  </si>
  <si>
    <t>Urban Honolulu, HI</t>
  </si>
  <si>
    <t>46540</t>
  </si>
  <si>
    <t>Utica-Rome, NY</t>
  </si>
  <si>
    <t>46620</t>
  </si>
  <si>
    <t>Uvalde, TX</t>
  </si>
  <si>
    <t>46660</t>
  </si>
  <si>
    <t>Valdosta, GA</t>
  </si>
  <si>
    <t>46700</t>
  </si>
  <si>
    <t>Vallejo-Fairfield, CA</t>
  </si>
  <si>
    <t>46740</t>
  </si>
  <si>
    <t>Valley, AL</t>
  </si>
  <si>
    <t>46780</t>
  </si>
  <si>
    <t>Van Wert, OH</t>
  </si>
  <si>
    <t>46820</t>
  </si>
  <si>
    <t>Vermillion, SD</t>
  </si>
  <si>
    <t>46860</t>
  </si>
  <si>
    <t>Vernal, UT</t>
  </si>
  <si>
    <t>46900</t>
  </si>
  <si>
    <t>Vernon, TX</t>
  </si>
  <si>
    <t>46980</t>
  </si>
  <si>
    <t>Vicksburg, MS</t>
  </si>
  <si>
    <t>47020</t>
  </si>
  <si>
    <t>Victoria, TX</t>
  </si>
  <si>
    <t>47080</t>
  </si>
  <si>
    <t>Vidalia, GA</t>
  </si>
  <si>
    <t>47180</t>
  </si>
  <si>
    <t>Vincennes, IN</t>
  </si>
  <si>
    <t>47220</t>
  </si>
  <si>
    <t>Vineland-Bridgeton, NJ</t>
  </si>
  <si>
    <t>47260</t>
  </si>
  <si>
    <t>Virginia Beach-Norfolk-Newport News, VA-NC</t>
  </si>
  <si>
    <t>47300</t>
  </si>
  <si>
    <t>Visalia-Porterville, CA</t>
  </si>
  <si>
    <t>47340</t>
  </si>
  <si>
    <t>Wabash, IN</t>
  </si>
  <si>
    <t>47380</t>
  </si>
  <si>
    <t>Waco, TX</t>
  </si>
  <si>
    <t>47420</t>
  </si>
  <si>
    <t>Wahpeton, ND-MN</t>
  </si>
  <si>
    <t>47460</t>
  </si>
  <si>
    <t>Walla Walla, WA</t>
  </si>
  <si>
    <t>47540</t>
  </si>
  <si>
    <t>Wapakoneta, OH</t>
  </si>
  <si>
    <t>47580</t>
  </si>
  <si>
    <t>Warner Robins, GA</t>
  </si>
  <si>
    <t>47620</t>
  </si>
  <si>
    <t>Warren, PA</t>
  </si>
  <si>
    <t>47660</t>
  </si>
  <si>
    <t>Warrensburg, MO</t>
  </si>
  <si>
    <t>47700</t>
  </si>
  <si>
    <t>Warsaw, IN</t>
  </si>
  <si>
    <t>47780</t>
  </si>
  <si>
    <t>Washington, IN</t>
  </si>
  <si>
    <t>47820</t>
  </si>
  <si>
    <t>Washington, NC</t>
  </si>
  <si>
    <t>47900</t>
  </si>
  <si>
    <t>Washington-Arlington-Alexandria, DC-VA-MD-WV</t>
  </si>
  <si>
    <t>47940</t>
  </si>
  <si>
    <t>Waterloo-Cedar Falls, IA</t>
  </si>
  <si>
    <t>47980</t>
  </si>
  <si>
    <t>Watertown, SD</t>
  </si>
  <si>
    <t>48020</t>
  </si>
  <si>
    <t>Watertown-Fort Atkinson, WI</t>
  </si>
  <si>
    <t>48060</t>
  </si>
  <si>
    <t>Watertown-Fort Drum, NY</t>
  </si>
  <si>
    <t>48140</t>
  </si>
  <si>
    <t>Wausau, WI</t>
  </si>
  <si>
    <t>48180</t>
  </si>
  <si>
    <t>Waycross, GA</t>
  </si>
  <si>
    <t>48220</t>
  </si>
  <si>
    <t>Weatherford, OK</t>
  </si>
  <si>
    <t>48260</t>
  </si>
  <si>
    <t>Weirton-Steubenville, WV-OH</t>
  </si>
  <si>
    <t>48300</t>
  </si>
  <si>
    <t>Wenatchee, WA</t>
  </si>
  <si>
    <t>48460</t>
  </si>
  <si>
    <t>West Plains, MO</t>
  </si>
  <si>
    <t>48540</t>
  </si>
  <si>
    <t>Wheeling, WV-OH</t>
  </si>
  <si>
    <t>48580</t>
  </si>
  <si>
    <t>Whitewater-Elkhorn, WI</t>
  </si>
  <si>
    <t>48620</t>
  </si>
  <si>
    <t>Wichita, KS</t>
  </si>
  <si>
    <t>48660</t>
  </si>
  <si>
    <t>Wichita Falls, TX</t>
  </si>
  <si>
    <t>48700</t>
  </si>
  <si>
    <t>Williamsport, PA</t>
  </si>
  <si>
    <t>48780</t>
  </si>
  <si>
    <t>Williston, ND</t>
  </si>
  <si>
    <t>48820</t>
  </si>
  <si>
    <t>Willmar, MN</t>
  </si>
  <si>
    <t>48900</t>
  </si>
  <si>
    <t>Wilmington, NC</t>
  </si>
  <si>
    <t>48940</t>
  </si>
  <si>
    <t>Wilmington, OH</t>
  </si>
  <si>
    <t>48980</t>
  </si>
  <si>
    <t>Wilson, NC</t>
  </si>
  <si>
    <t>49020</t>
  </si>
  <si>
    <t>Winchester, VA-WV</t>
  </si>
  <si>
    <t>49080</t>
  </si>
  <si>
    <t>Winnemucca, NV</t>
  </si>
  <si>
    <t>49100</t>
  </si>
  <si>
    <t>Winona, MN</t>
  </si>
  <si>
    <t>49180</t>
  </si>
  <si>
    <t>Winston-Salem, NC</t>
  </si>
  <si>
    <t>49220</t>
  </si>
  <si>
    <t>Wisconsin Rapids-Marshfield, WI</t>
  </si>
  <si>
    <t>49300</t>
  </si>
  <si>
    <t>Wooster, OH</t>
  </si>
  <si>
    <t>49340</t>
  </si>
  <si>
    <t>Worcester, MA-CT</t>
  </si>
  <si>
    <t>49380</t>
  </si>
  <si>
    <t>Worthington, MN</t>
  </si>
  <si>
    <t>49420</t>
  </si>
  <si>
    <t>Yakima, WA</t>
  </si>
  <si>
    <t>49460</t>
  </si>
  <si>
    <t>Yankton, SD</t>
  </si>
  <si>
    <t>49620</t>
  </si>
  <si>
    <t>York-Hanover, PA</t>
  </si>
  <si>
    <t>49660</t>
  </si>
  <si>
    <t>Youngstown-Warren-Boardman, OH-PA</t>
  </si>
  <si>
    <t>49700</t>
  </si>
  <si>
    <t>Yuba City, CA</t>
  </si>
  <si>
    <t>49740</t>
  </si>
  <si>
    <t>Yuma, AZ</t>
  </si>
  <si>
    <t>49780</t>
  </si>
  <si>
    <t>Zanesville, OH</t>
  </si>
  <si>
    <t>49820</t>
  </si>
  <si>
    <t>Zapata, TX</t>
  </si>
  <si>
    <t>Less than $10,000</t>
  </si>
  <si>
    <t>$10,000 to $14,999</t>
  </si>
  <si>
    <t>$15,000 to $24,999</t>
  </si>
  <si>
    <t>$25,000 to $34,999</t>
  </si>
  <si>
    <t>$35,000 to $49,999</t>
  </si>
  <si>
    <t>$50,000 to $74,999</t>
  </si>
  <si>
    <t>$75,000 to $99,999</t>
  </si>
  <si>
    <t>$100,000 to $124,999</t>
  </si>
  <si>
    <t>$125,000 to $149,999</t>
  </si>
  <si>
    <t>$150,000 to $199,999</t>
  </si>
  <si>
    <t>$200,000 or more</t>
  </si>
  <si>
    <t>Don't Know</t>
  </si>
  <si>
    <t>Refused</t>
  </si>
  <si>
    <t>Don't know</t>
  </si>
  <si>
    <t>White</t>
  </si>
  <si>
    <t>Black or African American</t>
  </si>
  <si>
    <t>Asian</t>
  </si>
  <si>
    <t>American Indian or Alaska Native</t>
  </si>
  <si>
    <t>Native Hawaiian or other Pacific Islander</t>
  </si>
  <si>
    <t>Multiple responses selected</t>
  </si>
  <si>
    <t>Some other race</t>
  </si>
  <si>
    <t>[$FNAME:R1]</t>
  </si>
  <si>
    <t>[$FNAME:R2]</t>
  </si>
  <si>
    <t>[$FNAME:R3]</t>
  </si>
  <si>
    <t>[$FNAME:R4]</t>
  </si>
  <si>
    <t>[$FNAME:R5]</t>
  </si>
  <si>
    <t>[$FNAME:R6]</t>
  </si>
  <si>
    <t>[$FNAME:R7]</t>
  </si>
  <si>
    <t>[$FNAME:R8]</t>
  </si>
  <si>
    <t>[$FNAME:R9]</t>
  </si>
  <si>
    <t>[$FNAME:R10]</t>
  </si>
  <si>
    <t>[$FNAME:R11]</t>
  </si>
  <si>
    <t>[$FNAME:R12]</t>
  </si>
  <si>
    <t>[$FNAME:R13]</t>
  </si>
  <si>
    <t>[$FNAME:R14]</t>
  </si>
  <si>
    <t>[$FNAME:R15]</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</si>
  <si>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</si>
  <si>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</si>
  <si>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</si>
  <si>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</si>
  <si>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</si>
  <si>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</si>
  <si>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</si>
  <si>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</si>
  <si>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</si>
  <si>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</si>
  <si>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</si>
  <si>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</si>
  <si>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</si>
  <si>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</si>
  <si>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</si>
  <si>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</si>
  <si>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</si>
  <si>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</si>
  <si>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</si>
  <si>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</si>
  <si>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</si>
  <si>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25</t>
  </si>
  <si>
    <t>Massachusetts</t>
  </si>
  <si>
    <t>26</t>
  </si>
  <si>
    <t>Michigan</t>
  </si>
  <si>
    <t>27</t>
  </si>
  <si>
    <t>Minnesota</t>
  </si>
  <si>
    <t>28</t>
  </si>
  <si>
    <t>Mississippi</t>
  </si>
  <si>
    <t>29</t>
  </si>
  <si>
    <t>Missouri</t>
  </si>
  <si>
    <t>Montana</t>
  </si>
  <si>
    <t>Nebraska</t>
  </si>
  <si>
    <t>Nevada</t>
  </si>
  <si>
    <t>New Hampshire</t>
  </si>
  <si>
    <t>New Jersey</t>
  </si>
  <si>
    <t>35</t>
  </si>
  <si>
    <t>New Mexico</t>
  </si>
  <si>
    <t>36</t>
  </si>
  <si>
    <t>New York</t>
  </si>
  <si>
    <t>37</t>
  </si>
  <si>
    <t>North Carolina</t>
  </si>
  <si>
    <t>38</t>
  </si>
  <si>
    <t>North Dakota</t>
  </si>
  <si>
    <t>39</t>
  </si>
  <si>
    <t>Ohio</t>
  </si>
  <si>
    <t>Oklahoma</t>
  </si>
  <si>
    <t>Oregon</t>
  </si>
  <si>
    <t>Pennsylvania</t>
  </si>
  <si>
    <t>Rhode Island</t>
  </si>
  <si>
    <t>45</t>
  </si>
  <si>
    <t>South Carolina</t>
  </si>
  <si>
    <t>46</t>
  </si>
  <si>
    <t>South Dakota</t>
  </si>
  <si>
    <t>47</t>
  </si>
  <si>
    <t>Tennessee</t>
  </si>
  <si>
    <t>48</t>
  </si>
  <si>
    <t>Texas</t>
  </si>
  <si>
    <t>49</t>
  </si>
  <si>
    <t>Utah</t>
  </si>
  <si>
    <t>Vermont</t>
  </si>
  <si>
    <t>Virginia</t>
  </si>
  <si>
    <t>Washington</t>
  </si>
  <si>
    <t>West Virginia</t>
  </si>
  <si>
    <t>55</t>
  </si>
  <si>
    <t>Wisconsin</t>
  </si>
  <si>
    <t>56</t>
  </si>
  <si>
    <t>Wyoming</t>
  </si>
  <si>
    <t xml:space="preserve">Own </t>
  </si>
  <si>
    <t xml:space="preserve">Rent </t>
  </si>
  <si>
    <t xml:space="preserve">Some other arrangement </t>
  </si>
  <si>
    <t>0-49</t>
  </si>
  <si>
    <t>75</t>
  </si>
  <si>
    <t>50-99</t>
  </si>
  <si>
    <t>150</t>
  </si>
  <si>
    <t>100-249</t>
  </si>
  <si>
    <t>350</t>
  </si>
  <si>
    <t>250-499</t>
  </si>
  <si>
    <t>5000</t>
  </si>
  <si>
    <t>4,000-999,999</t>
  </si>
  <si>
    <t xml:space="preserve">Yes </t>
  </si>
  <si>
    <t>English</t>
  </si>
  <si>
    <t>EspaÃ±ol</t>
  </si>
  <si>
    <t>one adult, no children</t>
  </si>
  <si>
    <t>2+ adults, no children</t>
  </si>
  <si>
    <t>one adult, youngest child 0-5</t>
  </si>
  <si>
    <t>2+ adults, youngest child 0-5</t>
  </si>
  <si>
    <t>one adult, youngest child 6-15</t>
  </si>
  <si>
    <t>2+ adults, youngest child 6-15</t>
  </si>
  <si>
    <t>one adult, youngest child 16-21</t>
  </si>
  <si>
    <t>2+ adults, youngest child 16-21</t>
  </si>
  <si>
    <t>one adult, retired, no children</t>
  </si>
  <si>
    <t>2+ adults, retired, no children</t>
  </si>
  <si>
    <t>Home Location</t>
  </si>
  <si>
    <t>Work Location</t>
  </si>
  <si>
    <t>School Location</t>
  </si>
  <si>
    <t>Other Location</t>
  </si>
  <si>
    <t>The day before</t>
  </si>
  <si>
    <t>A few days before</t>
  </si>
  <si>
    <t>A week before</t>
  </si>
  <si>
    <t>More than a week before but within a month</t>
  </si>
  <si>
    <t>More than a month before</t>
  </si>
  <si>
    <t>American Motors</t>
  </si>
  <si>
    <t>Jeep (Includes Willys/Kaiser-Jeep)</t>
  </si>
  <si>
    <t>AM General</t>
  </si>
  <si>
    <t>Chrysler/Daimler Chrysler</t>
  </si>
  <si>
    <t>Dodge</t>
  </si>
  <si>
    <t>Imperial</t>
  </si>
  <si>
    <t>Plymouth</t>
  </si>
  <si>
    <t>Eagle</t>
  </si>
  <si>
    <t>Ford</t>
  </si>
  <si>
    <t>Lincoln</t>
  </si>
  <si>
    <t>Mercury</t>
  </si>
  <si>
    <t>Buick</t>
  </si>
  <si>
    <t xml:space="preserve">Cadillac </t>
  </si>
  <si>
    <t>Chevrolet</t>
  </si>
  <si>
    <t>Oldsmobile</t>
  </si>
  <si>
    <t>Pontiac</t>
  </si>
  <si>
    <t>GMC</t>
  </si>
  <si>
    <t>Saturn</t>
  </si>
  <si>
    <t>Grumman/Grumman-Olson</t>
  </si>
  <si>
    <t>Coda</t>
  </si>
  <si>
    <t>Other Domestic</t>
  </si>
  <si>
    <t>Volkswagen</t>
  </si>
  <si>
    <t>Alfa Romeo</t>
  </si>
  <si>
    <t>Audi</t>
  </si>
  <si>
    <t>Austin/Austin Healey</t>
  </si>
  <si>
    <t>BMW</t>
  </si>
  <si>
    <t>Nissan/Datsun</t>
  </si>
  <si>
    <t>Fiat</t>
  </si>
  <si>
    <t>Honda</t>
  </si>
  <si>
    <t>Isuzu</t>
  </si>
  <si>
    <t>Jaguar</t>
  </si>
  <si>
    <t>Lancia</t>
  </si>
  <si>
    <t>Mazda</t>
  </si>
  <si>
    <t>Mercedes Benz</t>
  </si>
  <si>
    <t>MG</t>
  </si>
  <si>
    <t>Peugeot</t>
  </si>
  <si>
    <t>Porsche</t>
  </si>
  <si>
    <t>Renault</t>
  </si>
  <si>
    <t>Saab</t>
  </si>
  <si>
    <t>Subaru</t>
  </si>
  <si>
    <t>Toyota</t>
  </si>
  <si>
    <t>Triumph</t>
  </si>
  <si>
    <t>Volvo</t>
  </si>
  <si>
    <t>Mitsubishi</t>
  </si>
  <si>
    <t>Suzuki</t>
  </si>
  <si>
    <t>Acura</t>
  </si>
  <si>
    <t>Hyundai</t>
  </si>
  <si>
    <t>Merkur</t>
  </si>
  <si>
    <t>57</t>
  </si>
  <si>
    <t>Yugo</t>
  </si>
  <si>
    <t>58</t>
  </si>
  <si>
    <t>Infiniti</t>
  </si>
  <si>
    <t>59</t>
  </si>
  <si>
    <t>Lexus</t>
  </si>
  <si>
    <t>Daihatsu</t>
  </si>
  <si>
    <t>Sterling</t>
  </si>
  <si>
    <t>Land Rover</t>
  </si>
  <si>
    <t>KIA</t>
  </si>
  <si>
    <t>Daewoo</t>
  </si>
  <si>
    <t>65</t>
  </si>
  <si>
    <t>Smart</t>
  </si>
  <si>
    <t>67</t>
  </si>
  <si>
    <t>Scion</t>
  </si>
  <si>
    <t>69</t>
  </si>
  <si>
    <t>Other Import</t>
  </si>
  <si>
    <t>BSA</t>
  </si>
  <si>
    <t>Ducati</t>
  </si>
  <si>
    <t>Harley-Davidson</t>
  </si>
  <si>
    <t>Kawasaki</t>
  </si>
  <si>
    <t>Moto-Guzzi</t>
  </si>
  <si>
    <t>Norton</t>
  </si>
  <si>
    <t>76</t>
  </si>
  <si>
    <t>Yamaha</t>
  </si>
  <si>
    <t>77</t>
  </si>
  <si>
    <t>Victory</t>
  </si>
  <si>
    <t>Brockway</t>
  </si>
  <si>
    <t>Diamond Reo or Reo</t>
  </si>
  <si>
    <t>Freightliner</t>
  </si>
  <si>
    <t>FWD</t>
  </si>
  <si>
    <t>International Harvester/Navistar</t>
  </si>
  <si>
    <t>85</t>
  </si>
  <si>
    <t>Kenworth</t>
  </si>
  <si>
    <t>86</t>
  </si>
  <si>
    <t>Mack</t>
  </si>
  <si>
    <t>87</t>
  </si>
  <si>
    <t>Peterbilt</t>
  </si>
  <si>
    <t>88</t>
  </si>
  <si>
    <t>Iveco/Magirus</t>
  </si>
  <si>
    <t>89</t>
  </si>
  <si>
    <t>White/Autocar-White/GMC</t>
  </si>
  <si>
    <t>Bluebird</t>
  </si>
  <si>
    <t>Eagle Coach</t>
  </si>
  <si>
    <t>Gillig</t>
  </si>
  <si>
    <t>MCI</t>
  </si>
  <si>
    <t>Thomas Built</t>
  </si>
  <si>
    <t>98</t>
  </si>
  <si>
    <t>Other</t>
  </si>
  <si>
    <t>99</t>
  </si>
  <si>
    <t>Unknown</t>
  </si>
  <si>
    <t>997</t>
  </si>
  <si>
    <t>Cane</t>
  </si>
  <si>
    <t>Walker</t>
  </si>
  <si>
    <t>White cane</t>
  </si>
  <si>
    <t>Seeing-eye dog or other K-9 assistance</t>
  </si>
  <si>
    <t>Crutches</t>
  </si>
  <si>
    <t>Motorized scooter</t>
  </si>
  <si>
    <t>Manual wheelchair</t>
  </si>
  <si>
    <t>Motorized wheelchair</t>
  </si>
  <si>
    <t>6 months or less</t>
  </si>
  <si>
    <t>More than 6 months</t>
  </si>
  <si>
    <t>All [$YOUR_THEIR] life</t>
  </si>
  <si>
    <t>1001</t>
  </si>
  <si>
    <t>Rambler American</t>
  </si>
  <si>
    <t>1002</t>
  </si>
  <si>
    <t>Rebel/Matador/Marlin</t>
  </si>
  <si>
    <t>1003</t>
  </si>
  <si>
    <t>Ambassador</t>
  </si>
  <si>
    <t>1004</t>
  </si>
  <si>
    <t>Pacer</t>
  </si>
  <si>
    <t>1005</t>
  </si>
  <si>
    <t>AMX</t>
  </si>
  <si>
    <t>1006</t>
  </si>
  <si>
    <t>Javelin</t>
  </si>
  <si>
    <t>1007</t>
  </si>
  <si>
    <t>Hornet/Concord</t>
  </si>
  <si>
    <t>1008</t>
  </si>
  <si>
    <t>Gremlin/Spirit</t>
  </si>
  <si>
    <t>1009</t>
  </si>
  <si>
    <t>1010</t>
  </si>
  <si>
    <t>Eagle SX-4</t>
  </si>
  <si>
    <t>1398</t>
  </si>
  <si>
    <t>Other (automobile)</t>
  </si>
  <si>
    <t>1399</t>
  </si>
  <si>
    <t>Unknown (automobile)</t>
  </si>
  <si>
    <t>2001</t>
  </si>
  <si>
    <t>Compass</t>
  </si>
  <si>
    <t>2401</t>
  </si>
  <si>
    <t>CJ-2/CJ-3/CJ-4</t>
  </si>
  <si>
    <t>2402</t>
  </si>
  <si>
    <t>CJ-5/CJ-6/CJ-7/CJ-8</t>
  </si>
  <si>
    <t>2403</t>
  </si>
  <si>
    <t>YJ series/Wrangler</t>
  </si>
  <si>
    <t>2404</t>
  </si>
  <si>
    <t xml:space="preserve">Cherokee (1984 on) </t>
  </si>
  <si>
    <t>2405</t>
  </si>
  <si>
    <t>Liberty</t>
  </si>
  <si>
    <t>2406</t>
  </si>
  <si>
    <t>Commander</t>
  </si>
  <si>
    <t>2407</t>
  </si>
  <si>
    <t>Patriot</t>
  </si>
  <si>
    <t>2408</t>
  </si>
  <si>
    <t>Renegade</t>
  </si>
  <si>
    <t>2421</t>
  </si>
  <si>
    <t>Cherokee (thru 1983)</t>
  </si>
  <si>
    <t>2422</t>
  </si>
  <si>
    <t>Grand Cherokee (2014 on)</t>
  </si>
  <si>
    <t>2431</t>
  </si>
  <si>
    <t>Grand Wagoneer</t>
  </si>
  <si>
    <t>2481</t>
  </si>
  <si>
    <t>Pick-up</t>
  </si>
  <si>
    <t>2482</t>
  </si>
  <si>
    <t>Comanche</t>
  </si>
  <si>
    <t>2498</t>
  </si>
  <si>
    <t xml:space="preserve">Other (light truck) </t>
  </si>
  <si>
    <t>2499</t>
  </si>
  <si>
    <t xml:space="preserve">Unknown (light truck) </t>
  </si>
  <si>
    <t>2999</t>
  </si>
  <si>
    <t>Unknown (JEEP)</t>
  </si>
  <si>
    <t>3401</t>
  </si>
  <si>
    <t>Dispatcher (Jeep)</t>
  </si>
  <si>
    <t>3402</t>
  </si>
  <si>
    <t>Hummer H3</t>
  </si>
  <si>
    <t>3421</t>
  </si>
  <si>
    <t>Hummer (1993-2003)</t>
  </si>
  <si>
    <t>3431</t>
  </si>
  <si>
    <t>Hummer (2004 on)</t>
  </si>
  <si>
    <t>3441</t>
  </si>
  <si>
    <t>MV-1</t>
  </si>
  <si>
    <t>3466</t>
  </si>
  <si>
    <t>Dispatcher (Van)</t>
  </si>
  <si>
    <t>3481</t>
  </si>
  <si>
    <t>Hummer (Pickup)</t>
  </si>
  <si>
    <t>3482</t>
  </si>
  <si>
    <t>Hummer H3T</t>
  </si>
  <si>
    <t>3498</t>
  </si>
  <si>
    <t xml:space="preserve">Other (light truck)  </t>
  </si>
  <si>
    <t>3499</t>
  </si>
  <si>
    <t xml:space="preserve">Unknown (light truck)  </t>
  </si>
  <si>
    <t>3884</t>
  </si>
  <si>
    <t>Medium/Heavy Truck</t>
  </si>
  <si>
    <t>3898</t>
  </si>
  <si>
    <t>Other (medium/heavy truck)</t>
  </si>
  <si>
    <t>3983</t>
  </si>
  <si>
    <t>Bus: Rear engine, Flat front</t>
  </si>
  <si>
    <t>3988</t>
  </si>
  <si>
    <t>Other (bus)</t>
  </si>
  <si>
    <t>3989</t>
  </si>
  <si>
    <t>Unknown Bus Type</t>
  </si>
  <si>
    <t>3998</t>
  </si>
  <si>
    <t>Other (vehicle)</t>
  </si>
  <si>
    <t>3999</t>
  </si>
  <si>
    <t xml:space="preserve">Unknown (AM GENERAL) </t>
  </si>
  <si>
    <t>6009</t>
  </si>
  <si>
    <t>Cordoba</t>
  </si>
  <si>
    <t>6010</t>
  </si>
  <si>
    <t>New Yorker (thru 1978)/Newport/5th Avenue/Imperial (1979-1983) (excludes all FWD)</t>
  </si>
  <si>
    <t>6014</t>
  </si>
  <si>
    <t>New Yorker/E-Class/Imperial (1990-1993)/Fifth Avenue</t>
  </si>
  <si>
    <t>6015</t>
  </si>
  <si>
    <t>Laser</t>
  </si>
  <si>
    <t>6016</t>
  </si>
  <si>
    <t>LeBaron</t>
  </si>
  <si>
    <t>6017</t>
  </si>
  <si>
    <t>LeBaron GTS/GTC</t>
  </si>
  <si>
    <t>6018</t>
  </si>
  <si>
    <t>200</t>
  </si>
  <si>
    <t>6021</t>
  </si>
  <si>
    <t>SRT Viper</t>
  </si>
  <si>
    <t>6031</t>
  </si>
  <si>
    <t>TC (Maserati Sport)</t>
  </si>
  <si>
    <t>6035</t>
  </si>
  <si>
    <t>Conquest</t>
  </si>
  <si>
    <t>6041</t>
  </si>
  <si>
    <t>Concorde</t>
  </si>
  <si>
    <t>6042</t>
  </si>
  <si>
    <t>LHS</t>
  </si>
  <si>
    <t>6043</t>
  </si>
  <si>
    <t>Sebring</t>
  </si>
  <si>
    <t>6044</t>
  </si>
  <si>
    <t>Cirrus</t>
  </si>
  <si>
    <t>6050</t>
  </si>
  <si>
    <t>Executive</t>
  </si>
  <si>
    <t>6051</t>
  </si>
  <si>
    <t>300M/300/300C/300S</t>
  </si>
  <si>
    <t>6052</t>
  </si>
  <si>
    <t>PT Cruiser</t>
  </si>
  <si>
    <t>6053</t>
  </si>
  <si>
    <t xml:space="preserve">Prowler (2002)  </t>
  </si>
  <si>
    <t>6054</t>
  </si>
  <si>
    <t>Pacifica</t>
  </si>
  <si>
    <t>6055</t>
  </si>
  <si>
    <t>Crossfire</t>
  </si>
  <si>
    <t>6398</t>
  </si>
  <si>
    <t xml:space="preserve">Other (automobile) </t>
  </si>
  <si>
    <t>6399</t>
  </si>
  <si>
    <t xml:space="preserve">Unknown (automobile) </t>
  </si>
  <si>
    <t>6421</t>
  </si>
  <si>
    <t>Aspen</t>
  </si>
  <si>
    <t>6441</t>
  </si>
  <si>
    <t xml:space="preserve">Town and Country </t>
  </si>
  <si>
    <t>6442</t>
  </si>
  <si>
    <t>Voyager (2000 on)</t>
  </si>
  <si>
    <t>6499</t>
  </si>
  <si>
    <t>6999</t>
  </si>
  <si>
    <t xml:space="preserve">Unknown (CHRYSLER) </t>
  </si>
  <si>
    <t>7001</t>
  </si>
  <si>
    <t>Dart (1960-1976)</t>
  </si>
  <si>
    <t>7002</t>
  </si>
  <si>
    <t>Coronet/Magnum/Charger (thru 1978)</t>
  </si>
  <si>
    <t>7003</t>
  </si>
  <si>
    <t>Polara/Monaco/Royal Monaco</t>
  </si>
  <si>
    <t>7004</t>
  </si>
  <si>
    <t>Viper</t>
  </si>
  <si>
    <t>7005</t>
  </si>
  <si>
    <t>Challenger (1970-1974)</t>
  </si>
  <si>
    <t>7006</t>
  </si>
  <si>
    <t>7007</t>
  </si>
  <si>
    <t>Diplomat</t>
  </si>
  <si>
    <t>7008</t>
  </si>
  <si>
    <t>Omni/Charger (1983-1987)</t>
  </si>
  <si>
    <t>7009</t>
  </si>
  <si>
    <t>Mirada</t>
  </si>
  <si>
    <t>7010</t>
  </si>
  <si>
    <t>St Regis</t>
  </si>
  <si>
    <t>7011</t>
  </si>
  <si>
    <t>Aries (K)</t>
  </si>
  <si>
    <t>7012</t>
  </si>
  <si>
    <t>400</t>
  </si>
  <si>
    <t>7013</t>
  </si>
  <si>
    <t>Rampage (car-based pickup)</t>
  </si>
  <si>
    <t>7014</t>
  </si>
  <si>
    <t>600</t>
  </si>
  <si>
    <t>7015</t>
  </si>
  <si>
    <t>Daytona</t>
  </si>
  <si>
    <t>7016</t>
  </si>
  <si>
    <t>Lancer</t>
  </si>
  <si>
    <t>7017</t>
  </si>
  <si>
    <t>Shadow</t>
  </si>
  <si>
    <t>7018</t>
  </si>
  <si>
    <t>Dynasty</t>
  </si>
  <si>
    <t>7019</t>
  </si>
  <si>
    <t>Spirit</t>
  </si>
  <si>
    <t>7020</t>
  </si>
  <si>
    <t>Neon</t>
  </si>
  <si>
    <t>7021</t>
  </si>
  <si>
    <t>Magnum</t>
  </si>
  <si>
    <t>7024</t>
  </si>
  <si>
    <t>Charger (2006 on)</t>
  </si>
  <si>
    <t>7025</t>
  </si>
  <si>
    <t>Caliber</t>
  </si>
  <si>
    <t>7026</t>
  </si>
  <si>
    <t>Avenger (2008 on)</t>
  </si>
  <si>
    <t>7027</t>
  </si>
  <si>
    <t>Journey</t>
  </si>
  <si>
    <t>7028</t>
  </si>
  <si>
    <t>Challenger (2008 on)</t>
  </si>
  <si>
    <t>7029</t>
  </si>
  <si>
    <t>Dart (2013 on)</t>
  </si>
  <si>
    <t>7033</t>
  </si>
  <si>
    <t>Challenger</t>
  </si>
  <si>
    <t>7034</t>
  </si>
  <si>
    <t>Colt (includes 2WD Vista)</t>
  </si>
  <si>
    <t>7035</t>
  </si>
  <si>
    <t>7039</t>
  </si>
  <si>
    <t>Stealth</t>
  </si>
  <si>
    <t>7040</t>
  </si>
  <si>
    <t>Monaco</t>
  </si>
  <si>
    <t>7041</t>
  </si>
  <si>
    <t>Intrepid</t>
  </si>
  <si>
    <t>7042</t>
  </si>
  <si>
    <t>Avenger (1995-2000)</t>
  </si>
  <si>
    <t>7043</t>
  </si>
  <si>
    <t>Stratus</t>
  </si>
  <si>
    <t>7398</t>
  </si>
  <si>
    <t>7399</t>
  </si>
  <si>
    <t>7401</t>
  </si>
  <si>
    <t>RaiderSport</t>
  </si>
  <si>
    <t>7402</t>
  </si>
  <si>
    <t>Durango (1998-2003)</t>
  </si>
  <si>
    <t>7403</t>
  </si>
  <si>
    <t>Nitro</t>
  </si>
  <si>
    <t>7421</t>
  </si>
  <si>
    <t>Ramcharger</t>
  </si>
  <si>
    <t>7422</t>
  </si>
  <si>
    <t>Durango (2004 on)</t>
  </si>
  <si>
    <t>7441</t>
  </si>
  <si>
    <t>Vista Van</t>
  </si>
  <si>
    <t>7442</t>
  </si>
  <si>
    <t>Caravan/Grand Caravan</t>
  </si>
  <si>
    <t>7443</t>
  </si>
  <si>
    <t>Ram C/V</t>
  </si>
  <si>
    <t>7444</t>
  </si>
  <si>
    <t>Promaster City</t>
  </si>
  <si>
    <t>7461</t>
  </si>
  <si>
    <t>B-Series Van/fRam Van/Ram Wagon</t>
  </si>
  <si>
    <t>7462</t>
  </si>
  <si>
    <t>Sprinter</t>
  </si>
  <si>
    <t>7463</t>
  </si>
  <si>
    <t>Ram Promaster</t>
  </si>
  <si>
    <t>7470</t>
  </si>
  <si>
    <t>Van Derivative</t>
  </si>
  <si>
    <t>7471</t>
  </si>
  <si>
    <t>D50, Colt pickup, Ram 50/Ram 100</t>
  </si>
  <si>
    <t>7472</t>
  </si>
  <si>
    <t>Dakota</t>
  </si>
  <si>
    <t>7481</t>
  </si>
  <si>
    <t>D, W-Series pickup</t>
  </si>
  <si>
    <t>7482</t>
  </si>
  <si>
    <t>Ram Pickup</t>
  </si>
  <si>
    <t>7498</t>
  </si>
  <si>
    <t>7499</t>
  </si>
  <si>
    <t>7850</t>
  </si>
  <si>
    <t>Motor Home</t>
  </si>
  <si>
    <t>7870</t>
  </si>
  <si>
    <t>Medium/Heavy Van-Based Vehicle</t>
  </si>
  <si>
    <t>7880</t>
  </si>
  <si>
    <t>Medium/Heavy Pickup (pickup-style only â€“ over 10,000 lbs)</t>
  </si>
  <si>
    <t>7881</t>
  </si>
  <si>
    <t>Medium/Heavy â€“ CBE</t>
  </si>
  <si>
    <t>7882</t>
  </si>
  <si>
    <t>Medium/Heavy â€“ COE low entry</t>
  </si>
  <si>
    <t>7883</t>
  </si>
  <si>
    <t>Medium/Heavy â€“ COE high entry</t>
  </si>
  <si>
    <t>7884</t>
  </si>
  <si>
    <t>Medium/Heavy Â­ Unknown engine Location</t>
  </si>
  <si>
    <t>7890</t>
  </si>
  <si>
    <t>Medium/Heavy Â­ COE entry position unknown</t>
  </si>
  <si>
    <t>7898</t>
  </si>
  <si>
    <t>7981</t>
  </si>
  <si>
    <t>Bus: Conventional (Engine out front)</t>
  </si>
  <si>
    <t>7988</t>
  </si>
  <si>
    <t>7989</t>
  </si>
  <si>
    <t xml:space="preserve">Unknown (bus) </t>
  </si>
  <si>
    <t>7998</t>
  </si>
  <si>
    <t xml:space="preserve">Other (vehicle) </t>
  </si>
  <si>
    <t>7999</t>
  </si>
  <si>
    <t xml:space="preserve">Unknown (DODGE) </t>
  </si>
  <si>
    <t>8010</t>
  </si>
  <si>
    <t>8398</t>
  </si>
  <si>
    <t>8399</t>
  </si>
  <si>
    <t>9001</t>
  </si>
  <si>
    <t>Valiant/Scamp/Duster (thru 1976)</t>
  </si>
  <si>
    <t>9002</t>
  </si>
  <si>
    <t>Satellite/Belvedere</t>
  </si>
  <si>
    <t>9003</t>
  </si>
  <si>
    <t>Fury (Fury Gran thru 1978)</t>
  </si>
  <si>
    <t>9004</t>
  </si>
  <si>
    <t>Gran Fury (1980 on)</t>
  </si>
  <si>
    <t>9005</t>
  </si>
  <si>
    <t>Barracuda</t>
  </si>
  <si>
    <t>9006</t>
  </si>
  <si>
    <t>Volare'</t>
  </si>
  <si>
    <t>9007</t>
  </si>
  <si>
    <t>Caravelle</t>
  </si>
  <si>
    <t>9008</t>
  </si>
  <si>
    <t>Horizon/Turismo</t>
  </si>
  <si>
    <t>9011</t>
  </si>
  <si>
    <t>Reliant (K)</t>
  </si>
  <si>
    <t>9013</t>
  </si>
  <si>
    <t>Scamp-(car-based p/u)</t>
  </si>
  <si>
    <t>9017</t>
  </si>
  <si>
    <t>Sundance</t>
  </si>
  <si>
    <t>9019</t>
  </si>
  <si>
    <t xml:space="preserve">Acclaim </t>
  </si>
  <si>
    <t>9020</t>
  </si>
  <si>
    <t>9031</t>
  </si>
  <si>
    <t>Cricket</t>
  </si>
  <si>
    <t>9032</t>
  </si>
  <si>
    <t>Arrow</t>
  </si>
  <si>
    <t>9033</t>
  </si>
  <si>
    <t>Sapporo</t>
  </si>
  <si>
    <t>9034</t>
  </si>
  <si>
    <t>Champ/Colt import (includes 2WD Vista)</t>
  </si>
  <si>
    <t>9035</t>
  </si>
  <si>
    <t>9037</t>
  </si>
  <si>
    <t>9038</t>
  </si>
  <si>
    <t>Breeze</t>
  </si>
  <si>
    <t>9039</t>
  </si>
  <si>
    <t>Prowler (1997, 1999-2001)</t>
  </si>
  <si>
    <t>9398</t>
  </si>
  <si>
    <t>9399</t>
  </si>
  <si>
    <t>9421</t>
  </si>
  <si>
    <t>Trailduster</t>
  </si>
  <si>
    <t>9441</t>
  </si>
  <si>
    <t>9442</t>
  </si>
  <si>
    <t>Voyager (minivan)</t>
  </si>
  <si>
    <t>9461</t>
  </si>
  <si>
    <t>Van-fullsize (B-series)</t>
  </si>
  <si>
    <t>9471</t>
  </si>
  <si>
    <t>Arrow pickup (foreign)</t>
  </si>
  <si>
    <t>9498</t>
  </si>
  <si>
    <t>9499</t>
  </si>
  <si>
    <t>9998</t>
  </si>
  <si>
    <t>9999</t>
  </si>
  <si>
    <t xml:space="preserve">Unknown (PLYMOUTH) </t>
  </si>
  <si>
    <t>10034</t>
  </si>
  <si>
    <t>Summit (excludes wagon)</t>
  </si>
  <si>
    <t>10037</t>
  </si>
  <si>
    <t>Talon</t>
  </si>
  <si>
    <t>10040</t>
  </si>
  <si>
    <t>Premier</t>
  </si>
  <si>
    <t>10041</t>
  </si>
  <si>
    <t>Vision</t>
  </si>
  <si>
    <t>10044</t>
  </si>
  <si>
    <t>Medallion</t>
  </si>
  <si>
    <t>10045</t>
  </si>
  <si>
    <t>Summit Wagon</t>
  </si>
  <si>
    <t>10398</t>
  </si>
  <si>
    <t>10399</t>
  </si>
  <si>
    <t>12001</t>
  </si>
  <si>
    <t>Falcon</t>
  </si>
  <si>
    <t>12002</t>
  </si>
  <si>
    <t>Fairlane</t>
  </si>
  <si>
    <t>12003</t>
  </si>
  <si>
    <t>Mustang/Mustang II</t>
  </si>
  <si>
    <t>12004</t>
  </si>
  <si>
    <t>Thunderbird (all sizes)</t>
  </si>
  <si>
    <t>12005</t>
  </si>
  <si>
    <t>LTD II</t>
  </si>
  <si>
    <t>12006</t>
  </si>
  <si>
    <t>LTD/Custom/Galaxy (all sizes)</t>
  </si>
  <si>
    <t>12007</t>
  </si>
  <si>
    <t>Ranchero</t>
  </si>
  <si>
    <t>12008</t>
  </si>
  <si>
    <t>Maverick</t>
  </si>
  <si>
    <t>12009</t>
  </si>
  <si>
    <t>Pinto</t>
  </si>
  <si>
    <t>12010</t>
  </si>
  <si>
    <t>Torino/Gran Torino/Elite</t>
  </si>
  <si>
    <t>12011</t>
  </si>
  <si>
    <t>Granada</t>
  </si>
  <si>
    <t>12012</t>
  </si>
  <si>
    <t>Fairmont</t>
  </si>
  <si>
    <t>12013</t>
  </si>
  <si>
    <t>Escort/EXP/ZX2</t>
  </si>
  <si>
    <t>12015</t>
  </si>
  <si>
    <t>Tempo</t>
  </si>
  <si>
    <t>12016</t>
  </si>
  <si>
    <t>Crown Victoria</t>
  </si>
  <si>
    <t>12017</t>
  </si>
  <si>
    <t>Taurus/Taurus X</t>
  </si>
  <si>
    <t>12018</t>
  </si>
  <si>
    <t>Probe</t>
  </si>
  <si>
    <t>12021</t>
  </si>
  <si>
    <t>Five Hundred</t>
  </si>
  <si>
    <t>12022</t>
  </si>
  <si>
    <t>Freestyle</t>
  </si>
  <si>
    <t>12023</t>
  </si>
  <si>
    <t>Fusion</t>
  </si>
  <si>
    <t>12024</t>
  </si>
  <si>
    <t>Edge</t>
  </si>
  <si>
    <t>12025</t>
  </si>
  <si>
    <t>Flex</t>
  </si>
  <si>
    <t>12026</t>
  </si>
  <si>
    <t>12027</t>
  </si>
  <si>
    <t>C-Max</t>
  </si>
  <si>
    <t>12031</t>
  </si>
  <si>
    <t>English Ford</t>
  </si>
  <si>
    <t>12032</t>
  </si>
  <si>
    <t>Fiesta</t>
  </si>
  <si>
    <t>12033</t>
  </si>
  <si>
    <t>Festiva</t>
  </si>
  <si>
    <t>12034</t>
  </si>
  <si>
    <t>12035</t>
  </si>
  <si>
    <t>Contour</t>
  </si>
  <si>
    <t>12036</t>
  </si>
  <si>
    <t>Aspire</t>
  </si>
  <si>
    <t>12037</t>
  </si>
  <si>
    <t>Focus</t>
  </si>
  <si>
    <t>12038</t>
  </si>
  <si>
    <t>GT</t>
  </si>
  <si>
    <t>12398</t>
  </si>
  <si>
    <t>Other (automobile)  Deluxe, Ford Six, Mainline,</t>
  </si>
  <si>
    <t>12399</t>
  </si>
  <si>
    <t>12401</t>
  </si>
  <si>
    <t>Bronco (thru 1977)/Bronco II/Explorer/Explorer Sport</t>
  </si>
  <si>
    <t>12402</t>
  </si>
  <si>
    <t>Escape</t>
  </si>
  <si>
    <t>12421</t>
  </si>
  <si>
    <t>Bronco-full-size (1978 on)</t>
  </si>
  <si>
    <t>12422</t>
  </si>
  <si>
    <t>Expedition</t>
  </si>
  <si>
    <t>12423</t>
  </si>
  <si>
    <t>Excursion</t>
  </si>
  <si>
    <t>12441</t>
  </si>
  <si>
    <t>Aerostar</t>
  </si>
  <si>
    <t>12442</t>
  </si>
  <si>
    <t>Windstar</t>
  </si>
  <si>
    <t>12443</t>
  </si>
  <si>
    <t>Freestar</t>
  </si>
  <si>
    <t>12444</t>
  </si>
  <si>
    <t>Transit Connect</t>
  </si>
  <si>
    <t>12461</t>
  </si>
  <si>
    <t>E-Series Van/Econoline</t>
  </si>
  <si>
    <t>12462</t>
  </si>
  <si>
    <t>Transit</t>
  </si>
  <si>
    <t>12470</t>
  </si>
  <si>
    <t>12471</t>
  </si>
  <si>
    <t>Ranger</t>
  </si>
  <si>
    <t>12473</t>
  </si>
  <si>
    <t>Explorer Sport Trac</t>
  </si>
  <si>
    <t>12481</t>
  </si>
  <si>
    <t>F-Series pickup</t>
  </si>
  <si>
    <t>12498</t>
  </si>
  <si>
    <t>12499</t>
  </si>
  <si>
    <t>12850</t>
  </si>
  <si>
    <t>12870</t>
  </si>
  <si>
    <t>12880</t>
  </si>
  <si>
    <t>Medium/Heavy Pickup (pickup-style only â€“ over 10,000 lbs.)</t>
  </si>
  <si>
    <t>12881</t>
  </si>
  <si>
    <t>12882</t>
  </si>
  <si>
    <t>12883</t>
  </si>
  <si>
    <t>12884</t>
  </si>
  <si>
    <t>Medium/Heavy Â­ Unknown engine location</t>
  </si>
  <si>
    <t>12890</t>
  </si>
  <si>
    <t>12898</t>
  </si>
  <si>
    <t>12981</t>
  </si>
  <si>
    <t>12988</t>
  </si>
  <si>
    <t xml:space="preserve">Other (bus) </t>
  </si>
  <si>
    <t>12989</t>
  </si>
  <si>
    <t>12998</t>
  </si>
  <si>
    <t>12999</t>
  </si>
  <si>
    <t xml:space="preserve">Unknown (FORD) </t>
  </si>
  <si>
    <t>13001</t>
  </si>
  <si>
    <t>Continental (thru 1981)/ Town Car</t>
  </si>
  <si>
    <t>13002</t>
  </si>
  <si>
    <t>Mark</t>
  </si>
  <si>
    <t>13005</t>
  </si>
  <si>
    <t>Continental (1982 on)</t>
  </si>
  <si>
    <t>13011</t>
  </si>
  <si>
    <t>Versailles</t>
  </si>
  <si>
    <t>13012</t>
  </si>
  <si>
    <t>LS</t>
  </si>
  <si>
    <t>13013</t>
  </si>
  <si>
    <t>Zephyr/MKZ</t>
  </si>
  <si>
    <t>13014</t>
  </si>
  <si>
    <t>MKX</t>
  </si>
  <si>
    <t>13015</t>
  </si>
  <si>
    <t>MKS</t>
  </si>
  <si>
    <t>13016</t>
  </si>
  <si>
    <t>MKT</t>
  </si>
  <si>
    <t>13398</t>
  </si>
  <si>
    <t>13399</t>
  </si>
  <si>
    <t>13401</t>
  </si>
  <si>
    <t>Aviator</t>
  </si>
  <si>
    <t>13402</t>
  </si>
  <si>
    <t>MKC</t>
  </si>
  <si>
    <t>13421</t>
  </si>
  <si>
    <t>Navigator</t>
  </si>
  <si>
    <t>13481</t>
  </si>
  <si>
    <t>Blackwood</t>
  </si>
  <si>
    <t>13482</t>
  </si>
  <si>
    <t>Mark LT</t>
  </si>
  <si>
    <t>13498</t>
  </si>
  <si>
    <t>13499</t>
  </si>
  <si>
    <t>13999</t>
  </si>
  <si>
    <t xml:space="preserve">Unknown (LINCOLN) </t>
  </si>
  <si>
    <t>14002</t>
  </si>
  <si>
    <t>Cyclone</t>
  </si>
  <si>
    <t>14003</t>
  </si>
  <si>
    <t>Capri-domestic</t>
  </si>
  <si>
    <t>14004</t>
  </si>
  <si>
    <t>Cougar (1967-1997) /XR7 (1967-1997)</t>
  </si>
  <si>
    <t>14006</t>
  </si>
  <si>
    <t>Marquis/Monterey (car version) /Grand Marquis</t>
  </si>
  <si>
    <t>14008</t>
  </si>
  <si>
    <t>Comet</t>
  </si>
  <si>
    <t>14009</t>
  </si>
  <si>
    <t>Bobcat</t>
  </si>
  <si>
    <t>Montego (thru 1976)</t>
  </si>
  <si>
    <t>14011</t>
  </si>
  <si>
    <t>Monarch</t>
  </si>
  <si>
    <t>14012</t>
  </si>
  <si>
    <t>Zephyr</t>
  </si>
  <si>
    <t>14013</t>
  </si>
  <si>
    <t>Lynx/LN7</t>
  </si>
  <si>
    <t>14015</t>
  </si>
  <si>
    <t>Topaz</t>
  </si>
  <si>
    <t>14017</t>
  </si>
  <si>
    <t>Sable</t>
  </si>
  <si>
    <t>Montego (2005 on)</t>
  </si>
  <si>
    <t>14021</t>
  </si>
  <si>
    <t>Milan</t>
  </si>
  <si>
    <t>14031</t>
  </si>
  <si>
    <t>Capri-foreign</t>
  </si>
  <si>
    <t>14033</t>
  </si>
  <si>
    <t>Pantera-foreign</t>
  </si>
  <si>
    <t>14036</t>
  </si>
  <si>
    <t>Tracer</t>
  </si>
  <si>
    <t>14037</t>
  </si>
  <si>
    <t>Mystique</t>
  </si>
  <si>
    <t>14038</t>
  </si>
  <si>
    <t>Cougar (1999-2002)</t>
  </si>
  <si>
    <t>14039</t>
  </si>
  <si>
    <t>Marauder</t>
  </si>
  <si>
    <t>14398</t>
  </si>
  <si>
    <t>14399</t>
  </si>
  <si>
    <t>14401</t>
  </si>
  <si>
    <t>Mountaineer</t>
  </si>
  <si>
    <t>14402</t>
  </si>
  <si>
    <t>Mariner</t>
  </si>
  <si>
    <t>14443</t>
  </si>
  <si>
    <t>Villager</t>
  </si>
  <si>
    <t>14444</t>
  </si>
  <si>
    <t>Monterey (van version)</t>
  </si>
  <si>
    <t>14498</t>
  </si>
  <si>
    <t>14499</t>
  </si>
  <si>
    <t>14999</t>
  </si>
  <si>
    <t xml:space="preserve">Unknown (MERCURY) </t>
  </si>
  <si>
    <t>18001</t>
  </si>
  <si>
    <t>Special/Skylark</t>
  </si>
  <si>
    <t>18002</t>
  </si>
  <si>
    <t>LeSabre/Centurion/Wildcat</t>
  </si>
  <si>
    <t>18003</t>
  </si>
  <si>
    <t>Electra/Electra 225/Park Avenue (1991 on)</t>
  </si>
  <si>
    <t>18004</t>
  </si>
  <si>
    <t>Roadmaster</t>
  </si>
  <si>
    <t>18005</t>
  </si>
  <si>
    <t>Riviera</t>
  </si>
  <si>
    <t>18007</t>
  </si>
  <si>
    <t>Century</t>
  </si>
  <si>
    <t>18008</t>
  </si>
  <si>
    <t>Apollo/Skylark</t>
  </si>
  <si>
    <t>18010</t>
  </si>
  <si>
    <t>Regal (RWD only)</t>
  </si>
  <si>
    <t>18012</t>
  </si>
  <si>
    <t>Skyhawk</t>
  </si>
  <si>
    <t>18015</t>
  </si>
  <si>
    <t>Skylark (1976-1985)</t>
  </si>
  <si>
    <t>18018</t>
  </si>
  <si>
    <t>Somerset/Skylark</t>
  </si>
  <si>
    <t>18019</t>
  </si>
  <si>
    <t>Regal (2011 on)</t>
  </si>
  <si>
    <t>Regal (FWD)</t>
  </si>
  <si>
    <t>18021</t>
  </si>
  <si>
    <t>Reatta</t>
  </si>
  <si>
    <t>18022</t>
  </si>
  <si>
    <t>LaCrosse</t>
  </si>
  <si>
    <t>18023</t>
  </si>
  <si>
    <t>Lucerne</t>
  </si>
  <si>
    <t>18024</t>
  </si>
  <si>
    <t>Enclave (2008-2012)</t>
  </si>
  <si>
    <t>18025</t>
  </si>
  <si>
    <t>Verano</t>
  </si>
  <si>
    <t>18031</t>
  </si>
  <si>
    <t>Opel Kadett</t>
  </si>
  <si>
    <t>18032</t>
  </si>
  <si>
    <t>Opel Manta</t>
  </si>
  <si>
    <t>18033</t>
  </si>
  <si>
    <t>Opel GT</t>
  </si>
  <si>
    <t>18034</t>
  </si>
  <si>
    <t>Opel Isuzu</t>
  </si>
  <si>
    <t>18398</t>
  </si>
  <si>
    <t>18399</t>
  </si>
  <si>
    <t>18401</t>
  </si>
  <si>
    <t>Rendezvous</t>
  </si>
  <si>
    <t>18402</t>
  </si>
  <si>
    <t>Rainier</t>
  </si>
  <si>
    <t>18404</t>
  </si>
  <si>
    <t>Encore</t>
  </si>
  <si>
    <t>18421</t>
  </si>
  <si>
    <t>Enclave (2013 on)</t>
  </si>
  <si>
    <t>18441</t>
  </si>
  <si>
    <t>Terraza</t>
  </si>
  <si>
    <t>18498</t>
  </si>
  <si>
    <t>18499</t>
  </si>
  <si>
    <t>18999</t>
  </si>
  <si>
    <t xml:space="preserve">Unknown (BUICK) </t>
  </si>
  <si>
    <t>19003</t>
  </si>
  <si>
    <t>Deville/Fleetwood (except Limousine)</t>
  </si>
  <si>
    <t>19004</t>
  </si>
  <si>
    <t>Limousine</t>
  </si>
  <si>
    <t>19005</t>
  </si>
  <si>
    <t>Eldorado</t>
  </si>
  <si>
    <t>19006</t>
  </si>
  <si>
    <t>Commercial Series</t>
  </si>
  <si>
    <t>19009</t>
  </si>
  <si>
    <t>Allante'</t>
  </si>
  <si>
    <t>19014</t>
  </si>
  <si>
    <t>Seville</t>
  </si>
  <si>
    <t>19016</t>
  </si>
  <si>
    <t>Cimarron</t>
  </si>
  <si>
    <t>19017</t>
  </si>
  <si>
    <t>Catera</t>
  </si>
  <si>
    <t>19018</t>
  </si>
  <si>
    <t>CTS/CTC</t>
  </si>
  <si>
    <t>19019</t>
  </si>
  <si>
    <t>XLR</t>
  </si>
  <si>
    <t>19020</t>
  </si>
  <si>
    <t>SRX</t>
  </si>
  <si>
    <t>19021</t>
  </si>
  <si>
    <t>STS</t>
  </si>
  <si>
    <t>19022</t>
  </si>
  <si>
    <t>DTS</t>
  </si>
  <si>
    <t>19023</t>
  </si>
  <si>
    <t>XTS</t>
  </si>
  <si>
    <t>19024</t>
  </si>
  <si>
    <t>ATS</t>
  </si>
  <si>
    <t>19025</t>
  </si>
  <si>
    <t>ELR</t>
  </si>
  <si>
    <t>19398</t>
  </si>
  <si>
    <t>19399</t>
  </si>
  <si>
    <t>19421</t>
  </si>
  <si>
    <t>Escalade/ESV (2004 on)</t>
  </si>
  <si>
    <t>19431</t>
  </si>
  <si>
    <t>Escalade ESV (2003)</t>
  </si>
  <si>
    <t>19480</t>
  </si>
  <si>
    <t>Escalade EXT (2002 -2006)</t>
  </si>
  <si>
    <t>19481</t>
  </si>
  <si>
    <t>Escalade EXT (2007)</t>
  </si>
  <si>
    <t>19498</t>
  </si>
  <si>
    <t>19499</t>
  </si>
  <si>
    <t>19999</t>
  </si>
  <si>
    <t xml:space="preserve">Unknown (CADILLAC) </t>
  </si>
  <si>
    <t>20001</t>
  </si>
  <si>
    <t>Chevelle/Malibu (thru 1983)</t>
  </si>
  <si>
    <t>20002</t>
  </si>
  <si>
    <t>Impala/Caprice (2014 on)</t>
  </si>
  <si>
    <t>20004</t>
  </si>
  <si>
    <t>Corvette</t>
  </si>
  <si>
    <t>20006</t>
  </si>
  <si>
    <t>Corvair</t>
  </si>
  <si>
    <t>20007</t>
  </si>
  <si>
    <t>El Camino</t>
  </si>
  <si>
    <t>20008</t>
  </si>
  <si>
    <t>Nova (thru 1979)</t>
  </si>
  <si>
    <t>20009</t>
  </si>
  <si>
    <t>Camaro</t>
  </si>
  <si>
    <t>20010</t>
  </si>
  <si>
    <t>Monte Carlo (thru 1988)</t>
  </si>
  <si>
    <t>20011</t>
  </si>
  <si>
    <t>Vega</t>
  </si>
  <si>
    <t>20012</t>
  </si>
  <si>
    <t>Monza</t>
  </si>
  <si>
    <t>20013</t>
  </si>
  <si>
    <t>Chevette</t>
  </si>
  <si>
    <t>20015</t>
  </si>
  <si>
    <t>Citation</t>
  </si>
  <si>
    <t>20016</t>
  </si>
  <si>
    <t>Cavalier</t>
  </si>
  <si>
    <t>20017</t>
  </si>
  <si>
    <t>Celebrity</t>
  </si>
  <si>
    <t>20019</t>
  </si>
  <si>
    <t>Beretta/Corsica</t>
  </si>
  <si>
    <t>Lumina</t>
  </si>
  <si>
    <t>20021</t>
  </si>
  <si>
    <t>SS (2014 on)</t>
  </si>
  <si>
    <t>20022</t>
  </si>
  <si>
    <t>Cobalt</t>
  </si>
  <si>
    <t>20023</t>
  </si>
  <si>
    <t>HHR</t>
  </si>
  <si>
    <t>20024</t>
  </si>
  <si>
    <t>Traverse (2009-2012)</t>
  </si>
  <si>
    <t>20025</t>
  </si>
  <si>
    <t>Cruze</t>
  </si>
  <si>
    <t>20026</t>
  </si>
  <si>
    <t>Volt</t>
  </si>
  <si>
    <t>20027</t>
  </si>
  <si>
    <t>Caprice PPV</t>
  </si>
  <si>
    <t>20028</t>
  </si>
  <si>
    <t>Sonic</t>
  </si>
  <si>
    <t>20029</t>
  </si>
  <si>
    <t>Spark</t>
  </si>
  <si>
    <t>20031</t>
  </si>
  <si>
    <t>Spectrum</t>
  </si>
  <si>
    <t>20032</t>
  </si>
  <si>
    <t>Nova/Geo Prism/Prism</t>
  </si>
  <si>
    <t>20033</t>
  </si>
  <si>
    <t>Sprint/Geo Sprint</t>
  </si>
  <si>
    <t>20034</t>
  </si>
  <si>
    <t>Geo Metro/Metro</t>
  </si>
  <si>
    <t>20035</t>
  </si>
  <si>
    <t>Geo Storm</t>
  </si>
  <si>
    <t>20036</t>
  </si>
  <si>
    <t>Monte Carlo (1995 on)</t>
  </si>
  <si>
    <t>20037</t>
  </si>
  <si>
    <t>Malibu/Malibu Maxx</t>
  </si>
  <si>
    <t>20038</t>
  </si>
  <si>
    <t>SSR</t>
  </si>
  <si>
    <t>20039</t>
  </si>
  <si>
    <t>Aveo/Aveo 5</t>
  </si>
  <si>
    <t>20398</t>
  </si>
  <si>
    <t>20399</t>
  </si>
  <si>
    <t>20401</t>
  </si>
  <si>
    <t>S-10 Blazer/TrailBlazer (2002 only)</t>
  </si>
  <si>
    <t>20402</t>
  </si>
  <si>
    <t>Geo Tracker/Tracker</t>
  </si>
  <si>
    <t>20403</t>
  </si>
  <si>
    <t>TrailBlazer (2003 on)</t>
  </si>
  <si>
    <t>20404</t>
  </si>
  <si>
    <t>Equinox</t>
  </si>
  <si>
    <t>20405</t>
  </si>
  <si>
    <t>Captiva</t>
  </si>
  <si>
    <t>20406</t>
  </si>
  <si>
    <t>Trax</t>
  </si>
  <si>
    <t>20421</t>
  </si>
  <si>
    <t>Fullsize Blazer/Tahoe</t>
  </si>
  <si>
    <t>20422</t>
  </si>
  <si>
    <t>Suburban (2004 on)</t>
  </si>
  <si>
    <t>20423</t>
  </si>
  <si>
    <t>Traverse (2013 on)</t>
  </si>
  <si>
    <t>20431</t>
  </si>
  <si>
    <t>Suburban (1950-2003)</t>
  </si>
  <si>
    <t>20441</t>
  </si>
  <si>
    <t>Astro Van</t>
  </si>
  <si>
    <t>20442</t>
  </si>
  <si>
    <t>Lumina APV</t>
  </si>
  <si>
    <t>20443</t>
  </si>
  <si>
    <t>Venture</t>
  </si>
  <si>
    <t>20444</t>
  </si>
  <si>
    <t>Uplander</t>
  </si>
  <si>
    <t>20445</t>
  </si>
  <si>
    <t>City Express</t>
  </si>
  <si>
    <t>20461</t>
  </si>
  <si>
    <t>G-series van</t>
  </si>
  <si>
    <t>20466</t>
  </si>
  <si>
    <t>P-series van</t>
  </si>
  <si>
    <t>20470</t>
  </si>
  <si>
    <t>Van derivative</t>
  </si>
  <si>
    <t>20471</t>
  </si>
  <si>
    <t>S-10/T-10 Pickup</t>
  </si>
  <si>
    <t>20472</t>
  </si>
  <si>
    <t>LUV</t>
  </si>
  <si>
    <t>20473</t>
  </si>
  <si>
    <t>20481</t>
  </si>
  <si>
    <t>C, K, R, V-Series pickup/Silverado</t>
  </si>
  <si>
    <t>20482</t>
  </si>
  <si>
    <t>Avalanche</t>
  </si>
  <si>
    <t>20498</t>
  </si>
  <si>
    <t>20499</t>
  </si>
  <si>
    <t>20850</t>
  </si>
  <si>
    <t>20870</t>
  </si>
  <si>
    <t>20880</t>
  </si>
  <si>
    <t>20881</t>
  </si>
  <si>
    <t>20882</t>
  </si>
  <si>
    <t>20883</t>
  </si>
  <si>
    <t>20884</t>
  </si>
  <si>
    <t>20890</t>
  </si>
  <si>
    <t>20898</t>
  </si>
  <si>
    <t>20981</t>
  </si>
  <si>
    <t>20988</t>
  </si>
  <si>
    <t>20989</t>
  </si>
  <si>
    <t>20998</t>
  </si>
  <si>
    <t>20999</t>
  </si>
  <si>
    <t xml:space="preserve">Unknown (CHEVROLET)  </t>
  </si>
  <si>
    <t>21001</t>
  </si>
  <si>
    <t>Cutlass (RWD-only)</t>
  </si>
  <si>
    <t>21002</t>
  </si>
  <si>
    <t>Delta 88/LSS</t>
  </si>
  <si>
    <t>21003</t>
  </si>
  <si>
    <t>Ninety-Eight/Regency</t>
  </si>
  <si>
    <t>21005</t>
  </si>
  <si>
    <t>Toronado</t>
  </si>
  <si>
    <t>21006</t>
  </si>
  <si>
    <t>21012</t>
  </si>
  <si>
    <t>Starfire</t>
  </si>
  <si>
    <t>21015</t>
  </si>
  <si>
    <t>Omega</t>
  </si>
  <si>
    <t>21016</t>
  </si>
  <si>
    <t>Firenza</t>
  </si>
  <si>
    <t>21017</t>
  </si>
  <si>
    <t>Ciera</t>
  </si>
  <si>
    <t>21018</t>
  </si>
  <si>
    <t>Calais</t>
  </si>
  <si>
    <t>Cutlass (FWD)</t>
  </si>
  <si>
    <t>21021</t>
  </si>
  <si>
    <t>Achieva/Alero</t>
  </si>
  <si>
    <t>21022</t>
  </si>
  <si>
    <t>Aurora</t>
  </si>
  <si>
    <t>21023</t>
  </si>
  <si>
    <t>Intrigue</t>
  </si>
  <si>
    <t>21398</t>
  </si>
  <si>
    <t>21399</t>
  </si>
  <si>
    <t>21401</t>
  </si>
  <si>
    <t>Bravada</t>
  </si>
  <si>
    <t>21441</t>
  </si>
  <si>
    <t>Silhouette</t>
  </si>
  <si>
    <t>21499</t>
  </si>
  <si>
    <t>21999</t>
  </si>
  <si>
    <t xml:space="preserve">Unknown (OLDSMOBILE) </t>
  </si>
  <si>
    <t>22001</t>
  </si>
  <si>
    <t>Lemans /Tempest (thru 1970)</t>
  </si>
  <si>
    <t>22002</t>
  </si>
  <si>
    <t>Bonneville/Catalina/ Parisienne</t>
  </si>
  <si>
    <t>22005</t>
  </si>
  <si>
    <t>Fiero</t>
  </si>
  <si>
    <t>22008</t>
  </si>
  <si>
    <t>Ventura/GTO</t>
  </si>
  <si>
    <t>22009</t>
  </si>
  <si>
    <t>Firebird/Trans AM</t>
  </si>
  <si>
    <t>22010</t>
  </si>
  <si>
    <t>Grand Prix (RWD)</t>
  </si>
  <si>
    <t>22011</t>
  </si>
  <si>
    <t>Astre</t>
  </si>
  <si>
    <t>22012</t>
  </si>
  <si>
    <t>Sunbird (thru 1980)</t>
  </si>
  <si>
    <t>22013</t>
  </si>
  <si>
    <t>T-1000/1000</t>
  </si>
  <si>
    <t>22015</t>
  </si>
  <si>
    <t>Phoenix</t>
  </si>
  <si>
    <t>22016</t>
  </si>
  <si>
    <t>Sunbird (1985-1994) /J-2000/Sunfire (1995 on)</t>
  </si>
  <si>
    <t>22017</t>
  </si>
  <si>
    <t>6000</t>
  </si>
  <si>
    <t>22018</t>
  </si>
  <si>
    <t>Grand AM</t>
  </si>
  <si>
    <t>22019</t>
  </si>
  <si>
    <t>G5</t>
  </si>
  <si>
    <t>Grand Prix (FWD)</t>
  </si>
  <si>
    <t>22022</t>
  </si>
  <si>
    <t>G6</t>
  </si>
  <si>
    <t>22023</t>
  </si>
  <si>
    <t>Solstice</t>
  </si>
  <si>
    <t>22024</t>
  </si>
  <si>
    <t>G8</t>
  </si>
  <si>
    <t>22025</t>
  </si>
  <si>
    <t>G3</t>
  </si>
  <si>
    <t>22031</t>
  </si>
  <si>
    <t>Lemans (1988 on)</t>
  </si>
  <si>
    <t>22032</t>
  </si>
  <si>
    <t>Vibe</t>
  </si>
  <si>
    <t>22398</t>
  </si>
  <si>
    <t>22399</t>
  </si>
  <si>
    <t>22401</t>
  </si>
  <si>
    <t>Aztek</t>
  </si>
  <si>
    <t>22403</t>
  </si>
  <si>
    <t>Torrent</t>
  </si>
  <si>
    <t>22441</t>
  </si>
  <si>
    <t>Trans Sport/ Montana/SV6</t>
  </si>
  <si>
    <t>22499</t>
  </si>
  <si>
    <t>22999</t>
  </si>
  <si>
    <t xml:space="preserve">Unknown (PONTIAC) </t>
  </si>
  <si>
    <t>23007</t>
  </si>
  <si>
    <t>Caballero</t>
  </si>
  <si>
    <t>23008</t>
  </si>
  <si>
    <t>Acadia (2007-2012)</t>
  </si>
  <si>
    <t>23399</t>
  </si>
  <si>
    <t>23401</t>
  </si>
  <si>
    <t>Jimmy/Typhoon/Envoy</t>
  </si>
  <si>
    <t>23402</t>
  </si>
  <si>
    <t>Terrain</t>
  </si>
  <si>
    <t>23421</t>
  </si>
  <si>
    <t>Full-size Jimmy/Yukon</t>
  </si>
  <si>
    <t>23422</t>
  </si>
  <si>
    <t>Suburban/Yukon XL (2004 on)</t>
  </si>
  <si>
    <t>23423</t>
  </si>
  <si>
    <t>Acadia (2013 on)</t>
  </si>
  <si>
    <t>23431</t>
  </si>
  <si>
    <t>Suburban/Yukon XL (1950-2003 only)</t>
  </si>
  <si>
    <t>23441</t>
  </si>
  <si>
    <t>Safari (Minivan)</t>
  </si>
  <si>
    <t>23461</t>
  </si>
  <si>
    <t>G-series van/Savana</t>
  </si>
  <si>
    <t>23466</t>
  </si>
  <si>
    <t>23470</t>
  </si>
  <si>
    <t>23471</t>
  </si>
  <si>
    <t>S15/T15/Sonoma</t>
  </si>
  <si>
    <t>23472</t>
  </si>
  <si>
    <t>Canyon</t>
  </si>
  <si>
    <t>23481</t>
  </si>
  <si>
    <t>C, K, R, V-series pickup/Sierra</t>
  </si>
  <si>
    <t>23498</t>
  </si>
  <si>
    <t>23499</t>
  </si>
  <si>
    <t>23850</t>
  </si>
  <si>
    <t>23870</t>
  </si>
  <si>
    <t>23880</t>
  </si>
  <si>
    <t>23881</t>
  </si>
  <si>
    <t>23882</t>
  </si>
  <si>
    <t>23883</t>
  </si>
  <si>
    <t>23884</t>
  </si>
  <si>
    <t>23890</t>
  </si>
  <si>
    <t>23898</t>
  </si>
  <si>
    <t>23981</t>
  </si>
  <si>
    <t>23988</t>
  </si>
  <si>
    <t>23989</t>
  </si>
  <si>
    <t>23998</t>
  </si>
  <si>
    <t>23999</t>
  </si>
  <si>
    <t xml:space="preserve">Unknown (GMC) </t>
  </si>
  <si>
    <t>24001</t>
  </si>
  <si>
    <t>SL</t>
  </si>
  <si>
    <t>24002</t>
  </si>
  <si>
    <t>SC</t>
  </si>
  <si>
    <t>24003</t>
  </si>
  <si>
    <t>SW</t>
  </si>
  <si>
    <t>24004</t>
  </si>
  <si>
    <t>EV1/EGV1</t>
  </si>
  <si>
    <t>24005</t>
  </si>
  <si>
    <t>24006</t>
  </si>
  <si>
    <t>LW</t>
  </si>
  <si>
    <t>24007</t>
  </si>
  <si>
    <t>Ion</t>
  </si>
  <si>
    <t>24008</t>
  </si>
  <si>
    <t>Sky</t>
  </si>
  <si>
    <t>24009</t>
  </si>
  <si>
    <t>Aura</t>
  </si>
  <si>
    <t>24010</t>
  </si>
  <si>
    <t>Outlook</t>
  </si>
  <si>
    <t>24011</t>
  </si>
  <si>
    <t>Astra</t>
  </si>
  <si>
    <t>24398</t>
  </si>
  <si>
    <t>24399</t>
  </si>
  <si>
    <t>24401</t>
  </si>
  <si>
    <t>Vue</t>
  </si>
  <si>
    <t>24441</t>
  </si>
  <si>
    <t>Relay</t>
  </si>
  <si>
    <t>24499</t>
  </si>
  <si>
    <t>Unknown (light truck)</t>
  </si>
  <si>
    <t>24999</t>
  </si>
  <si>
    <t xml:space="preserve">Unknown (SATURN) </t>
  </si>
  <si>
    <t>25401</t>
  </si>
  <si>
    <t>LLV</t>
  </si>
  <si>
    <t>25441</t>
  </si>
  <si>
    <t>Step-in van</t>
  </si>
  <si>
    <t>25498</t>
  </si>
  <si>
    <t>25499</t>
  </si>
  <si>
    <t>25881</t>
  </si>
  <si>
    <t>25882</t>
  </si>
  <si>
    <t>Medium/Heavy - COE low entry</t>
  </si>
  <si>
    <t>25883</t>
  </si>
  <si>
    <t>Medium/Heavy - COE high entry</t>
  </si>
  <si>
    <t>25884</t>
  </si>
  <si>
    <t>Medium/Heavy - engine location unknown</t>
  </si>
  <si>
    <t>25890</t>
  </si>
  <si>
    <t>Medium/Heavy - entry position unknown</t>
  </si>
  <si>
    <t>25898</t>
  </si>
  <si>
    <t>25983</t>
  </si>
  <si>
    <t>Bus: Flat front, rear engine</t>
  </si>
  <si>
    <t>25988</t>
  </si>
  <si>
    <t>25989</t>
  </si>
  <si>
    <t>25999</t>
  </si>
  <si>
    <t>Unknown (GRUMMAN/GRUMMAN-OLSON)</t>
  </si>
  <si>
    <t>26001</t>
  </si>
  <si>
    <t>26398</t>
  </si>
  <si>
    <t>26399</t>
  </si>
  <si>
    <t>29001</t>
  </si>
  <si>
    <t>Studabaker/Avanti</t>
  </si>
  <si>
    <t>29002</t>
  </si>
  <si>
    <t>Checker</t>
  </si>
  <si>
    <t>29003</t>
  </si>
  <si>
    <t>Panoz</t>
  </si>
  <si>
    <t>29004</t>
  </si>
  <si>
    <t>Saleen</t>
  </si>
  <si>
    <t>29005</t>
  </si>
  <si>
    <t>Tesla</t>
  </si>
  <si>
    <t>29398</t>
  </si>
  <si>
    <t>29399</t>
  </si>
  <si>
    <t xml:space="preserve">Unknown Make </t>
  </si>
  <si>
    <t>30031</t>
  </si>
  <si>
    <t>Karmann Ghia</t>
  </si>
  <si>
    <t>30032</t>
  </si>
  <si>
    <t>Beetle 1300/1500</t>
  </si>
  <si>
    <t>30033</t>
  </si>
  <si>
    <t>Super Beetle</t>
  </si>
  <si>
    <t>30034</t>
  </si>
  <si>
    <t>411/412</t>
  </si>
  <si>
    <t>30035</t>
  </si>
  <si>
    <t>Squareback/Fastback</t>
  </si>
  <si>
    <t>30036</t>
  </si>
  <si>
    <t>Rabbit</t>
  </si>
  <si>
    <t>30037</t>
  </si>
  <si>
    <t>Dasher</t>
  </si>
  <si>
    <t>30038</t>
  </si>
  <si>
    <t>Scirocco</t>
  </si>
  <si>
    <t>30040</t>
  </si>
  <si>
    <t>Jetta/Jetta SportsWagen</t>
  </si>
  <si>
    <t>30041</t>
  </si>
  <si>
    <t>Quantum</t>
  </si>
  <si>
    <t>30042</t>
  </si>
  <si>
    <t>Golf/Cabriolet/Cabrio/GTI/GLI</t>
  </si>
  <si>
    <t>30043</t>
  </si>
  <si>
    <t>Rabbit Pickup</t>
  </si>
  <si>
    <t>30044</t>
  </si>
  <si>
    <t>Fox</t>
  </si>
  <si>
    <t>30045</t>
  </si>
  <si>
    <t>Corrado</t>
  </si>
  <si>
    <t>30046</t>
  </si>
  <si>
    <t>Passat (CC 2008-2011)</t>
  </si>
  <si>
    <t>30047</t>
  </si>
  <si>
    <t>New Beetle</t>
  </si>
  <si>
    <t>30048</t>
  </si>
  <si>
    <t>Phaeton</t>
  </si>
  <si>
    <t>30051</t>
  </si>
  <si>
    <t>Eos</t>
  </si>
  <si>
    <t>30052</t>
  </si>
  <si>
    <t>CC (2012 on)</t>
  </si>
  <si>
    <t>30398</t>
  </si>
  <si>
    <t>30399</t>
  </si>
  <si>
    <t>30401</t>
  </si>
  <si>
    <t>The Thing (181)</t>
  </si>
  <si>
    <t>30402</t>
  </si>
  <si>
    <t>Tiguan</t>
  </si>
  <si>
    <t>30421</t>
  </si>
  <si>
    <t>Touareg/Touareg 2</t>
  </si>
  <si>
    <t>30441</t>
  </si>
  <si>
    <t>Vanagon/Camper</t>
  </si>
  <si>
    <t>30442</t>
  </si>
  <si>
    <t>Eurovan</t>
  </si>
  <si>
    <t>30443</t>
  </si>
  <si>
    <t>Routan</t>
  </si>
  <si>
    <t>30498</t>
  </si>
  <si>
    <t>30499</t>
  </si>
  <si>
    <t>30998</t>
  </si>
  <si>
    <t>30999</t>
  </si>
  <si>
    <t>Unknown (VOLKSWAGEN)</t>
  </si>
  <si>
    <t>31031</t>
  </si>
  <si>
    <t>Spider (Spyder)</t>
  </si>
  <si>
    <t>31032</t>
  </si>
  <si>
    <t>Sports Sedan</t>
  </si>
  <si>
    <t>31033</t>
  </si>
  <si>
    <t>Sprint/Special</t>
  </si>
  <si>
    <t>31034</t>
  </si>
  <si>
    <t>GTV-6</t>
  </si>
  <si>
    <t>31035</t>
  </si>
  <si>
    <t>164 (Alpha 164)</t>
  </si>
  <si>
    <t>31036</t>
  </si>
  <si>
    <t>4c</t>
  </si>
  <si>
    <t>31037</t>
  </si>
  <si>
    <t>Giulia</t>
  </si>
  <si>
    <t>31398</t>
  </si>
  <si>
    <t>31399</t>
  </si>
  <si>
    <t>32031</t>
  </si>
  <si>
    <t>Super 90</t>
  </si>
  <si>
    <t>32032</t>
  </si>
  <si>
    <t>100</t>
  </si>
  <si>
    <t>32033</t>
  </si>
  <si>
    <t>32034</t>
  </si>
  <si>
    <t>4000</t>
  </si>
  <si>
    <t>32035</t>
  </si>
  <si>
    <t>32036</t>
  </si>
  <si>
    <t>80/90</t>
  </si>
  <si>
    <t>32037</t>
  </si>
  <si>
    <t>32038</t>
  </si>
  <si>
    <t>V-8 Quattro</t>
  </si>
  <si>
    <t>32039</t>
  </si>
  <si>
    <t>Coupe Quattro</t>
  </si>
  <si>
    <t>32040</t>
  </si>
  <si>
    <t>S4 (1992-1994; 2000-2011)</t>
  </si>
  <si>
    <t>32041</t>
  </si>
  <si>
    <t>Cabriolet (1994-1998)</t>
  </si>
  <si>
    <t>32042</t>
  </si>
  <si>
    <t>A6</t>
  </si>
  <si>
    <t>32043</t>
  </si>
  <si>
    <t>A4</t>
  </si>
  <si>
    <t>32044</t>
  </si>
  <si>
    <t>A8</t>
  </si>
  <si>
    <t>32045</t>
  </si>
  <si>
    <t>TT/TTS</t>
  </si>
  <si>
    <t>32046</t>
  </si>
  <si>
    <t>S8</t>
  </si>
  <si>
    <t>32047</t>
  </si>
  <si>
    <t>Allroad (2001-2005)</t>
  </si>
  <si>
    <t>32048</t>
  </si>
  <si>
    <t>A3</t>
  </si>
  <si>
    <t>32049</t>
  </si>
  <si>
    <t>A5</t>
  </si>
  <si>
    <t>32050</t>
  </si>
  <si>
    <t>R8</t>
  </si>
  <si>
    <t>32051</t>
  </si>
  <si>
    <t>A7</t>
  </si>
  <si>
    <t>32052</t>
  </si>
  <si>
    <t>S5</t>
  </si>
  <si>
    <t>32054</t>
  </si>
  <si>
    <t>RS5</t>
  </si>
  <si>
    <t>32055</t>
  </si>
  <si>
    <t>S4 (2012 on)</t>
  </si>
  <si>
    <t>32056</t>
  </si>
  <si>
    <t>S6 (2013 on)</t>
  </si>
  <si>
    <t>32057</t>
  </si>
  <si>
    <t>S7</t>
  </si>
  <si>
    <t>32058</t>
  </si>
  <si>
    <t>RS7</t>
  </si>
  <si>
    <t>32059</t>
  </si>
  <si>
    <t>S3</t>
  </si>
  <si>
    <t>32398</t>
  </si>
  <si>
    <t>32399</t>
  </si>
  <si>
    <t>32401</t>
  </si>
  <si>
    <t>Q7</t>
  </si>
  <si>
    <t>32402</t>
  </si>
  <si>
    <t>Q5</t>
  </si>
  <si>
    <t>32403</t>
  </si>
  <si>
    <t>Allroad (2013 on)</t>
  </si>
  <si>
    <t>32404</t>
  </si>
  <si>
    <t>SQ5</t>
  </si>
  <si>
    <t>32405</t>
  </si>
  <si>
    <t>Q3</t>
  </si>
  <si>
    <t>32499</t>
  </si>
  <si>
    <t>32999</t>
  </si>
  <si>
    <t xml:space="preserve">Unknown (AUDI) </t>
  </si>
  <si>
    <t>33031</t>
  </si>
  <si>
    <t>Marina</t>
  </si>
  <si>
    <t>33032</t>
  </si>
  <si>
    <t>America</t>
  </si>
  <si>
    <t>33033</t>
  </si>
  <si>
    <t>Healey Sprite</t>
  </si>
  <si>
    <t>33034</t>
  </si>
  <si>
    <t>Healey 100/3000</t>
  </si>
  <si>
    <t>33035</t>
  </si>
  <si>
    <t>Mini/Mini Cooper/Mini Moke</t>
  </si>
  <si>
    <t>33398</t>
  </si>
  <si>
    <t>33399</t>
  </si>
  <si>
    <t>34031</t>
  </si>
  <si>
    <t>1600/1800/2000/2002</t>
  </si>
  <si>
    <t>34032</t>
  </si>
  <si>
    <t>Coupe (thru 1975)</t>
  </si>
  <si>
    <t>34033</t>
  </si>
  <si>
    <t>Bavarian Sedan</t>
  </si>
  <si>
    <t>34034</t>
  </si>
  <si>
    <t>3-series</t>
  </si>
  <si>
    <t>34035</t>
  </si>
  <si>
    <t>5-series</t>
  </si>
  <si>
    <t>34036</t>
  </si>
  <si>
    <t>6-series</t>
  </si>
  <si>
    <t>34037</t>
  </si>
  <si>
    <t>7-series</t>
  </si>
  <si>
    <t>34038</t>
  </si>
  <si>
    <t>8-series</t>
  </si>
  <si>
    <t>34039</t>
  </si>
  <si>
    <t>Z3</t>
  </si>
  <si>
    <t>34040</t>
  </si>
  <si>
    <t>Z8</t>
  </si>
  <si>
    <t>34041</t>
  </si>
  <si>
    <t>V5</t>
  </si>
  <si>
    <t>34042</t>
  </si>
  <si>
    <t>Z4</t>
  </si>
  <si>
    <t>34043</t>
  </si>
  <si>
    <t>1-Series</t>
  </si>
  <si>
    <t>34044</t>
  </si>
  <si>
    <t>X6</t>
  </si>
  <si>
    <t>34045</t>
  </si>
  <si>
    <t>i3</t>
  </si>
  <si>
    <t>34046</t>
  </si>
  <si>
    <t>i8</t>
  </si>
  <si>
    <t>34047</t>
  </si>
  <si>
    <t>4-Series</t>
  </si>
  <si>
    <t>34048</t>
  </si>
  <si>
    <t>2-Series</t>
  </si>
  <si>
    <t>34049</t>
  </si>
  <si>
    <t>X4</t>
  </si>
  <si>
    <t>34398</t>
  </si>
  <si>
    <t>34399</t>
  </si>
  <si>
    <t>34401</t>
  </si>
  <si>
    <t>X5</t>
  </si>
  <si>
    <t>34402</t>
  </si>
  <si>
    <t>X3</t>
  </si>
  <si>
    <t>34403</t>
  </si>
  <si>
    <t>X1</t>
  </si>
  <si>
    <t>34499</t>
  </si>
  <si>
    <t>34703</t>
  </si>
  <si>
    <t>125-349cc</t>
  </si>
  <si>
    <t>34705</t>
  </si>
  <si>
    <t>450-749cc</t>
  </si>
  <si>
    <t>34706</t>
  </si>
  <si>
    <t>750cc and over</t>
  </si>
  <si>
    <t>34709</t>
  </si>
  <si>
    <t xml:space="preserve">Unknown cc </t>
  </si>
  <si>
    <t>34999</t>
  </si>
  <si>
    <t xml:space="preserve">Unknown (BMW) </t>
  </si>
  <si>
    <t>35031</t>
  </si>
  <si>
    <t>F-10</t>
  </si>
  <si>
    <t>35032</t>
  </si>
  <si>
    <t>200SX/240SX</t>
  </si>
  <si>
    <t>35033</t>
  </si>
  <si>
    <t>210/1200/B210</t>
  </si>
  <si>
    <t>35034</t>
  </si>
  <si>
    <t>Z-car, ZX</t>
  </si>
  <si>
    <t>35035</t>
  </si>
  <si>
    <t>310</t>
  </si>
  <si>
    <t>35036</t>
  </si>
  <si>
    <t>510</t>
  </si>
  <si>
    <t>35037</t>
  </si>
  <si>
    <t>610</t>
  </si>
  <si>
    <t>35038</t>
  </si>
  <si>
    <t>710</t>
  </si>
  <si>
    <t>35039</t>
  </si>
  <si>
    <t>810/Maxima</t>
  </si>
  <si>
    <t>35040</t>
  </si>
  <si>
    <t>Roadster</t>
  </si>
  <si>
    <t>35041</t>
  </si>
  <si>
    <t>311/411</t>
  </si>
  <si>
    <t>35042</t>
  </si>
  <si>
    <t>Stanza</t>
  </si>
  <si>
    <t>35043</t>
  </si>
  <si>
    <t>Sentra</t>
  </si>
  <si>
    <t>35044</t>
  </si>
  <si>
    <t>Pulsar</t>
  </si>
  <si>
    <t>35045</t>
  </si>
  <si>
    <t>Micra</t>
  </si>
  <si>
    <t>35046</t>
  </si>
  <si>
    <t>NX 1600/2000</t>
  </si>
  <si>
    <t>35047</t>
  </si>
  <si>
    <t>Altima</t>
  </si>
  <si>
    <t>35048</t>
  </si>
  <si>
    <t>350Z/370Z</t>
  </si>
  <si>
    <t>35049</t>
  </si>
  <si>
    <t>Murano</t>
  </si>
  <si>
    <t>35050</t>
  </si>
  <si>
    <t>Versa</t>
  </si>
  <si>
    <t>35051</t>
  </si>
  <si>
    <t>Rogue</t>
  </si>
  <si>
    <t>35052</t>
  </si>
  <si>
    <t>Cube</t>
  </si>
  <si>
    <t>35053</t>
  </si>
  <si>
    <t>GT-R</t>
  </si>
  <si>
    <t>35055</t>
  </si>
  <si>
    <t>Leaf</t>
  </si>
  <si>
    <t>35398</t>
  </si>
  <si>
    <t xml:space="preserve">Other (automobile)  </t>
  </si>
  <si>
    <t>35399</t>
  </si>
  <si>
    <t xml:space="preserve">Unknown (automobile)  </t>
  </si>
  <si>
    <t>35401</t>
  </si>
  <si>
    <t>Pathfinder</t>
  </si>
  <si>
    <t>35402</t>
  </si>
  <si>
    <t>Xterra</t>
  </si>
  <si>
    <t>35403</t>
  </si>
  <si>
    <t>Juke</t>
  </si>
  <si>
    <t>35421</t>
  </si>
  <si>
    <t>Pathfinder Armada</t>
  </si>
  <si>
    <t>35441</t>
  </si>
  <si>
    <t>Van</t>
  </si>
  <si>
    <t>35442</t>
  </si>
  <si>
    <t>Axxess</t>
  </si>
  <si>
    <t>35443</t>
  </si>
  <si>
    <t>Quest</t>
  </si>
  <si>
    <t>35444</t>
  </si>
  <si>
    <t>Altra EV</t>
  </si>
  <si>
    <t>35446</t>
  </si>
  <si>
    <t>NV200/eNV200</t>
  </si>
  <si>
    <t>35461</t>
  </si>
  <si>
    <t xml:space="preserve">NV </t>
  </si>
  <si>
    <t>35471</t>
  </si>
  <si>
    <t>Datsun/Nissan Pickup (1955-1997)</t>
  </si>
  <si>
    <t>35472</t>
  </si>
  <si>
    <t>Frontier (1998 on)</t>
  </si>
  <si>
    <t>35473</t>
  </si>
  <si>
    <t>Titan (2004-2006)</t>
  </si>
  <si>
    <t>35481</t>
  </si>
  <si>
    <t>Titan (2007 on)</t>
  </si>
  <si>
    <t>35498</t>
  </si>
  <si>
    <t>35499</t>
  </si>
  <si>
    <t>35870</t>
  </si>
  <si>
    <t>35883</t>
  </si>
  <si>
    <t>35898</t>
  </si>
  <si>
    <t>35999</t>
  </si>
  <si>
    <t xml:space="preserve">Unknown (NISSAN/DATSUN) </t>
  </si>
  <si>
    <t>36031</t>
  </si>
  <si>
    <t>124 (Coupe/Sedan)</t>
  </si>
  <si>
    <t>36032</t>
  </si>
  <si>
    <t>124 Spider/Racer</t>
  </si>
  <si>
    <t>36033</t>
  </si>
  <si>
    <t>Brava/131</t>
  </si>
  <si>
    <t>36034</t>
  </si>
  <si>
    <t>850 (Coupe/Spider)</t>
  </si>
  <si>
    <t>36035</t>
  </si>
  <si>
    <t>128</t>
  </si>
  <si>
    <t>36036</t>
  </si>
  <si>
    <t>X-1/9</t>
  </si>
  <si>
    <t>36037</t>
  </si>
  <si>
    <t>Strada</t>
  </si>
  <si>
    <t>36038</t>
  </si>
  <si>
    <t xml:space="preserve">500/500c </t>
  </si>
  <si>
    <t>36398</t>
  </si>
  <si>
    <t>36399</t>
  </si>
  <si>
    <t>36401</t>
  </si>
  <si>
    <t>500L</t>
  </si>
  <si>
    <t>36402</t>
  </si>
  <si>
    <t>500X</t>
  </si>
  <si>
    <t>36499</t>
  </si>
  <si>
    <t>36882</t>
  </si>
  <si>
    <t>36883</t>
  </si>
  <si>
    <t>36890</t>
  </si>
  <si>
    <t>36898</t>
  </si>
  <si>
    <t>36998</t>
  </si>
  <si>
    <t>36999</t>
  </si>
  <si>
    <t xml:space="preserve">Unknown (FIAT) </t>
  </si>
  <si>
    <t>37031</t>
  </si>
  <si>
    <t>Civic/CRX, del Sol</t>
  </si>
  <si>
    <t>37032</t>
  </si>
  <si>
    <t>Accord</t>
  </si>
  <si>
    <t>37033</t>
  </si>
  <si>
    <t>Prelude</t>
  </si>
  <si>
    <t>37034</t>
  </si>
  <si>
    <t>37035</t>
  </si>
  <si>
    <t>S2000</t>
  </si>
  <si>
    <t>37036</t>
  </si>
  <si>
    <t>EV Plus</t>
  </si>
  <si>
    <t>37037</t>
  </si>
  <si>
    <t>Insight</t>
  </si>
  <si>
    <t>37038</t>
  </si>
  <si>
    <t>FCX</t>
  </si>
  <si>
    <t>37039</t>
  </si>
  <si>
    <t>Fit</t>
  </si>
  <si>
    <t>37041</t>
  </si>
  <si>
    <t>CR-Z</t>
  </si>
  <si>
    <t>37398</t>
  </si>
  <si>
    <t>37399</t>
  </si>
  <si>
    <t>37401</t>
  </si>
  <si>
    <t>Passport</t>
  </si>
  <si>
    <t>37402</t>
  </si>
  <si>
    <t>CR-V</t>
  </si>
  <si>
    <t>37403</t>
  </si>
  <si>
    <t>Element</t>
  </si>
  <si>
    <t>37421</t>
  </si>
  <si>
    <t>Pilot</t>
  </si>
  <si>
    <t>37441</t>
  </si>
  <si>
    <t>Odyssey</t>
  </si>
  <si>
    <t>37471</t>
  </si>
  <si>
    <t>Ridgeline</t>
  </si>
  <si>
    <t>37499</t>
  </si>
  <si>
    <t>37701</t>
  </si>
  <si>
    <t>Motorcycle 0-50 cc</t>
  </si>
  <si>
    <t>37702</t>
  </si>
  <si>
    <t>Motorcycle 51-124 cc</t>
  </si>
  <si>
    <t>37703</t>
  </si>
  <si>
    <t>Motorcycle 125-349 cc</t>
  </si>
  <si>
    <t>37704</t>
  </si>
  <si>
    <t>Motorcycle 350-449 cc</t>
  </si>
  <si>
    <t>37705</t>
  </si>
  <si>
    <t>Motorcycle 450-749 cc</t>
  </si>
  <si>
    <t>37706</t>
  </si>
  <si>
    <t>Motorcycle 750 cc or greater</t>
  </si>
  <si>
    <t>37709</t>
  </si>
  <si>
    <t>37732</t>
  </si>
  <si>
    <t>ATV 51-124cc</t>
  </si>
  <si>
    <t>37733</t>
  </si>
  <si>
    <t>ATV 125-349cc</t>
  </si>
  <si>
    <t>37734</t>
  </si>
  <si>
    <t>ATV 350cc or greater</t>
  </si>
  <si>
    <t>37739</t>
  </si>
  <si>
    <t>37998</t>
  </si>
  <si>
    <t>37999</t>
  </si>
  <si>
    <t xml:space="preserve">Unknown (HONDA) </t>
  </si>
  <si>
    <t>38031</t>
  </si>
  <si>
    <t>I-Mark</t>
  </si>
  <si>
    <t>38032</t>
  </si>
  <si>
    <t>Impulse</t>
  </si>
  <si>
    <t>38033</t>
  </si>
  <si>
    <t>Stylus</t>
  </si>
  <si>
    <t>38398</t>
  </si>
  <si>
    <t>38399</t>
  </si>
  <si>
    <t>38401</t>
  </si>
  <si>
    <t>Trooper/Trooper II</t>
  </si>
  <si>
    <t>38402</t>
  </si>
  <si>
    <t>Rodeo/Rodeo Sport</t>
  </si>
  <si>
    <t>38403</t>
  </si>
  <si>
    <t>Amigo</t>
  </si>
  <si>
    <t>38404</t>
  </si>
  <si>
    <t>VehiCROSS</t>
  </si>
  <si>
    <t>38405</t>
  </si>
  <si>
    <t>Axiom</t>
  </si>
  <si>
    <t>38421</t>
  </si>
  <si>
    <t>Ascender</t>
  </si>
  <si>
    <t>38441</t>
  </si>
  <si>
    <t>Oasis</t>
  </si>
  <si>
    <t>38471</t>
  </si>
  <si>
    <t>P'up (pickup)</t>
  </si>
  <si>
    <t>38472</t>
  </si>
  <si>
    <t>Hombre</t>
  </si>
  <si>
    <t>38473</t>
  </si>
  <si>
    <t>i-280/i-290</t>
  </si>
  <si>
    <t>38474</t>
  </si>
  <si>
    <t>i-350/i-370</t>
  </si>
  <si>
    <t>38498</t>
  </si>
  <si>
    <t>38499</t>
  </si>
  <si>
    <t>38881</t>
  </si>
  <si>
    <t>38882</t>
  </si>
  <si>
    <t>38883</t>
  </si>
  <si>
    <t>38884</t>
  </si>
  <si>
    <t>38890</t>
  </si>
  <si>
    <t xml:space="preserve">Medium/Heavy Â­ COE  entry position  unknown </t>
  </si>
  <si>
    <t>38898</t>
  </si>
  <si>
    <t>38981</t>
  </si>
  <si>
    <t>38982</t>
  </si>
  <si>
    <t>Bus: Front engine, Flat front</t>
  </si>
  <si>
    <t>38983</t>
  </si>
  <si>
    <t>Bus: Rear engine Flat front</t>
  </si>
  <si>
    <t>38988</t>
  </si>
  <si>
    <t>38989</t>
  </si>
  <si>
    <t xml:space="preserve">Unknown (bus)  </t>
  </si>
  <si>
    <t>38999</t>
  </si>
  <si>
    <t xml:space="preserve">Unknown (ISUZU) </t>
  </si>
  <si>
    <t>39031</t>
  </si>
  <si>
    <t>XJ-S, XK8 Coupe</t>
  </si>
  <si>
    <t>39032</t>
  </si>
  <si>
    <t>XJ/XJL/XJ6/12/XJR/XJ8/XJ8L Sedan/Coupe</t>
  </si>
  <si>
    <t>39033</t>
  </si>
  <si>
    <t>XK-E</t>
  </si>
  <si>
    <t>39034</t>
  </si>
  <si>
    <t>S-Type</t>
  </si>
  <si>
    <t>39035</t>
  </si>
  <si>
    <t>XKR/XK</t>
  </si>
  <si>
    <t>39036</t>
  </si>
  <si>
    <t>X-Type</t>
  </si>
  <si>
    <t>39037</t>
  </si>
  <si>
    <t>XF/XF-R</t>
  </si>
  <si>
    <t>39038</t>
  </si>
  <si>
    <t>F-Type</t>
  </si>
  <si>
    <t>39398</t>
  </si>
  <si>
    <t>39399</t>
  </si>
  <si>
    <t>40031</t>
  </si>
  <si>
    <t>Beta Sedan â€“ HPE</t>
  </si>
  <si>
    <t>40032</t>
  </si>
  <si>
    <t>Zagato</t>
  </si>
  <si>
    <t>40033</t>
  </si>
  <si>
    <t>Scorpion</t>
  </si>
  <si>
    <t>40398</t>
  </si>
  <si>
    <t>40399</t>
  </si>
  <si>
    <t>41031</t>
  </si>
  <si>
    <t>RX2</t>
  </si>
  <si>
    <t>41032</t>
  </si>
  <si>
    <t>RX3</t>
  </si>
  <si>
    <t>41033</t>
  </si>
  <si>
    <t>RX4</t>
  </si>
  <si>
    <t>41034</t>
  </si>
  <si>
    <t>RX7</t>
  </si>
  <si>
    <t>41035</t>
  </si>
  <si>
    <t>323/GLC/ProtÃ©gÃ©/ ProtÃ©gÃ© 5</t>
  </si>
  <si>
    <t>41036</t>
  </si>
  <si>
    <t>Cosmo</t>
  </si>
  <si>
    <t>41037</t>
  </si>
  <si>
    <t>626</t>
  </si>
  <si>
    <t>41038</t>
  </si>
  <si>
    <t>808</t>
  </si>
  <si>
    <t>41039</t>
  </si>
  <si>
    <t>Mizer</t>
  </si>
  <si>
    <t>41040</t>
  </si>
  <si>
    <t>R-100</t>
  </si>
  <si>
    <t>41041</t>
  </si>
  <si>
    <t>616/618</t>
  </si>
  <si>
    <t>41042</t>
  </si>
  <si>
    <t>1800</t>
  </si>
  <si>
    <t>41043</t>
  </si>
  <si>
    <t>929</t>
  </si>
  <si>
    <t>41044</t>
  </si>
  <si>
    <t>MX-6</t>
  </si>
  <si>
    <t>41045</t>
  </si>
  <si>
    <t>Miata/MX-5</t>
  </si>
  <si>
    <t>41046</t>
  </si>
  <si>
    <t>MX-3</t>
  </si>
  <si>
    <t>41047</t>
  </si>
  <si>
    <t>Millenia</t>
  </si>
  <si>
    <t>41048</t>
  </si>
  <si>
    <t>MP3</t>
  </si>
  <si>
    <t>41049</t>
  </si>
  <si>
    <t>RX-8</t>
  </si>
  <si>
    <t>41050</t>
  </si>
  <si>
    <t>Mazda6</t>
  </si>
  <si>
    <t>41051</t>
  </si>
  <si>
    <t>Mazda3</t>
  </si>
  <si>
    <t>41052</t>
  </si>
  <si>
    <t>Mazda5</t>
  </si>
  <si>
    <t>41053</t>
  </si>
  <si>
    <t>CX-7</t>
  </si>
  <si>
    <t>41054</t>
  </si>
  <si>
    <t>CX-9 (2007-2012)</t>
  </si>
  <si>
    <t>41055</t>
  </si>
  <si>
    <t>Mazda2</t>
  </si>
  <si>
    <t>41398</t>
  </si>
  <si>
    <t>41399</t>
  </si>
  <si>
    <t>41401</t>
  </si>
  <si>
    <t>Navajo</t>
  </si>
  <si>
    <t>41402</t>
  </si>
  <si>
    <t>Tribute</t>
  </si>
  <si>
    <t>41403</t>
  </si>
  <si>
    <t>CX-5</t>
  </si>
  <si>
    <t>41421</t>
  </si>
  <si>
    <t>CX-9 (2013 on)</t>
  </si>
  <si>
    <t>41441</t>
  </si>
  <si>
    <t>MPV</t>
  </si>
  <si>
    <t>41471</t>
  </si>
  <si>
    <t>Pickup/ B-Series Pickup</t>
  </si>
  <si>
    <t>41498</t>
  </si>
  <si>
    <t>41499</t>
  </si>
  <si>
    <t>41999</t>
  </si>
  <si>
    <t xml:space="preserve">Unknown (MAZDA) </t>
  </si>
  <si>
    <t>42031</t>
  </si>
  <si>
    <t>200/220/230/240/ 250/260/280/300/ 320/420</t>
  </si>
  <si>
    <t>42032</t>
  </si>
  <si>
    <t>230/280 SL</t>
  </si>
  <si>
    <t>42033</t>
  </si>
  <si>
    <t>300/350/380/450/500/ 560 SL</t>
  </si>
  <si>
    <t>42034</t>
  </si>
  <si>
    <t>350/380/420/450/560 SLC</t>
  </si>
  <si>
    <t>42035</t>
  </si>
  <si>
    <t>280/300 SEL</t>
  </si>
  <si>
    <t>42036</t>
  </si>
  <si>
    <t>300/380/420/450/500/560/SEL &amp; 500/560, 600 SEC &amp; 300/350 SDL</t>
  </si>
  <si>
    <t>42037</t>
  </si>
  <si>
    <t>300/380/450 SE</t>
  </si>
  <si>
    <t>42038</t>
  </si>
  <si>
    <t>600, 6.9 Sedan</t>
  </si>
  <si>
    <t>42039</t>
  </si>
  <si>
    <t>190</t>
  </si>
  <si>
    <t>42040</t>
  </si>
  <si>
    <t>42041</t>
  </si>
  <si>
    <t>400/500E</t>
  </si>
  <si>
    <t>42042</t>
  </si>
  <si>
    <t>C Class (1994 on)</t>
  </si>
  <si>
    <t>42043</t>
  </si>
  <si>
    <t>S Class (1995 on)</t>
  </si>
  <si>
    <t>42044</t>
  </si>
  <si>
    <t>SL Class (1995 on)</t>
  </si>
  <si>
    <t>42045</t>
  </si>
  <si>
    <t>SLK</t>
  </si>
  <si>
    <t>42046</t>
  </si>
  <si>
    <t>CL Class</t>
  </si>
  <si>
    <t>42047</t>
  </si>
  <si>
    <t>CLK</t>
  </si>
  <si>
    <t>42048</t>
  </si>
  <si>
    <t>E Class (1997 on)</t>
  </si>
  <si>
    <t>42049</t>
  </si>
  <si>
    <t>SLR</t>
  </si>
  <si>
    <t>42050</t>
  </si>
  <si>
    <t>R Class</t>
  </si>
  <si>
    <t>42051</t>
  </si>
  <si>
    <t>CLS Class</t>
  </si>
  <si>
    <t>42052</t>
  </si>
  <si>
    <t>SLS Class</t>
  </si>
  <si>
    <t>42053</t>
  </si>
  <si>
    <t>B Class</t>
  </si>
  <si>
    <t>42054</t>
  </si>
  <si>
    <t>CLA Class</t>
  </si>
  <si>
    <t>42055</t>
  </si>
  <si>
    <t>GLA Class</t>
  </si>
  <si>
    <t>42056</t>
  </si>
  <si>
    <t>AMG GT S</t>
  </si>
  <si>
    <t>42398</t>
  </si>
  <si>
    <t>42399</t>
  </si>
  <si>
    <t>42401</t>
  </si>
  <si>
    <t>M/ML Class</t>
  </si>
  <si>
    <t>42402</t>
  </si>
  <si>
    <t>G Class</t>
  </si>
  <si>
    <t>42403</t>
  </si>
  <si>
    <t>GLK Class</t>
  </si>
  <si>
    <t>42421</t>
  </si>
  <si>
    <t>GL Class</t>
  </si>
  <si>
    <t>42461</t>
  </si>
  <si>
    <t>42470</t>
  </si>
  <si>
    <t>42498</t>
  </si>
  <si>
    <t>42499</t>
  </si>
  <si>
    <t>42870</t>
  </si>
  <si>
    <t>42881</t>
  </si>
  <si>
    <t>42882</t>
  </si>
  <si>
    <t>42883</t>
  </si>
  <si>
    <t>42884</t>
  </si>
  <si>
    <t>42890</t>
  </si>
  <si>
    <t>42898</t>
  </si>
  <si>
    <t>42981</t>
  </si>
  <si>
    <t>42988</t>
  </si>
  <si>
    <t>42989</t>
  </si>
  <si>
    <t>Unknown (bus)</t>
  </si>
  <si>
    <t>42998</t>
  </si>
  <si>
    <t>42999</t>
  </si>
  <si>
    <t xml:space="preserve">Unknown (MERCEDES BENZ)  </t>
  </si>
  <si>
    <t>43031</t>
  </si>
  <si>
    <t>Midget</t>
  </si>
  <si>
    <t>43032</t>
  </si>
  <si>
    <t>MGB (MK I/II/IV, 600 Limited, V-8%)</t>
  </si>
  <si>
    <t>43033</t>
  </si>
  <si>
    <t>MGB (GT,MK III)</t>
  </si>
  <si>
    <t>43034</t>
  </si>
  <si>
    <t>MGA</t>
  </si>
  <si>
    <t>43035</t>
  </si>
  <si>
    <t>TA/TC/TD/TF</t>
  </si>
  <si>
    <t>43036</t>
  </si>
  <si>
    <t>MGC</t>
  </si>
  <si>
    <t>43037</t>
  </si>
  <si>
    <t>Magnette/Sports Sedans</t>
  </si>
  <si>
    <t>43398</t>
  </si>
  <si>
    <t>43399</t>
  </si>
  <si>
    <t>44031</t>
  </si>
  <si>
    <t>304</t>
  </si>
  <si>
    <t>44032</t>
  </si>
  <si>
    <t>403</t>
  </si>
  <si>
    <t>44033</t>
  </si>
  <si>
    <t>404</t>
  </si>
  <si>
    <t>44034</t>
  </si>
  <si>
    <t>504/505</t>
  </si>
  <si>
    <t>44035</t>
  </si>
  <si>
    <t>604</t>
  </si>
  <si>
    <t>44036</t>
  </si>
  <si>
    <t>405</t>
  </si>
  <si>
    <t>44398</t>
  </si>
  <si>
    <t>44399</t>
  </si>
  <si>
    <t>44701</t>
  </si>
  <si>
    <t>0-50 cc</t>
  </si>
  <si>
    <t>44702</t>
  </si>
  <si>
    <t>51-124cc</t>
  </si>
  <si>
    <t>44709</t>
  </si>
  <si>
    <t>Unknown cc</t>
  </si>
  <si>
    <t>44999</t>
  </si>
  <si>
    <t>Unknown (PEUGEOT)</t>
  </si>
  <si>
    <t>45031</t>
  </si>
  <si>
    <t>911/996</t>
  </si>
  <si>
    <t>45032</t>
  </si>
  <si>
    <t>912</t>
  </si>
  <si>
    <t>45033</t>
  </si>
  <si>
    <t>914</t>
  </si>
  <si>
    <t>45034</t>
  </si>
  <si>
    <t>924</t>
  </si>
  <si>
    <t>45035</t>
  </si>
  <si>
    <t>928</t>
  </si>
  <si>
    <t>45036</t>
  </si>
  <si>
    <t>930</t>
  </si>
  <si>
    <t>45037</t>
  </si>
  <si>
    <t>944</t>
  </si>
  <si>
    <t>45038</t>
  </si>
  <si>
    <t>959</t>
  </si>
  <si>
    <t>45039</t>
  </si>
  <si>
    <t>968</t>
  </si>
  <si>
    <t>45040</t>
  </si>
  <si>
    <t>986/Boxster</t>
  </si>
  <si>
    <t>45041</t>
  </si>
  <si>
    <t>Cayman</t>
  </si>
  <si>
    <t>45042</t>
  </si>
  <si>
    <t>Panamera</t>
  </si>
  <si>
    <t>45043</t>
  </si>
  <si>
    <t>918</t>
  </si>
  <si>
    <t>45398</t>
  </si>
  <si>
    <t>45399</t>
  </si>
  <si>
    <t>45401</t>
  </si>
  <si>
    <t>Macan</t>
  </si>
  <si>
    <t>45421</t>
  </si>
  <si>
    <t>Cayenne</t>
  </si>
  <si>
    <t>45499</t>
  </si>
  <si>
    <t>45999</t>
  </si>
  <si>
    <t xml:space="preserve">Unknown (PORSCHE) </t>
  </si>
  <si>
    <t>46031</t>
  </si>
  <si>
    <t>LeCar</t>
  </si>
  <si>
    <t>46032</t>
  </si>
  <si>
    <t>Dauphine/10/R-8 Caravelle</t>
  </si>
  <si>
    <t>46033</t>
  </si>
  <si>
    <t>46034</t>
  </si>
  <si>
    <t>46035</t>
  </si>
  <si>
    <t>46036</t>
  </si>
  <si>
    <t>46037</t>
  </si>
  <si>
    <t>18i/Sportwagon</t>
  </si>
  <si>
    <t>46038</t>
  </si>
  <si>
    <t>Fuego</t>
  </si>
  <si>
    <t>46039</t>
  </si>
  <si>
    <t>Alliance/Encore GTA, Convertible</t>
  </si>
  <si>
    <t>46041</t>
  </si>
  <si>
    <t>Alpine</t>
  </si>
  <si>
    <t>46044</t>
  </si>
  <si>
    <t>46045</t>
  </si>
  <si>
    <t>46398</t>
  </si>
  <si>
    <t>46399</t>
  </si>
  <si>
    <t>47031</t>
  </si>
  <si>
    <t>99/99E/900</t>
  </si>
  <si>
    <t>47032</t>
  </si>
  <si>
    <t>Sonnett</t>
  </si>
  <si>
    <t>47033</t>
  </si>
  <si>
    <t>95/96</t>
  </si>
  <si>
    <t>47034</t>
  </si>
  <si>
    <t>9000</t>
  </si>
  <si>
    <t>47035</t>
  </si>
  <si>
    <t>9-3/9-3x</t>
  </si>
  <si>
    <t>47036</t>
  </si>
  <si>
    <t>9-5</t>
  </si>
  <si>
    <t>47037</t>
  </si>
  <si>
    <t>9-2x</t>
  </si>
  <si>
    <t>47038</t>
  </si>
  <si>
    <t>9-4x</t>
  </si>
  <si>
    <t>47398</t>
  </si>
  <si>
    <t>47399</t>
  </si>
  <si>
    <t>47401</t>
  </si>
  <si>
    <t>9-7x</t>
  </si>
  <si>
    <t>47999</t>
  </si>
  <si>
    <t xml:space="preserve">Unknown (SAAB) </t>
  </si>
  <si>
    <t>48031</t>
  </si>
  <si>
    <t>Loyale (1990 on)/DL/ FE/G/GF/GL/GLF/ STD</t>
  </si>
  <si>
    <t>48032</t>
  </si>
  <si>
    <t>Star</t>
  </si>
  <si>
    <t>48033</t>
  </si>
  <si>
    <t>360</t>
  </si>
  <si>
    <t>48034</t>
  </si>
  <si>
    <t>Legacy/Outback (thru 2003)</t>
  </si>
  <si>
    <t>48035</t>
  </si>
  <si>
    <t>XT/XT6</t>
  </si>
  <si>
    <t>48036</t>
  </si>
  <si>
    <t>Justy</t>
  </si>
  <si>
    <t>48037</t>
  </si>
  <si>
    <t>SVX</t>
  </si>
  <si>
    <t>48038</t>
  </si>
  <si>
    <t>Impreza</t>
  </si>
  <si>
    <t>48039</t>
  </si>
  <si>
    <t>RX</t>
  </si>
  <si>
    <t>48043</t>
  </si>
  <si>
    <t>Brat</t>
  </si>
  <si>
    <t>48044</t>
  </si>
  <si>
    <t>Baja</t>
  </si>
  <si>
    <t>48045</t>
  </si>
  <si>
    <t>Outback (2003 on)</t>
  </si>
  <si>
    <t>48046</t>
  </si>
  <si>
    <t>BRZ</t>
  </si>
  <si>
    <t>48047</t>
  </si>
  <si>
    <t>WRX (2015 on)</t>
  </si>
  <si>
    <t>48398</t>
  </si>
  <si>
    <t>48399</t>
  </si>
  <si>
    <t>48401</t>
  </si>
  <si>
    <t>Forester</t>
  </si>
  <si>
    <t>48402</t>
  </si>
  <si>
    <t>B9 Tribeca</t>
  </si>
  <si>
    <t>48403</t>
  </si>
  <si>
    <t>XV Crosstrek</t>
  </si>
  <si>
    <t>48499</t>
  </si>
  <si>
    <t>48999</t>
  </si>
  <si>
    <t xml:space="preserve">Unknown (SUBARU) </t>
  </si>
  <si>
    <t>49031</t>
  </si>
  <si>
    <t>Corona</t>
  </si>
  <si>
    <t>49032</t>
  </si>
  <si>
    <t>Corolla</t>
  </si>
  <si>
    <t>49033</t>
  </si>
  <si>
    <t>Celica</t>
  </si>
  <si>
    <t>49034</t>
  </si>
  <si>
    <t>Supra</t>
  </si>
  <si>
    <t>49035</t>
  </si>
  <si>
    <t>Cressida</t>
  </si>
  <si>
    <t>49036</t>
  </si>
  <si>
    <t>Crown</t>
  </si>
  <si>
    <t>49037</t>
  </si>
  <si>
    <t>Carina</t>
  </si>
  <si>
    <t>49038</t>
  </si>
  <si>
    <t>Tercel</t>
  </si>
  <si>
    <t>49039</t>
  </si>
  <si>
    <t>Starlet</t>
  </si>
  <si>
    <t>49040</t>
  </si>
  <si>
    <t>Camry</t>
  </si>
  <si>
    <t>49041</t>
  </si>
  <si>
    <t>MR-2/MR Spyder</t>
  </si>
  <si>
    <t>49042</t>
  </si>
  <si>
    <t>Paseo</t>
  </si>
  <si>
    <t>49043</t>
  </si>
  <si>
    <t>Avalon</t>
  </si>
  <si>
    <t>49044</t>
  </si>
  <si>
    <t>Solara</t>
  </si>
  <si>
    <t>49045</t>
  </si>
  <si>
    <t>ECHO</t>
  </si>
  <si>
    <t>49046</t>
  </si>
  <si>
    <t>Prius</t>
  </si>
  <si>
    <t>49047</t>
  </si>
  <si>
    <t>Matrix</t>
  </si>
  <si>
    <t>49048</t>
  </si>
  <si>
    <t>Scion xA</t>
  </si>
  <si>
    <t>49049</t>
  </si>
  <si>
    <t>Scion xB (2004-2011)</t>
  </si>
  <si>
    <t>49050</t>
  </si>
  <si>
    <t>Scion tC (2005-2011)</t>
  </si>
  <si>
    <t>49051</t>
  </si>
  <si>
    <t>Yaris</t>
  </si>
  <si>
    <t>49052</t>
  </si>
  <si>
    <t>Scion xD (2007-2011)</t>
  </si>
  <si>
    <t>49053</t>
  </si>
  <si>
    <t>Venza</t>
  </si>
  <si>
    <t>49054</t>
  </si>
  <si>
    <t>Scion iQ (2010-2011)</t>
  </si>
  <si>
    <t>49055</t>
  </si>
  <si>
    <t>Mirai</t>
  </si>
  <si>
    <t>49398</t>
  </si>
  <si>
    <t>49399</t>
  </si>
  <si>
    <t>49401</t>
  </si>
  <si>
    <t>4-Runner</t>
  </si>
  <si>
    <t>49402</t>
  </si>
  <si>
    <t>RAV4</t>
  </si>
  <si>
    <t>49403</t>
  </si>
  <si>
    <t>Highlander</t>
  </si>
  <si>
    <t>49404</t>
  </si>
  <si>
    <t>FJ Cruiser</t>
  </si>
  <si>
    <t>49421</t>
  </si>
  <si>
    <t>Land Cruiser</t>
  </si>
  <si>
    <t>49422</t>
  </si>
  <si>
    <t>Sequoia</t>
  </si>
  <si>
    <t>49441</t>
  </si>
  <si>
    <t>Minivan (1984-1990)/ Previa (1991 on)</t>
  </si>
  <si>
    <t>49442</t>
  </si>
  <si>
    <t>Sienna</t>
  </si>
  <si>
    <t>49471</t>
  </si>
  <si>
    <t>Pickup</t>
  </si>
  <si>
    <t>49472</t>
  </si>
  <si>
    <t>Tacoma</t>
  </si>
  <si>
    <t>49481</t>
  </si>
  <si>
    <t>T-100</t>
  </si>
  <si>
    <t>49482</t>
  </si>
  <si>
    <t>Tundra</t>
  </si>
  <si>
    <t>49498</t>
  </si>
  <si>
    <t>49499</t>
  </si>
  <si>
    <t>49999</t>
  </si>
  <si>
    <t xml:space="preserve">Unknown (TOYOTA) </t>
  </si>
  <si>
    <t>50031</t>
  </si>
  <si>
    <t>Spitfire</t>
  </si>
  <si>
    <t>50032</t>
  </si>
  <si>
    <t>GT-6</t>
  </si>
  <si>
    <t>50033</t>
  </si>
  <si>
    <t>TR4</t>
  </si>
  <si>
    <t>50034</t>
  </si>
  <si>
    <t>TR6</t>
  </si>
  <si>
    <t>50035</t>
  </si>
  <si>
    <t>TR7/TR8</t>
  </si>
  <si>
    <t>50036</t>
  </si>
  <si>
    <t>Herald</t>
  </si>
  <si>
    <t>50037</t>
  </si>
  <si>
    <t>Stag</t>
  </si>
  <si>
    <t>50398</t>
  </si>
  <si>
    <t>50399</t>
  </si>
  <si>
    <t>50701</t>
  </si>
  <si>
    <t>0-50cc</t>
  </si>
  <si>
    <t>50702</t>
  </si>
  <si>
    <t>50703</t>
  </si>
  <si>
    <t>50704</t>
  </si>
  <si>
    <t>350-449cc</t>
  </si>
  <si>
    <t>50705</t>
  </si>
  <si>
    <t>50706</t>
  </si>
  <si>
    <t>750cc or greater</t>
  </si>
  <si>
    <t>50709</t>
  </si>
  <si>
    <t>50799</t>
  </si>
  <si>
    <t xml:space="preserve">Unknown (motored cycle) </t>
  </si>
  <si>
    <t>50999</t>
  </si>
  <si>
    <t xml:space="preserve">Unknown (TRIUMPH) </t>
  </si>
  <si>
    <t>51031</t>
  </si>
  <si>
    <t>122</t>
  </si>
  <si>
    <t>51032</t>
  </si>
  <si>
    <t xml:space="preserve">140/142/144/145 </t>
  </si>
  <si>
    <t>51033</t>
  </si>
  <si>
    <t>164</t>
  </si>
  <si>
    <t>51034</t>
  </si>
  <si>
    <t>240 series/DL/GL/GLT</t>
  </si>
  <si>
    <t>51035</t>
  </si>
  <si>
    <t>260 series/GLE</t>
  </si>
  <si>
    <t>51036</t>
  </si>
  <si>
    <t>51037</t>
  </si>
  <si>
    <t>PV544</t>
  </si>
  <si>
    <t>51038</t>
  </si>
  <si>
    <t>760/780</t>
  </si>
  <si>
    <t>51039</t>
  </si>
  <si>
    <t>740</t>
  </si>
  <si>
    <t>51040</t>
  </si>
  <si>
    <t>940</t>
  </si>
  <si>
    <t>51041</t>
  </si>
  <si>
    <t>960</t>
  </si>
  <si>
    <t>51042</t>
  </si>
  <si>
    <t>850</t>
  </si>
  <si>
    <t>51043</t>
  </si>
  <si>
    <t>70 Series (1998-2013)</t>
  </si>
  <si>
    <t>51044</t>
  </si>
  <si>
    <t>90 Series</t>
  </si>
  <si>
    <t>51045</t>
  </si>
  <si>
    <t>80 Series</t>
  </si>
  <si>
    <t>51046</t>
  </si>
  <si>
    <t>40 Series</t>
  </si>
  <si>
    <t>51047</t>
  </si>
  <si>
    <t>60 Series</t>
  </si>
  <si>
    <t>51048</t>
  </si>
  <si>
    <t>V50</t>
  </si>
  <si>
    <t>51049</t>
  </si>
  <si>
    <t>C30</t>
  </si>
  <si>
    <t>51050</t>
  </si>
  <si>
    <t>XC60</t>
  </si>
  <si>
    <t>51051</t>
  </si>
  <si>
    <t>V60</t>
  </si>
  <si>
    <t>51398</t>
  </si>
  <si>
    <t>51399</t>
  </si>
  <si>
    <t>51401</t>
  </si>
  <si>
    <t>XC90</t>
  </si>
  <si>
    <t>51402</t>
  </si>
  <si>
    <t>XC70 (2014 on)</t>
  </si>
  <si>
    <t>51499</t>
  </si>
  <si>
    <t>51881</t>
  </si>
  <si>
    <t>51882</t>
  </si>
  <si>
    <t>51883</t>
  </si>
  <si>
    <t>51884</t>
  </si>
  <si>
    <t>51890</t>
  </si>
  <si>
    <t>51898</t>
  </si>
  <si>
    <t>51981</t>
  </si>
  <si>
    <t>51983</t>
  </si>
  <si>
    <t>51988</t>
  </si>
  <si>
    <t>51989</t>
  </si>
  <si>
    <t>51998</t>
  </si>
  <si>
    <t xml:space="preserve">Other (Vehicle) </t>
  </si>
  <si>
    <t>51999</t>
  </si>
  <si>
    <t xml:space="preserve">Unknown (VOLVO) </t>
  </si>
  <si>
    <t>52031</t>
  </si>
  <si>
    <t>Starion</t>
  </si>
  <si>
    <t>52032</t>
  </si>
  <si>
    <t>Tredia</t>
  </si>
  <si>
    <t>52033</t>
  </si>
  <si>
    <t>Cordia</t>
  </si>
  <si>
    <t>52034</t>
  </si>
  <si>
    <t>Galant</t>
  </si>
  <si>
    <t>52035</t>
  </si>
  <si>
    <t>Mirage (1985-2002)</t>
  </si>
  <si>
    <t>52036</t>
  </si>
  <si>
    <t>Precis</t>
  </si>
  <si>
    <t>52037</t>
  </si>
  <si>
    <t>Eclipse</t>
  </si>
  <si>
    <t>52038</t>
  </si>
  <si>
    <t>Sigma</t>
  </si>
  <si>
    <t>52039</t>
  </si>
  <si>
    <t>3000 GT</t>
  </si>
  <si>
    <t>52040</t>
  </si>
  <si>
    <t>Diamante</t>
  </si>
  <si>
    <t>52041</t>
  </si>
  <si>
    <t>iMEV</t>
  </si>
  <si>
    <t>52045</t>
  </si>
  <si>
    <t>Expo Wagon</t>
  </si>
  <si>
    <t>52046</t>
  </si>
  <si>
    <t>Lancer/Lancer Sportback/Lancer Evolution</t>
  </si>
  <si>
    <t>52047</t>
  </si>
  <si>
    <t>Outlander</t>
  </si>
  <si>
    <t>52048</t>
  </si>
  <si>
    <t>Mirage (2014 on)</t>
  </si>
  <si>
    <t>52398</t>
  </si>
  <si>
    <t>52399</t>
  </si>
  <si>
    <t>52401</t>
  </si>
  <si>
    <t>Montero/MonteroSport</t>
  </si>
  <si>
    <t>52402</t>
  </si>
  <si>
    <t>Endeavor</t>
  </si>
  <si>
    <t>52441</t>
  </si>
  <si>
    <t>Mini-Van</t>
  </si>
  <si>
    <t>52471</t>
  </si>
  <si>
    <t>52472</t>
  </si>
  <si>
    <t>Raider</t>
  </si>
  <si>
    <t>52498</t>
  </si>
  <si>
    <t>52499</t>
  </si>
  <si>
    <t>52882</t>
  </si>
  <si>
    <t>52898</t>
  </si>
  <si>
    <t>52981</t>
  </si>
  <si>
    <t>52982</t>
  </si>
  <si>
    <t>52983</t>
  </si>
  <si>
    <t>52988</t>
  </si>
  <si>
    <t>52989</t>
  </si>
  <si>
    <t>52999</t>
  </si>
  <si>
    <t xml:space="preserve">Unknown (MITSUBISHI) </t>
  </si>
  <si>
    <t>53031</t>
  </si>
  <si>
    <t>Swift/SA310</t>
  </si>
  <si>
    <t>53032</t>
  </si>
  <si>
    <t>Esteem</t>
  </si>
  <si>
    <t>53033</t>
  </si>
  <si>
    <t>Aerio</t>
  </si>
  <si>
    <t>53034</t>
  </si>
  <si>
    <t>Forenza</t>
  </si>
  <si>
    <t>53035</t>
  </si>
  <si>
    <t>Verona</t>
  </si>
  <si>
    <t>53036</t>
  </si>
  <si>
    <t>Reno</t>
  </si>
  <si>
    <t>53040</t>
  </si>
  <si>
    <t>SX4/SX4 Crossover</t>
  </si>
  <si>
    <t>53041</t>
  </si>
  <si>
    <t>Kizashi</t>
  </si>
  <si>
    <t>53398</t>
  </si>
  <si>
    <t>53399</t>
  </si>
  <si>
    <t>53401</t>
  </si>
  <si>
    <t>Samurai</t>
  </si>
  <si>
    <t>53402</t>
  </si>
  <si>
    <t>Sidekick/Vitara/ Vitara V6</t>
  </si>
  <si>
    <t>53403</t>
  </si>
  <si>
    <t>X-90</t>
  </si>
  <si>
    <t>53404</t>
  </si>
  <si>
    <t>Grand Vitara (2003 on)</t>
  </si>
  <si>
    <t>53405</t>
  </si>
  <si>
    <t>XL-7 (2003 on)</t>
  </si>
  <si>
    <t>53481</t>
  </si>
  <si>
    <t>Equator</t>
  </si>
  <si>
    <t>53498</t>
  </si>
  <si>
    <t>Other (light truck)</t>
  </si>
  <si>
    <t>53499</t>
  </si>
  <si>
    <t>53701</t>
  </si>
  <si>
    <t>Motorcycle 0-50cc</t>
  </si>
  <si>
    <t>53702</t>
  </si>
  <si>
    <t>Motorcycle 51-124cc</t>
  </si>
  <si>
    <t>53703</t>
  </si>
  <si>
    <t>Motorcycle 125-349cc</t>
  </si>
  <si>
    <t>53704</t>
  </si>
  <si>
    <t>Motorcycle 350-449cc</t>
  </si>
  <si>
    <t>53705</t>
  </si>
  <si>
    <t>Motorcycle 450-749cc</t>
  </si>
  <si>
    <t>53706</t>
  </si>
  <si>
    <t>Motorcycle 750cc or greater</t>
  </si>
  <si>
    <t>53709</t>
  </si>
  <si>
    <t xml:space="preserve"> Unknown cc   </t>
  </si>
  <si>
    <t>53731</t>
  </si>
  <si>
    <t>ATV 0-50cc</t>
  </si>
  <si>
    <t>53732</t>
  </si>
  <si>
    <t>53733</t>
  </si>
  <si>
    <t>53734</t>
  </si>
  <si>
    <t>53739</t>
  </si>
  <si>
    <t>53999</t>
  </si>
  <si>
    <t>Unknown Suzuki</t>
  </si>
  <si>
    <t>54031</t>
  </si>
  <si>
    <t>Integra</t>
  </si>
  <si>
    <t>54032</t>
  </si>
  <si>
    <t>Legend</t>
  </si>
  <si>
    <t>54033</t>
  </si>
  <si>
    <t>NSX (1991-2005)</t>
  </si>
  <si>
    <t>54034</t>
  </si>
  <si>
    <t>Vigor</t>
  </si>
  <si>
    <t>54035</t>
  </si>
  <si>
    <t>TL</t>
  </si>
  <si>
    <t>54036</t>
  </si>
  <si>
    <t>RL/RLX</t>
  </si>
  <si>
    <t>54037</t>
  </si>
  <si>
    <t>CL</t>
  </si>
  <si>
    <t>54038</t>
  </si>
  <si>
    <t>RSX</t>
  </si>
  <si>
    <t>54039</t>
  </si>
  <si>
    <t>TSX</t>
  </si>
  <si>
    <t>54040</t>
  </si>
  <si>
    <t>ZDX</t>
  </si>
  <si>
    <t>54041</t>
  </si>
  <si>
    <t>ILX</t>
  </si>
  <si>
    <t>54043</t>
  </si>
  <si>
    <t>NSX (2016 on)</t>
  </si>
  <si>
    <t>54044</t>
  </si>
  <si>
    <t>TLX</t>
  </si>
  <si>
    <t>54398</t>
  </si>
  <si>
    <t>54399</t>
  </si>
  <si>
    <t>54401</t>
  </si>
  <si>
    <t>SLX</t>
  </si>
  <si>
    <t>54402</t>
  </si>
  <si>
    <t>RDX</t>
  </si>
  <si>
    <t>54421</t>
  </si>
  <si>
    <t>MDX</t>
  </si>
  <si>
    <t>54499</t>
  </si>
  <si>
    <t>54999</t>
  </si>
  <si>
    <t xml:space="preserve">Unknown (ACURA) </t>
  </si>
  <si>
    <t>55031</t>
  </si>
  <si>
    <t>Pony</t>
  </si>
  <si>
    <t>55032</t>
  </si>
  <si>
    <t>Excel</t>
  </si>
  <si>
    <t>55033</t>
  </si>
  <si>
    <t>Sonata</t>
  </si>
  <si>
    <t>55034</t>
  </si>
  <si>
    <t>Scoupe</t>
  </si>
  <si>
    <t>55035</t>
  </si>
  <si>
    <t>Elantra</t>
  </si>
  <si>
    <t>55036</t>
  </si>
  <si>
    <t>Accent</t>
  </si>
  <si>
    <t>55037</t>
  </si>
  <si>
    <t>Tiburon</t>
  </si>
  <si>
    <t>55038</t>
  </si>
  <si>
    <t>XG300 (2001)/XG350 (2002 on)</t>
  </si>
  <si>
    <t>55039</t>
  </si>
  <si>
    <t>Azera</t>
  </si>
  <si>
    <t>55040</t>
  </si>
  <si>
    <t>Equus</t>
  </si>
  <si>
    <t>55041</t>
  </si>
  <si>
    <t>Genesis</t>
  </si>
  <si>
    <t>55042</t>
  </si>
  <si>
    <t>Veloster</t>
  </si>
  <si>
    <t>55398</t>
  </si>
  <si>
    <t>55399</t>
  </si>
  <si>
    <t>55401</t>
  </si>
  <si>
    <t>Santa Fe</t>
  </si>
  <si>
    <t>55402</t>
  </si>
  <si>
    <t>Tucson</t>
  </si>
  <si>
    <t>55403</t>
  </si>
  <si>
    <t>Veracruz (2007 only)</t>
  </si>
  <si>
    <t>55421</t>
  </si>
  <si>
    <t>Veracruz (2008 on)</t>
  </si>
  <si>
    <t>55441</t>
  </si>
  <si>
    <t>Entourage</t>
  </si>
  <si>
    <t>55499</t>
  </si>
  <si>
    <t>55999</t>
  </si>
  <si>
    <t xml:space="preserve">Unknown (HYUNDAI) </t>
  </si>
  <si>
    <t>56031</t>
  </si>
  <si>
    <t>XR4Ti</t>
  </si>
  <si>
    <t>56032</t>
  </si>
  <si>
    <t>Scorpio</t>
  </si>
  <si>
    <t>56398</t>
  </si>
  <si>
    <t>56399</t>
  </si>
  <si>
    <t>57031</t>
  </si>
  <si>
    <t>GV/GVL/GVX</t>
  </si>
  <si>
    <t>58031</t>
  </si>
  <si>
    <t>M30</t>
  </si>
  <si>
    <t>58032</t>
  </si>
  <si>
    <t>Q45</t>
  </si>
  <si>
    <t>58033</t>
  </si>
  <si>
    <t>G20</t>
  </si>
  <si>
    <t>58034</t>
  </si>
  <si>
    <t>J30</t>
  </si>
  <si>
    <t>58035</t>
  </si>
  <si>
    <t>I30</t>
  </si>
  <si>
    <t>58036</t>
  </si>
  <si>
    <t>I35</t>
  </si>
  <si>
    <t>58037</t>
  </si>
  <si>
    <t>G25/G35/G37</t>
  </si>
  <si>
    <t>58038</t>
  </si>
  <si>
    <t>M35/M37/M45/M56</t>
  </si>
  <si>
    <t>58039</t>
  </si>
  <si>
    <t>FX35/FX37/FX45/FX50</t>
  </si>
  <si>
    <t>58040</t>
  </si>
  <si>
    <t>EX35</t>
  </si>
  <si>
    <t>58041</t>
  </si>
  <si>
    <t>Q50</t>
  </si>
  <si>
    <t>58042</t>
  </si>
  <si>
    <t>Q60</t>
  </si>
  <si>
    <t>58043</t>
  </si>
  <si>
    <t>Q70</t>
  </si>
  <si>
    <t>58044</t>
  </si>
  <si>
    <t>QX50</t>
  </si>
  <si>
    <t>58045</t>
  </si>
  <si>
    <t>Q40</t>
  </si>
  <si>
    <t>58398</t>
  </si>
  <si>
    <t>58399</t>
  </si>
  <si>
    <t>58401</t>
  </si>
  <si>
    <t>QX4</t>
  </si>
  <si>
    <t>58402</t>
  </si>
  <si>
    <t>JX35</t>
  </si>
  <si>
    <t>58403</t>
  </si>
  <si>
    <t>QX60</t>
  </si>
  <si>
    <t>58404</t>
  </si>
  <si>
    <t>QX70</t>
  </si>
  <si>
    <t>58421</t>
  </si>
  <si>
    <t>QX56</t>
  </si>
  <si>
    <t>58422</t>
  </si>
  <si>
    <t>QX80</t>
  </si>
  <si>
    <t>58499</t>
  </si>
  <si>
    <t>58999</t>
  </si>
  <si>
    <t xml:space="preserve">Unknown (INFINITI) </t>
  </si>
  <si>
    <t>59031</t>
  </si>
  <si>
    <t>ES-250/300/300h/330/ 350</t>
  </si>
  <si>
    <t>59032</t>
  </si>
  <si>
    <t>LS-400/430/460/L/600h/L</t>
  </si>
  <si>
    <t>59033</t>
  </si>
  <si>
    <t>SC-400/300</t>
  </si>
  <si>
    <t>59034</t>
  </si>
  <si>
    <t>GS-300/350/400/430/ 450h/460</t>
  </si>
  <si>
    <t>59035</t>
  </si>
  <si>
    <t>IS-250/300/350/500</t>
  </si>
  <si>
    <t>59036</t>
  </si>
  <si>
    <t>SC-430</t>
  </si>
  <si>
    <t>59037</t>
  </si>
  <si>
    <t>HS 250h</t>
  </si>
  <si>
    <t>59038</t>
  </si>
  <si>
    <t>CT 200h</t>
  </si>
  <si>
    <t>59039</t>
  </si>
  <si>
    <t>LFA</t>
  </si>
  <si>
    <t>59040</t>
  </si>
  <si>
    <t>RC</t>
  </si>
  <si>
    <t>59398</t>
  </si>
  <si>
    <t>59399</t>
  </si>
  <si>
    <t>59401</t>
  </si>
  <si>
    <t>RX300/350</t>
  </si>
  <si>
    <t>59402</t>
  </si>
  <si>
    <t>GX470</t>
  </si>
  <si>
    <t>59403</t>
  </si>
  <si>
    <t>RX330/350/400h/450h</t>
  </si>
  <si>
    <t>59404</t>
  </si>
  <si>
    <t>GX460</t>
  </si>
  <si>
    <t>59405</t>
  </si>
  <si>
    <t>NX</t>
  </si>
  <si>
    <t>59421</t>
  </si>
  <si>
    <t>LX450/470/570</t>
  </si>
  <si>
    <t>59499</t>
  </si>
  <si>
    <t>59999</t>
  </si>
  <si>
    <t xml:space="preserve">Unknown (LEXUS) </t>
  </si>
  <si>
    <t>60031</t>
  </si>
  <si>
    <t>Charade</t>
  </si>
  <si>
    <t>60401</t>
  </si>
  <si>
    <t>Rocky</t>
  </si>
  <si>
    <t>60999</t>
  </si>
  <si>
    <t>Unknown (DAIHATSU)</t>
  </si>
  <si>
    <t>61031</t>
  </si>
  <si>
    <t>827</t>
  </si>
  <si>
    <t>61398</t>
  </si>
  <si>
    <t>61399</t>
  </si>
  <si>
    <t>62401</t>
  </si>
  <si>
    <t>Discovery</t>
  </si>
  <si>
    <t>62402</t>
  </si>
  <si>
    <t>Defender</t>
  </si>
  <si>
    <t>62403</t>
  </si>
  <si>
    <t>Freelander (2004 on)</t>
  </si>
  <si>
    <t>62404</t>
  </si>
  <si>
    <t>Range Rover Evoque</t>
  </si>
  <si>
    <t>62405</t>
  </si>
  <si>
    <t>Discovery Sport</t>
  </si>
  <si>
    <t>62421</t>
  </si>
  <si>
    <t>Range Rover</t>
  </si>
  <si>
    <t>62422</t>
  </si>
  <si>
    <t>Freelander (2002-2003)</t>
  </si>
  <si>
    <t>62423</t>
  </si>
  <si>
    <t>LR3/LR4</t>
  </si>
  <si>
    <t>62424</t>
  </si>
  <si>
    <t>LR2</t>
  </si>
  <si>
    <t>62498</t>
  </si>
  <si>
    <t>62499</t>
  </si>
  <si>
    <t>63031</t>
  </si>
  <si>
    <t>Sephia</t>
  </si>
  <si>
    <t>63032</t>
  </si>
  <si>
    <t>Rio/Rio5</t>
  </si>
  <si>
    <t>63033</t>
  </si>
  <si>
    <t>Spectra/Spectra5</t>
  </si>
  <si>
    <t>63034</t>
  </si>
  <si>
    <t>Optima</t>
  </si>
  <si>
    <t>63035</t>
  </si>
  <si>
    <t>Amanti</t>
  </si>
  <si>
    <t>63036</t>
  </si>
  <si>
    <t>Rondo</t>
  </si>
  <si>
    <t>63037</t>
  </si>
  <si>
    <t>Soul</t>
  </si>
  <si>
    <t>63038</t>
  </si>
  <si>
    <t>Forte</t>
  </si>
  <si>
    <t>63039</t>
  </si>
  <si>
    <t>Cadenza</t>
  </si>
  <si>
    <t>63040</t>
  </si>
  <si>
    <t>K900</t>
  </si>
  <si>
    <t>63398</t>
  </si>
  <si>
    <t>63399</t>
  </si>
  <si>
    <t>63401</t>
  </si>
  <si>
    <t>Sportage</t>
  </si>
  <si>
    <t>63402</t>
  </si>
  <si>
    <t>Sorento</t>
  </si>
  <si>
    <t>63421</t>
  </si>
  <si>
    <t>Borrego</t>
  </si>
  <si>
    <t>63441</t>
  </si>
  <si>
    <t>Sedona</t>
  </si>
  <si>
    <t>63498</t>
  </si>
  <si>
    <t>63499</t>
  </si>
  <si>
    <t>63999</t>
  </si>
  <si>
    <t xml:space="preserve">Unknown (KIA) </t>
  </si>
  <si>
    <t>64031</t>
  </si>
  <si>
    <t>Lanos</t>
  </si>
  <si>
    <t>64032</t>
  </si>
  <si>
    <t>Nubira</t>
  </si>
  <si>
    <t>64033</t>
  </si>
  <si>
    <t>Leganza</t>
  </si>
  <si>
    <t>64398</t>
  </si>
  <si>
    <t>64399</t>
  </si>
  <si>
    <t>65031</t>
  </si>
  <si>
    <t>Fortwo</t>
  </si>
  <si>
    <t>65398</t>
  </si>
  <si>
    <t>65399</t>
  </si>
  <si>
    <t>67031</t>
  </si>
  <si>
    <t>xB (2012 on)</t>
  </si>
  <si>
    <t>67032</t>
  </si>
  <si>
    <t>tC (2012 on)</t>
  </si>
  <si>
    <t>67033</t>
  </si>
  <si>
    <t>xD (2012 on)</t>
  </si>
  <si>
    <t>67034</t>
  </si>
  <si>
    <t>iQ (2012 on)</t>
  </si>
  <si>
    <t>67035</t>
  </si>
  <si>
    <t>FR-S</t>
  </si>
  <si>
    <t>67398</t>
  </si>
  <si>
    <t>67399</t>
  </si>
  <si>
    <t>69031</t>
  </si>
  <si>
    <t>Aston Martin</t>
  </si>
  <si>
    <t>69032</t>
  </si>
  <si>
    <t>Bricklin</t>
  </si>
  <si>
    <t>69033</t>
  </si>
  <si>
    <t>Citroen</t>
  </si>
  <si>
    <t>69034</t>
  </si>
  <si>
    <t>DeLorean</t>
  </si>
  <si>
    <t>69035</t>
  </si>
  <si>
    <t>Ferrari</t>
  </si>
  <si>
    <t>69036</t>
  </si>
  <si>
    <t>Hillman</t>
  </si>
  <si>
    <t>69037</t>
  </si>
  <si>
    <t>Jensen</t>
  </si>
  <si>
    <t>69038</t>
  </si>
  <si>
    <t xml:space="preserve">Lamborghini </t>
  </si>
  <si>
    <t>69039</t>
  </si>
  <si>
    <t>Lotus</t>
  </si>
  <si>
    <t>69040</t>
  </si>
  <si>
    <t>Maserati</t>
  </si>
  <si>
    <t>69041</t>
  </si>
  <si>
    <t>Morris</t>
  </si>
  <si>
    <t>69042</t>
  </si>
  <si>
    <t>Rolls Royce/Bentley</t>
  </si>
  <si>
    <t>69044</t>
  </si>
  <si>
    <t>Simca</t>
  </si>
  <si>
    <t>69045</t>
  </si>
  <si>
    <t>Sunbeam</t>
  </si>
  <si>
    <t>69046</t>
  </si>
  <si>
    <t>TVR</t>
  </si>
  <si>
    <t>69048</t>
  </si>
  <si>
    <t>Desta</t>
  </si>
  <si>
    <t>69049</t>
  </si>
  <si>
    <t>Reliant</t>
  </si>
  <si>
    <t>69052</t>
  </si>
  <si>
    <t>Bertone</t>
  </si>
  <si>
    <t>69053</t>
  </si>
  <si>
    <t>Lada</t>
  </si>
  <si>
    <t>69054</t>
  </si>
  <si>
    <t>Mini-Cooper</t>
  </si>
  <si>
    <t>69055</t>
  </si>
  <si>
    <t>Morgan (2003 on; Prior to 2003 see 398)</t>
  </si>
  <si>
    <t>69056</t>
  </si>
  <si>
    <t>Maybach</t>
  </si>
  <si>
    <t>69057</t>
  </si>
  <si>
    <t>Spyker</t>
  </si>
  <si>
    <t>69058</t>
  </si>
  <si>
    <t>Koenigsegg</t>
  </si>
  <si>
    <t>69061</t>
  </si>
  <si>
    <t>Mahindra</t>
  </si>
  <si>
    <t>69062</t>
  </si>
  <si>
    <t>Caterham</t>
  </si>
  <si>
    <t>69063</t>
  </si>
  <si>
    <t>McLaren</t>
  </si>
  <si>
    <t>69064</t>
  </si>
  <si>
    <t>Bugatti</t>
  </si>
  <si>
    <t>69398</t>
  </si>
  <si>
    <t>Other (automotive)</t>
  </si>
  <si>
    <t>69399</t>
  </si>
  <si>
    <t xml:space="preserve">Unknown Make  </t>
  </si>
  <si>
    <t>70701</t>
  </si>
  <si>
    <t>70702</t>
  </si>
  <si>
    <t>70703</t>
  </si>
  <si>
    <t>70704</t>
  </si>
  <si>
    <t>70705</t>
  </si>
  <si>
    <t>70706</t>
  </si>
  <si>
    <t>70709</t>
  </si>
  <si>
    <t>71701</t>
  </si>
  <si>
    <t>71702</t>
  </si>
  <si>
    <t>71703</t>
  </si>
  <si>
    <t>71704</t>
  </si>
  <si>
    <t>71705</t>
  </si>
  <si>
    <t>71706</t>
  </si>
  <si>
    <t>71709</t>
  </si>
  <si>
    <t>72701</t>
  </si>
  <si>
    <t>72702</t>
  </si>
  <si>
    <t>72703</t>
  </si>
  <si>
    <t>72704</t>
  </si>
  <si>
    <t>72705</t>
  </si>
  <si>
    <t>72706</t>
  </si>
  <si>
    <t>72709</t>
  </si>
  <si>
    <t>73701</t>
  </si>
  <si>
    <t>73702</t>
  </si>
  <si>
    <t>73703</t>
  </si>
  <si>
    <t>73704</t>
  </si>
  <si>
    <t>73705</t>
  </si>
  <si>
    <t>73706</t>
  </si>
  <si>
    <t>73709</t>
  </si>
  <si>
    <t>73731</t>
  </si>
  <si>
    <t>73732</t>
  </si>
  <si>
    <t>73733</t>
  </si>
  <si>
    <t>73734</t>
  </si>
  <si>
    <t>73739</t>
  </si>
  <si>
    <t>73998</t>
  </si>
  <si>
    <t>Other (Vehicle)</t>
  </si>
  <si>
    <t>74704</t>
  </si>
  <si>
    <t>74705</t>
  </si>
  <si>
    <t>74706</t>
  </si>
  <si>
    <t>74709</t>
  </si>
  <si>
    <t>75704</t>
  </si>
  <si>
    <t>75705</t>
  </si>
  <si>
    <t>75706</t>
  </si>
  <si>
    <t>75709</t>
  </si>
  <si>
    <t>76701</t>
  </si>
  <si>
    <t>76702</t>
  </si>
  <si>
    <t>76703</t>
  </si>
  <si>
    <t>76704</t>
  </si>
  <si>
    <t>76705</t>
  </si>
  <si>
    <t>76706</t>
  </si>
  <si>
    <t>76709</t>
  </si>
  <si>
    <t>76731</t>
  </si>
  <si>
    <t>76732</t>
  </si>
  <si>
    <t>76733</t>
  </si>
  <si>
    <t>76734</t>
  </si>
  <si>
    <t>76739</t>
  </si>
  <si>
    <t>76998</t>
  </si>
  <si>
    <t>77706</t>
  </si>
  <si>
    <t>77709</t>
  </si>
  <si>
    <t>77998</t>
  </si>
  <si>
    <t>80850</t>
  </si>
  <si>
    <t>80881</t>
  </si>
  <si>
    <t>80882</t>
  </si>
  <si>
    <t>80883</t>
  </si>
  <si>
    <t>80884</t>
  </si>
  <si>
    <t>80890</t>
  </si>
  <si>
    <t>80898</t>
  </si>
  <si>
    <t>80981</t>
  </si>
  <si>
    <t>80982</t>
  </si>
  <si>
    <t>80983</t>
  </si>
  <si>
    <t>80988</t>
  </si>
  <si>
    <t>80989</t>
  </si>
  <si>
    <t>80998</t>
  </si>
  <si>
    <t>80999</t>
  </si>
  <si>
    <t>Unknown (BROCKWAY)</t>
  </si>
  <si>
    <t>81850</t>
  </si>
  <si>
    <t>81881</t>
  </si>
  <si>
    <t>81882</t>
  </si>
  <si>
    <t>81883</t>
  </si>
  <si>
    <t>81884</t>
  </si>
  <si>
    <t>81890</t>
  </si>
  <si>
    <t>81898</t>
  </si>
  <si>
    <t>81981</t>
  </si>
  <si>
    <t>81982</t>
  </si>
  <si>
    <t>81983</t>
  </si>
  <si>
    <t>81988</t>
  </si>
  <si>
    <t>81989</t>
  </si>
  <si>
    <t>81998</t>
  </si>
  <si>
    <t>81999</t>
  </si>
  <si>
    <t>Unknown (DIAMOND REO or REO)</t>
  </si>
  <si>
    <t>82461</t>
  </si>
  <si>
    <t>Sprinter/Advantage</t>
  </si>
  <si>
    <t>82462</t>
  </si>
  <si>
    <t>MT 35 Chassis</t>
  </si>
  <si>
    <t>82498</t>
  </si>
  <si>
    <t>82499</t>
  </si>
  <si>
    <t>82850</t>
  </si>
  <si>
    <t>82870</t>
  </si>
  <si>
    <t>Medium Heavy Van-Based Vehicle</t>
  </si>
  <si>
    <t>82881</t>
  </si>
  <si>
    <t>82882</t>
  </si>
  <si>
    <t>82883</t>
  </si>
  <si>
    <t>82884</t>
  </si>
  <si>
    <t>82890</t>
  </si>
  <si>
    <t>82898</t>
  </si>
  <si>
    <t>82981</t>
  </si>
  <si>
    <t>82982</t>
  </si>
  <si>
    <t>82983</t>
  </si>
  <si>
    <t>82988</t>
  </si>
  <si>
    <t>82989</t>
  </si>
  <si>
    <t>82998</t>
  </si>
  <si>
    <t>82999</t>
  </si>
  <si>
    <t xml:space="preserve">Unknown (FREIGHTLINER)   </t>
  </si>
  <si>
    <t>83850</t>
  </si>
  <si>
    <t>83881</t>
  </si>
  <si>
    <t>83882</t>
  </si>
  <si>
    <t>83883</t>
  </si>
  <si>
    <t>83884</t>
  </si>
  <si>
    <t>83890</t>
  </si>
  <si>
    <t>83898</t>
  </si>
  <si>
    <t>83981</t>
  </si>
  <si>
    <t>83982</t>
  </si>
  <si>
    <t>83983</t>
  </si>
  <si>
    <t>83988</t>
  </si>
  <si>
    <t>83989</t>
  </si>
  <si>
    <t>83998</t>
  </si>
  <si>
    <t>83999</t>
  </si>
  <si>
    <t xml:space="preserve">Unknown (FWD) </t>
  </si>
  <si>
    <t>84421</t>
  </si>
  <si>
    <t>Scout</t>
  </si>
  <si>
    <t>84431</t>
  </si>
  <si>
    <t>Travelall</t>
  </si>
  <si>
    <t>84466</t>
  </si>
  <si>
    <t>Multistop Van</t>
  </si>
  <si>
    <t>84481</t>
  </si>
  <si>
    <t>84498</t>
  </si>
  <si>
    <t>84499</t>
  </si>
  <si>
    <t>84850</t>
  </si>
  <si>
    <t>84881</t>
  </si>
  <si>
    <t>84882</t>
  </si>
  <si>
    <t>84883</t>
  </si>
  <si>
    <t>84884</t>
  </si>
  <si>
    <t>84890</t>
  </si>
  <si>
    <t>84898</t>
  </si>
  <si>
    <t xml:space="preserve">Other (medium/heavy  truck) </t>
  </si>
  <si>
    <t>84981</t>
  </si>
  <si>
    <t>84982</t>
  </si>
  <si>
    <t>84983</t>
  </si>
  <si>
    <t>84988</t>
  </si>
  <si>
    <t>84989</t>
  </si>
  <si>
    <t>84998</t>
  </si>
  <si>
    <t>84999</t>
  </si>
  <si>
    <t xml:space="preserve">Unknown (INTL. HARVESTER/ NAVISTAR) </t>
  </si>
  <si>
    <t>85850</t>
  </si>
  <si>
    <t>85881</t>
  </si>
  <si>
    <t>85882</t>
  </si>
  <si>
    <t>85883</t>
  </si>
  <si>
    <t>85884</t>
  </si>
  <si>
    <t>85890</t>
  </si>
  <si>
    <t>85898</t>
  </si>
  <si>
    <t>85981</t>
  </si>
  <si>
    <t>85982</t>
  </si>
  <si>
    <t>85983</t>
  </si>
  <si>
    <t>85988</t>
  </si>
  <si>
    <t>85989</t>
  </si>
  <si>
    <t>85998</t>
  </si>
  <si>
    <t>85999</t>
  </si>
  <si>
    <t xml:space="preserve">Unknown (KENWORTH) </t>
  </si>
  <si>
    <t>86850</t>
  </si>
  <si>
    <t>86881</t>
  </si>
  <si>
    <t>86882</t>
  </si>
  <si>
    <t>86883</t>
  </si>
  <si>
    <t>86884</t>
  </si>
  <si>
    <t>86890</t>
  </si>
  <si>
    <t>86898</t>
  </si>
  <si>
    <t>86981</t>
  </si>
  <si>
    <t>86982</t>
  </si>
  <si>
    <t>86983</t>
  </si>
  <si>
    <t>86988</t>
  </si>
  <si>
    <t>86989</t>
  </si>
  <si>
    <t>86998</t>
  </si>
  <si>
    <t>86999</t>
  </si>
  <si>
    <t xml:space="preserve">Unknown (MACK) </t>
  </si>
  <si>
    <t>87850</t>
  </si>
  <si>
    <t>87881</t>
  </si>
  <si>
    <t>87882</t>
  </si>
  <si>
    <t>87883</t>
  </si>
  <si>
    <t>87884</t>
  </si>
  <si>
    <t>87890</t>
  </si>
  <si>
    <t>87898</t>
  </si>
  <si>
    <t>87981</t>
  </si>
  <si>
    <t>87982</t>
  </si>
  <si>
    <t>87983</t>
  </si>
  <si>
    <t>87988</t>
  </si>
  <si>
    <t>87989</t>
  </si>
  <si>
    <t>87998</t>
  </si>
  <si>
    <t>87999</t>
  </si>
  <si>
    <t xml:space="preserve">Unknown (PETERBILT) </t>
  </si>
  <si>
    <t>88850</t>
  </si>
  <si>
    <t>88881</t>
  </si>
  <si>
    <t>88882</t>
  </si>
  <si>
    <t>88883</t>
  </si>
  <si>
    <t>88884</t>
  </si>
  <si>
    <t>88890</t>
  </si>
  <si>
    <t>88898</t>
  </si>
  <si>
    <t>88981</t>
  </si>
  <si>
    <t>88982</t>
  </si>
  <si>
    <t>88983</t>
  </si>
  <si>
    <t>88988</t>
  </si>
  <si>
    <t>88989</t>
  </si>
  <si>
    <t>88998</t>
  </si>
  <si>
    <t>88999</t>
  </si>
  <si>
    <t>Unknown (IVECO/MAGIRUS)</t>
  </si>
  <si>
    <t>89850</t>
  </si>
  <si>
    <t>89881</t>
  </si>
  <si>
    <t>89882</t>
  </si>
  <si>
    <t>89883</t>
  </si>
  <si>
    <t>89884</t>
  </si>
  <si>
    <t>89890</t>
  </si>
  <si>
    <t>89898</t>
  </si>
  <si>
    <t>89981</t>
  </si>
  <si>
    <t>89982</t>
  </si>
  <si>
    <t>89983</t>
  </si>
  <si>
    <t>89988</t>
  </si>
  <si>
    <t>89989</t>
  </si>
  <si>
    <t>89998</t>
  </si>
  <si>
    <t>89999</t>
  </si>
  <si>
    <t>Unknown (WHITE/AUTOCAR-WHITE/GMC)</t>
  </si>
  <si>
    <t>90461</t>
  </si>
  <si>
    <t>Van Based</t>
  </si>
  <si>
    <t>90981</t>
  </si>
  <si>
    <t>90982</t>
  </si>
  <si>
    <t>90983</t>
  </si>
  <si>
    <t>90988</t>
  </si>
  <si>
    <t xml:space="preserve">Other (bus)  Other (bus) </t>
  </si>
  <si>
    <t>90989</t>
  </si>
  <si>
    <t>90999</t>
  </si>
  <si>
    <t>Unknown (BLUEBIRD)</t>
  </si>
  <si>
    <t>91981</t>
  </si>
  <si>
    <t>91982</t>
  </si>
  <si>
    <t>91983</t>
  </si>
  <si>
    <t>92981</t>
  </si>
  <si>
    <t>92982</t>
  </si>
  <si>
    <t>92983</t>
  </si>
  <si>
    <t>92988</t>
  </si>
  <si>
    <t>92989</t>
  </si>
  <si>
    <t>93981</t>
  </si>
  <si>
    <t>93982</t>
  </si>
  <si>
    <t>93983</t>
  </si>
  <si>
    <t>93988</t>
  </si>
  <si>
    <t>93989</t>
  </si>
  <si>
    <t>94461</t>
  </si>
  <si>
    <t>94981</t>
  </si>
  <si>
    <t>94982</t>
  </si>
  <si>
    <t>94983</t>
  </si>
  <si>
    <t>94988</t>
  </si>
  <si>
    <t>94989</t>
  </si>
  <si>
    <t xml:space="preserve">LIGHT TRUCKS  Unknown (bus) </t>
  </si>
  <si>
    <t>94999</t>
  </si>
  <si>
    <t xml:space="preserve">Unknown (THOMAS BUILT)   </t>
  </si>
  <si>
    <t>98301</t>
  </si>
  <si>
    <t>Think</t>
  </si>
  <si>
    <t>98302</t>
  </si>
  <si>
    <t>Meyers Motor</t>
  </si>
  <si>
    <t>98398</t>
  </si>
  <si>
    <t>98498</t>
  </si>
  <si>
    <t>98598</t>
  </si>
  <si>
    <t>Other (LSV/NEV)</t>
  </si>
  <si>
    <t>98701</t>
  </si>
  <si>
    <t>98702</t>
  </si>
  <si>
    <t>98703</t>
  </si>
  <si>
    <t>98704</t>
  </si>
  <si>
    <t>98705</t>
  </si>
  <si>
    <t xml:space="preserve">450-749cc </t>
  </si>
  <si>
    <t>98706</t>
  </si>
  <si>
    <t xml:space="preserve">750cc or greater </t>
  </si>
  <si>
    <t>98709</t>
  </si>
  <si>
    <t>98731</t>
  </si>
  <si>
    <t>98732</t>
  </si>
  <si>
    <t>98733</t>
  </si>
  <si>
    <t xml:space="preserve">125-349cc </t>
  </si>
  <si>
    <t>98734</t>
  </si>
  <si>
    <t xml:space="preserve">350cc or greater </t>
  </si>
  <si>
    <t>98739</t>
  </si>
  <si>
    <t>98802</t>
  </si>
  <si>
    <t xml:space="preserve">Auto-Union-DKW </t>
  </si>
  <si>
    <t>98803</t>
  </si>
  <si>
    <t xml:space="preserve">Divco </t>
  </si>
  <si>
    <t>98804</t>
  </si>
  <si>
    <t xml:space="preserve">Western Star </t>
  </si>
  <si>
    <t>98805</t>
  </si>
  <si>
    <t xml:space="preserve">Oshkosh </t>
  </si>
  <si>
    <t>98806</t>
  </si>
  <si>
    <t xml:space="preserve">Hino </t>
  </si>
  <si>
    <t>98807</t>
  </si>
  <si>
    <t xml:space="preserve">Scania </t>
  </si>
  <si>
    <t>98808</t>
  </si>
  <si>
    <t>UD</t>
  </si>
  <si>
    <t>98809</t>
  </si>
  <si>
    <t xml:space="preserve">Sterling </t>
  </si>
  <si>
    <t>98850</t>
  </si>
  <si>
    <t xml:space="preserve">Motor Home </t>
  </si>
  <si>
    <t>98870</t>
  </si>
  <si>
    <t>Medium/Heavy Van- Based Vehicle</t>
  </si>
  <si>
    <t>98881</t>
  </si>
  <si>
    <t xml:space="preserve">Medium/Heavy Â­ CBE </t>
  </si>
  <si>
    <t>98882</t>
  </si>
  <si>
    <t xml:space="preserve">Medium/Heavy Â­ COE  low entry </t>
  </si>
  <si>
    <t>98883</t>
  </si>
  <si>
    <t xml:space="preserve">Medium/Heavy Â­ COE  high entry </t>
  </si>
  <si>
    <t>98884</t>
  </si>
  <si>
    <t>Medium/Heavy Â­ Unknown engine  location</t>
  </si>
  <si>
    <t>98890</t>
  </si>
  <si>
    <t>98898</t>
  </si>
  <si>
    <t>Other (medium/heavy e.g., Marmon, Ward LaFrance truck)**</t>
  </si>
  <si>
    <t>98902</t>
  </si>
  <si>
    <t xml:space="preserve">Neoplan   </t>
  </si>
  <si>
    <t>98903</t>
  </si>
  <si>
    <t xml:space="preserve">Carpenter   </t>
  </si>
  <si>
    <t>98904</t>
  </si>
  <si>
    <t xml:space="preserve">Collins Bus   </t>
  </si>
  <si>
    <t>98905</t>
  </si>
  <si>
    <t xml:space="preserve">DINA   </t>
  </si>
  <si>
    <t>98906</t>
  </si>
  <si>
    <t xml:space="preserve">Mid Bus   </t>
  </si>
  <si>
    <t>98907</t>
  </si>
  <si>
    <t xml:space="preserve">Orion </t>
  </si>
  <si>
    <t>98908</t>
  </si>
  <si>
    <t xml:space="preserve">Van Hool </t>
  </si>
  <si>
    <t>98981</t>
  </si>
  <si>
    <t>Bus***: Conventional (Engine out front)</t>
  </si>
  <si>
    <t>98982</t>
  </si>
  <si>
    <t>98983</t>
  </si>
  <si>
    <t>98988</t>
  </si>
  <si>
    <t>98998</t>
  </si>
  <si>
    <t>98999</t>
  </si>
  <si>
    <t>Unknown (OTHER MAKE)</t>
  </si>
  <si>
    <t>99399</t>
  </si>
  <si>
    <t>99499</t>
  </si>
  <si>
    <t xml:space="preserve">Unknown (light truck)    </t>
  </si>
  <si>
    <t>99599</t>
  </si>
  <si>
    <t>Unknown (LSV/NEV)</t>
  </si>
  <si>
    <t>99701</t>
  </si>
  <si>
    <t>99702</t>
  </si>
  <si>
    <t>99703</t>
  </si>
  <si>
    <t>99704</t>
  </si>
  <si>
    <t>99705</t>
  </si>
  <si>
    <t>99706</t>
  </si>
  <si>
    <t>99709</t>
  </si>
  <si>
    <t>99731</t>
  </si>
  <si>
    <t xml:space="preserve">0-50cc   </t>
  </si>
  <si>
    <t>99732</t>
  </si>
  <si>
    <t xml:space="preserve">51-124cc   </t>
  </si>
  <si>
    <t>99733</t>
  </si>
  <si>
    <t xml:space="preserve">125-349cc  </t>
  </si>
  <si>
    <t>99734</t>
  </si>
  <si>
    <t xml:space="preserve">350cc or greater  </t>
  </si>
  <si>
    <t>99739</t>
  </si>
  <si>
    <t xml:space="preserve">Unknown cc  </t>
  </si>
  <si>
    <t>99850</t>
  </si>
  <si>
    <t>99870</t>
  </si>
  <si>
    <t>Medium Heavy Van- Based Vehicle</t>
  </si>
  <si>
    <t>99881</t>
  </si>
  <si>
    <t xml:space="preserve">Medium/Heavy Â­ CBE   </t>
  </si>
  <si>
    <t>99882</t>
  </si>
  <si>
    <t>Medium/Heavy Â­ COE  low entry</t>
  </si>
  <si>
    <t>99883</t>
  </si>
  <si>
    <t>Medium/Heavy Â­ COE  high entry</t>
  </si>
  <si>
    <t>99884</t>
  </si>
  <si>
    <t>99890</t>
  </si>
  <si>
    <t>99898</t>
  </si>
  <si>
    <t xml:space="preserve">Other (medium/heavy truck) </t>
  </si>
  <si>
    <t>99981</t>
  </si>
  <si>
    <t>Bus**: Conventional (Engine out front)</t>
  </si>
  <si>
    <t>99982</t>
  </si>
  <si>
    <t xml:space="preserve">Bus: Front engine. Flat front </t>
  </si>
  <si>
    <t>99983</t>
  </si>
  <si>
    <t xml:space="preserve">Bus: Rear engine, Flat front </t>
  </si>
  <si>
    <t>99988</t>
  </si>
  <si>
    <t>99989</t>
  </si>
  <si>
    <t>99997</t>
  </si>
  <si>
    <t>99998</t>
  </si>
  <si>
    <t>99999</t>
  </si>
  <si>
    <t>Unknown (as to automobile, motored cycle, light truck or truck)</t>
  </si>
  <si>
    <t>MSA of 1 million or more, with rail</t>
  </si>
  <si>
    <t>MSA of 1 million or more, and not in 1</t>
  </si>
  <si>
    <t>MSA less than 1 million</t>
  </si>
  <si>
    <t>Not in MSA</t>
  </si>
  <si>
    <t>In an MSA of Less than 250,000</t>
  </si>
  <si>
    <t>In an MSA of 250,000 - 499,999</t>
  </si>
  <si>
    <t>In an MSA of 500,000 - 999,999</t>
  </si>
  <si>
    <t>In an MSA or CMSA of 1,000,000 - 2,999,999</t>
  </si>
  <si>
    <t>In an MSA or CMSA of 3 million or more</t>
  </si>
  <si>
    <t>Not in MSA or CMSA</t>
  </si>
  <si>
    <t>Sales or service</t>
  </si>
  <si>
    <t>Clerical or administrative support</t>
  </si>
  <si>
    <t>Manufacturing, construction, maintenance, or farming</t>
  </si>
  <si>
    <t>Professional, managerial, or technical</t>
  </si>
  <si>
    <t xml:space="preserve">Never </t>
  </si>
  <si>
    <t>[$HE_SHE_CAP2] rarely or never [$DO_DOES2] any physical activity</t>
  </si>
  <si>
    <t>[$HE_SHE_CAP2] [$DO_DOES2] some light or moderate physical activities</t>
  </si>
  <si>
    <t>[$HE_SHE_CAP2] [$DO_DOES2] some vigorous physical activities</t>
  </si>
  <si>
    <t>Working</t>
  </si>
  <si>
    <t>Temporarily absent from a job or business</t>
  </si>
  <si>
    <t>Looking for work / unemployed</t>
  </si>
  <si>
    <t>A homemaker</t>
  </si>
  <si>
    <t>Going to school</t>
  </si>
  <si>
    <t>Retired</t>
  </si>
  <si>
    <t>Self-report</t>
  </si>
  <si>
    <t>Proxy-report</t>
  </si>
  <si>
    <t>American Indian or Alaska native</t>
  </si>
  <si>
    <t>Native Hawaiian or other Pacific islander</t>
  </si>
  <si>
    <t>MSA has rail</t>
  </si>
  <si>
    <t>MSA does not have rail, or hh not in an MSA</t>
  </si>
  <si>
    <t>Mail</t>
  </si>
  <si>
    <t>CATI</t>
  </si>
  <si>
    <t>Web</t>
  </si>
  <si>
    <t>Yes, Hispanic or Latino</t>
  </si>
  <si>
    <t>No, Not Hispanic or Latino</t>
  </si>
  <si>
    <t>Self</t>
  </si>
  <si>
    <t>Spouse/Unmarried partner</t>
  </si>
  <si>
    <t>Child</t>
  </si>
  <si>
    <t>Parent</t>
  </si>
  <si>
    <t>Brother/Sister</t>
  </si>
  <si>
    <t>Other relative</t>
  </si>
  <si>
    <t>Non-relative</t>
  </si>
  <si>
    <t xml:space="preserve">Male </t>
  </si>
  <si>
    <t xml:space="preserve">Female </t>
  </si>
  <si>
    <t>Personally sick</t>
  </si>
  <si>
    <t>Vacation or personal day</t>
  </si>
  <si>
    <t>Caretaking</t>
  </si>
  <si>
    <t xml:space="preserve">Disabled or home-bound  </t>
  </si>
  <si>
    <t>Worked at home (for pay)</t>
  </si>
  <si>
    <t>Not scheduled to work</t>
  </si>
  <si>
    <t>Worked around home (not for pay)</t>
  </si>
  <si>
    <t>Bad weather</t>
  </si>
  <si>
    <t>Out of country</t>
  </si>
  <si>
    <t>No transportation available</t>
  </si>
  <si>
    <t>No longer a household resident</t>
  </si>
  <si>
    <t>National</t>
  </si>
  <si>
    <t>Arizona Department of Transportation</t>
  </si>
  <si>
    <t>California Department of Transportation</t>
  </si>
  <si>
    <t>Des Moines Metropolitan Planning Organization</t>
  </si>
  <si>
    <t>Indian Nations Council of Governments</t>
  </si>
  <si>
    <t>Iowa Northlands Regional Council of Governments</t>
  </si>
  <si>
    <t>Maryland State Highway Administration</t>
  </si>
  <si>
    <t>North Carolina Department of Transportation</t>
  </si>
  <si>
    <t>North Central Texas Council of Governments</t>
  </si>
  <si>
    <t>New York State Department of Transportation</t>
  </si>
  <si>
    <t>South Carolina Department of Transportation</t>
  </si>
  <si>
    <t>Texas Department of Transportation</t>
  </si>
  <si>
    <t>Wisconsin Department of Transportation</t>
  </si>
  <si>
    <t>County in MSA with &gt;= 1M and Heavy Rail</t>
  </si>
  <si>
    <t>County in MSA with &gt;= 1M and no Heavy Rail</t>
  </si>
  <si>
    <t>County in MSA with &lt; 1M</t>
  </si>
  <si>
    <t>County not in MSA</t>
  </si>
  <si>
    <t>Car</t>
  </si>
  <si>
    <t>SUV</t>
  </si>
  <si>
    <t>Pickup truck</t>
  </si>
  <si>
    <t>Golf cart / Segway</t>
  </si>
  <si>
    <t>Motorcycle / Moped</t>
  </si>
  <si>
    <t>RV (motor home, ATV, snowmobile)</t>
  </si>
  <si>
    <t>School bus</t>
  </si>
  <si>
    <t>Public or Commuter bus</t>
  </si>
  <si>
    <t>Paratransit / Dial-a-ride</t>
  </si>
  <si>
    <t>Private / Charter / Tour / Shuttle bus</t>
  </si>
  <si>
    <t>City-to-city bus (Greyhound, Megabus)</t>
  </si>
  <si>
    <t>Amtrak / Commuter rail</t>
  </si>
  <si>
    <t>Subway / Elevated / Light rail / Street car</t>
  </si>
  <si>
    <t>Taxi / Limo (including Uber / Lyft)</t>
  </si>
  <si>
    <t>Rental car (Including Zipcar / Car2Go)</t>
  </si>
  <si>
    <t>Airplane</t>
  </si>
  <si>
    <t>Boat / Ferry / Water taxi</t>
  </si>
  <si>
    <t xml:space="preserve">Public or private school </t>
  </si>
  <si>
    <t>Home schooled</t>
  </si>
  <si>
    <t>Not in school</t>
  </si>
  <si>
    <t>North Central Texas Council of Governments and Texas Department of Transportation</t>
  </si>
  <si>
    <t xml:space="preserve">Bicycle </t>
  </si>
  <si>
    <t xml:space="preserve">Van </t>
  </si>
  <si>
    <t xml:space="preserve">Pickup truck </t>
  </si>
  <si>
    <t xml:space="preserve">Golf cart / Segway </t>
  </si>
  <si>
    <t xml:space="preserve">Motorcycle / Moped </t>
  </si>
  <si>
    <t xml:space="preserve">RV (motor home, ATV, snowmobile) </t>
  </si>
  <si>
    <t xml:space="preserve">School bus </t>
  </si>
  <si>
    <t xml:space="preserve">Public or commuter bus </t>
  </si>
  <si>
    <t xml:space="preserve">Private / Charter / Tour / Shuttle bus </t>
  </si>
  <si>
    <t xml:space="preserve">Subway / Elevated / Light rail / Street car </t>
  </si>
  <si>
    <t xml:space="preserve">Taxi / Limo (including Uber / Lyft) </t>
  </si>
  <si>
    <t xml:space="preserve">Airplane </t>
  </si>
  <si>
    <t xml:space="preserve">Something Else </t>
  </si>
  <si>
    <t>Close to work and home</t>
  </si>
  <si>
    <t>Fits [$YOUR_THEIR2] schedule</t>
  </si>
  <si>
    <t>Faster than driving</t>
  </si>
  <si>
    <t>Reasonable in cost</t>
  </si>
  <si>
    <t>Consistently on time</t>
  </si>
  <si>
    <t>Avoids travel stress</t>
  </si>
  <si>
    <t>Safety</t>
  </si>
  <si>
    <t>No other choices apply</t>
  </si>
  <si>
    <t>Sunday</t>
  </si>
  <si>
    <t>Monday</t>
  </si>
  <si>
    <t>Tuesday</t>
  </si>
  <si>
    <t>Wednesday</t>
  </si>
  <si>
    <t>Thursday</t>
  </si>
  <si>
    <t>Friday</t>
  </si>
  <si>
    <t>Saturday</t>
  </si>
  <si>
    <t xml:space="preserve">Car </t>
  </si>
  <si>
    <t>HBW</t>
  </si>
  <si>
    <t>Home-based trip (work)</t>
  </si>
  <si>
    <t>HBSHOP</t>
  </si>
  <si>
    <t>Home-based trip (shopping)</t>
  </si>
  <si>
    <t>NHB</t>
  </si>
  <si>
    <t>Not a home-based trip</t>
  </si>
  <si>
    <t>HBSOCREC</t>
  </si>
  <si>
    <t>Home-based trip (social/recreational)</t>
  </si>
  <si>
    <t>HBO</t>
  </si>
  <si>
    <t>Home-based trip (other)</t>
  </si>
  <si>
    <t xml:space="preserve">Paratransit / Dial-a-ride </t>
  </si>
  <si>
    <t>Subway / elevated / light rail / street car</t>
  </si>
  <si>
    <t>Taxi / limo (including Uber / Lyft)</t>
  </si>
  <si>
    <t xml:space="preserve">Boat / ferry / water taxi </t>
  </si>
  <si>
    <t>In an urban area</t>
  </si>
  <si>
    <t>In an Urban cluster</t>
  </si>
  <si>
    <t>In an area surrounded by urban areas</t>
  </si>
  <si>
    <t>Not in urban area</t>
  </si>
  <si>
    <t>50,000 - 199,999</t>
  </si>
  <si>
    <t>200,000 - 499,999</t>
  </si>
  <si>
    <t>500,000 - 999,999</t>
  </si>
  <si>
    <t>1 million or more without heavy rail</t>
  </si>
  <si>
    <t>1 million or more with heavy rail</t>
  </si>
  <si>
    <t>Not in an urbanized area</t>
  </si>
  <si>
    <t>Urban</t>
  </si>
  <si>
    <t>Rural</t>
  </si>
  <si>
    <t>[$VEHNAME:R1]</t>
  </si>
  <si>
    <t>[$VEHNAME:R2]</t>
  </si>
  <si>
    <t>[$VEHNAME:R3]</t>
  </si>
  <si>
    <t>[$VEHNAME:R4]</t>
  </si>
  <si>
    <t>[$VEHNAME:R5]</t>
  </si>
  <si>
    <t>[$VEHNAME:R6]</t>
  </si>
  <si>
    <t>[$VEHNAME:R7]</t>
  </si>
  <si>
    <t>[$VEHNAME:R8]</t>
  </si>
  <si>
    <t>[$VEHNAME:R9]</t>
  </si>
  <si>
    <t>[$VEHNAME:R10]</t>
  </si>
  <si>
    <t>[$VEHNAME:R11]</t>
  </si>
  <si>
    <t>[$VEHNAME:R12]</t>
  </si>
  <si>
    <t>Non-Household vehicle</t>
  </si>
  <si>
    <t>More than 20,000 miles</t>
  </si>
  <si>
    <t>Automobile/Car/Station Wagon</t>
  </si>
  <si>
    <t>Van (Mini/Cargo/Passenger)</t>
  </si>
  <si>
    <t>SUV (Santa Fe, Tahoe, Jeep, etc.)</t>
  </si>
  <si>
    <t>Pickup Truck</t>
  </si>
  <si>
    <t>Other Truck</t>
  </si>
  <si>
    <t>RV (Recreational Vehicle)</t>
  </si>
  <si>
    <t>Motorcycle/Motorbike</t>
  </si>
  <si>
    <t xml:space="preserve">Neither Agreeor Disagree </t>
  </si>
  <si>
    <t>Street crossings are unsafe</t>
  </si>
  <si>
    <t>A few times a month</t>
  </si>
  <si>
    <t>A few times a year</t>
  </si>
  <si>
    <t xml:space="preserve">[$FNAME:R1] </t>
  </si>
  <si>
    <t>Someone else</t>
  </si>
  <si>
    <t>1. Regular home activities (chores, sleep)</t>
  </si>
  <si>
    <t>2. Work from home (paid)</t>
  </si>
  <si>
    <t xml:space="preserve">3. Work </t>
  </si>
  <si>
    <t>4. Work-related meeting / trip</t>
  </si>
  <si>
    <t>5. Volunteer activities (not paid)</t>
  </si>
  <si>
    <t>6. Drop off /pick up someone</t>
  </si>
  <si>
    <t>7. Change type of transportation</t>
  </si>
  <si>
    <t>8. Attend school as a student</t>
  </si>
  <si>
    <t>9. Attend child care</t>
  </si>
  <si>
    <t xml:space="preserve">10. Attend adult care </t>
  </si>
  <si>
    <t>11. Buy goods (groceries, clothes, appliances, gas)</t>
  </si>
  <si>
    <t>12. Buy services (dry cleaners, banking, service a car, pet care)</t>
  </si>
  <si>
    <t>13. Buy meals (go out for a meal, snack, carry-out)</t>
  </si>
  <si>
    <t>14. Other general errands (post office, library)</t>
  </si>
  <si>
    <t>15. Recreational activities (visit parks, movies, bars, museums)</t>
  </si>
  <si>
    <t>16. Exercise (go for a jog, walk, walk the dog, go to the gym)</t>
  </si>
  <si>
    <t>17. Visit friends or relatives</t>
  </si>
  <si>
    <t>18. Health care visit (medical, dental, therapy)</t>
  </si>
  <si>
    <t>19. Religious or other community activities</t>
  </si>
  <si>
    <t>Home</t>
  </si>
  <si>
    <t xml:space="preserve">School/Daycare/Religious activity </t>
  </si>
  <si>
    <t xml:space="preserve">Medical/Dental services </t>
  </si>
  <si>
    <t xml:space="preserve">Shopping/Errands </t>
  </si>
  <si>
    <t xml:space="preserve">Social/Recreational </t>
  </si>
  <si>
    <t>Family personal business/Obligations</t>
  </si>
  <si>
    <t xml:space="preserve">Transport someone </t>
  </si>
  <si>
    <t>Meals</t>
  </si>
  <si>
    <t xml:space="preserve">To/From Work </t>
  </si>
  <si>
    <t xml:space="preserve">Work-Related Business 	</t>
  </si>
  <si>
    <t xml:space="preserve">Shopping </t>
  </si>
  <si>
    <t>Other Family/Personal Business</t>
  </si>
  <si>
    <t xml:space="preserve">School/Church </t>
  </si>
  <si>
    <t xml:space="preserve">Medical/Dentral </t>
  </si>
  <si>
    <t xml:space="preserve">Visit Friends/Relatives </t>
  </si>
  <si>
    <t xml:space="preserve">Other Social/Recreational </t>
  </si>
  <si>
    <t>Refused / Don't Know</t>
  </si>
  <si>
    <t>Blocks</t>
  </si>
  <si>
    <t>Miles</t>
  </si>
  <si>
    <t>Full-time</t>
  </si>
  <si>
    <t>Part-time</t>
  </si>
  <si>
    <t>Same schedule every week</t>
  </si>
  <si>
    <t>Different schedule from week to week</t>
  </si>
  <si>
    <t>Schedule changes once in a while</t>
  </si>
  <si>
    <t xml:space="preserve">City-to-city bus (Greyhound, Megabus) </t>
  </si>
  <si>
    <t>Less than 5 years ago</t>
  </si>
  <si>
    <t>5 to 10 years ago</t>
  </si>
  <si>
    <t>More than 10 years ago</t>
  </si>
  <si>
    <t>DESCRIPTION</t>
  </si>
  <si>
    <t>KEY VARIABLES</t>
  </si>
  <si>
    <t>MERGE RELATIONSHIPS</t>
  </si>
  <si>
    <t>A record in this table represents a household unit that had all of its residents aged 5+ complete all portions of the survey.</t>
  </si>
  <si>
    <t>PERSON (HOUSEID) 
VEHICLE (HOUSEID) 
TRIP (HOUSEID) 
LOCATION (HOUSEID)</t>
  </si>
  <si>
    <t>A record in this table represents an individual household member. Households were instructed to list all persons living in the household. Persons were ordered by the household member that initially responded to the survey invitation.</t>
  </si>
  <si>
    <t>HOUSEID, PERSONID</t>
  </si>
  <si>
    <t>HOUSEHOLD (HOUSEID) 
VEHICLE (HOUSEID, PERSONID = WHOMAIN) 
TRIP (HOUSEID, PERSONID) 
TRIP (HOUSEID, PERSONID = WHODROVE) 
LOCATION (HOUSEID, PERSONID)</t>
  </si>
  <si>
    <t>A record in this table represents a household vehicle. Participants were asked to list any vehicle that a household person owned, leased or had available for regular use, including motorcycles, mopeds and RVs.</t>
  </si>
  <si>
    <t>HOUSEID, VEHID</t>
  </si>
  <si>
    <t>HOUSEHOLD (HOUSEID) 
PERSON (HOUSEID, WHOMAIN = PERSONID) 
TRIP (HOUSEID, VEHID) 
LOCATION (HOUSEID)</t>
  </si>
  <si>
    <t>A record in this table represents a trip that was reported individually by a household person for the household's instructed travel date. For the travel day survey portion, participants were asked to report all locations they went to from 4am to 3:59am the next day, regardless of how long they were there, including trips that may have started and ended at the same location, like walk or bicycle trips for exercise.</t>
  </si>
  <si>
    <t>HOUSEID, PERSONID, TDTRPNUM</t>
  </si>
  <si>
    <t>HOUSEHOLD (HOUSEID) 
PERSON (HOUSEID, PERSONID) 
PERSON (HOUSEID, WHODROVE = PERSONID) 
VEHICLE (HOUSEID, VEHID) 
LOCATION (HOUSEID, LOCNO)</t>
  </si>
  <si>
    <t>A record in this table represents a place location reported at any level of the household. Every household has a home location record. Every person that is a student or worker has a location record. Every trip has a location record.</t>
  </si>
  <si>
    <t>HOUSEID, LOCNO</t>
  </si>
  <si>
    <t>HOUSEHOLD (HOUSEID) 
PERSON (HOUSEID, PERSONID) 
TRIP (HOUSEID, LOCNO)</t>
  </si>
  <si>
    <t>HOUSEHOLD_WEIGHTS_7DAY</t>
  </si>
  <si>
    <t>This table contains the weights and related factors required for generating household level population estimates.</t>
  </si>
  <si>
    <t>HOUSEHOLD (HOUSEID)</t>
  </si>
  <si>
    <t>PERSON_WEIGHTS_7DAY</t>
  </si>
  <si>
    <t>This table contains the weights and related factors required for generating person level population estimates.</t>
  </si>
  <si>
    <t>PERSON (HOUSEID, PERSONID)</t>
  </si>
  <si>
    <t>HOUSEHOLD_WEIGHTS_5DAY</t>
  </si>
  <si>
    <t>This table contains the weights and related factors required for generating weekday household level population estimates.</t>
  </si>
  <si>
    <t>PERSON_WEIGHTS_5DAY</t>
  </si>
  <si>
    <t>This table contains the weights and related factors required for generating weekday person level population estimates.</t>
  </si>
  <si>
    <t>Tables</t>
  </si>
  <si>
    <t>TABLE NAME</t>
  </si>
  <si>
    <t>GEOGADJCELL</t>
  </si>
  <si>
    <t>Geographic adjustment cell for all weighting stages</t>
  </si>
  <si>
    <t>HH_5D_RAKETRIMFAC</t>
  </si>
  <si>
    <t>Rake-trim final factor</t>
  </si>
  <si>
    <t>HOLIDAY5D_FLAG</t>
  </si>
  <si>
    <t>Holiday flag used in five-day weighting and analysis</t>
  </si>
  <si>
    <t>Household identifier</t>
  </si>
  <si>
    <t>JKCOEFS</t>
  </si>
  <si>
    <t>Jackknife coefficients for variance estimation</t>
  </si>
  <si>
    <t>NHTSBWT0</t>
  </si>
  <si>
    <t>Sample base weight</t>
  </si>
  <si>
    <t>POSTTRIM5D_FLAG</t>
  </si>
  <si>
    <t>Post-rake trimmed-weight flag</t>
  </si>
  <si>
    <t>PRETRIM5D_FLAG</t>
  </si>
  <si>
    <t>Pre-rake trimmed-weight flag</t>
  </si>
  <si>
    <t>PRETRIMHH5D_FAC</t>
  </si>
  <si>
    <t>Pre-rake trimmed factor</t>
  </si>
  <si>
    <t>RECFACTOR</t>
  </si>
  <si>
    <t>Recruitment nonresponse adjusted factor</t>
  </si>
  <si>
    <t>RETFACTOR</t>
  </si>
  <si>
    <t>Retrieval nonresponse adjusted factor</t>
  </si>
  <si>
    <t>UEFACTOR_F</t>
  </si>
  <si>
    <t>Unknown eligibility adjustment factor, always 1</t>
  </si>
  <si>
    <t>VARSTRAT</t>
  </si>
  <si>
    <t>Stratum for Taylor series estimation</t>
  </si>
  <si>
    <t>VARUNIT</t>
  </si>
  <si>
    <t>Variance unit for Taylor series estimation (cluster)</t>
  </si>
  <si>
    <t>WTHHFIN5D</t>
  </si>
  <si>
    <t>Final five-day household weight</t>
  </si>
  <si>
    <t>WTHHFIN5D*</t>
  </si>
  <si>
    <t>Final five-day household weight replicates, 1 through 98</t>
  </si>
  <si>
    <t>HH_7D_RAKETRIMFAC</t>
  </si>
  <si>
    <t>POSTTRIM7D_FLAG</t>
  </si>
  <si>
    <t>PRETRIM7D_FLAG</t>
  </si>
  <si>
    <t>PRETRIMHH7D_FAC</t>
  </si>
  <si>
    <t>WTHHFIN</t>
  </si>
  <si>
    <t>Final household weight</t>
  </si>
  <si>
    <t>WTHHFIN*</t>
  </si>
  <si>
    <t>Final household weight replicates, 1 through 98</t>
  </si>
  <si>
    <t>Person identifier</t>
  </si>
  <si>
    <t>PPOSTTRIM5D_FLAG</t>
  </si>
  <si>
    <t>PPRETRIM5D_FLAG</t>
  </si>
  <si>
    <t>PRETRIMPP5D_FAC</t>
  </si>
  <si>
    <t>PS_5D_RAKETRIMFAC</t>
  </si>
  <si>
    <t>WTPERFIN5D</t>
  </si>
  <si>
    <t>Final five-day person weight</t>
  </si>
  <si>
    <t>WTPERFIN5D*</t>
  </si>
  <si>
    <t>Final five-day person weight replicates, 1 through 98</t>
  </si>
  <si>
    <t>WTTRDFIN5D</t>
  </si>
  <si>
    <t>Final five-day trip weight</t>
  </si>
  <si>
    <t>WTTRDFIN5D*</t>
  </si>
  <si>
    <t>Final five-day trip weight replicates, 1 through 98</t>
  </si>
  <si>
    <t>PPOSTTRIM7D_FLAG</t>
  </si>
  <si>
    <t>PPRETRIM7D_FLAG</t>
  </si>
  <si>
    <t>PRETRIMPP7D_FAC</t>
  </si>
  <si>
    <t>PS_7D_RAKETRIMFAC</t>
  </si>
  <si>
    <t>WTPERFIN</t>
  </si>
  <si>
    <t>Final person weight</t>
  </si>
  <si>
    <t>WTPERFIN*</t>
  </si>
  <si>
    <t>Final person weight replicates, 1 through 98</t>
  </si>
  <si>
    <t>WTTRDFIN</t>
  </si>
  <si>
    <t>Final trip weight</t>
  </si>
  <si>
    <t>WTTRDFIN*</t>
  </si>
  <si>
    <t>Final trip weight replicates, 1 through 98</t>
  </si>
  <si>
    <t>Variables</t>
  </si>
  <si>
    <t>Sample Size</t>
  </si>
  <si>
    <t>Estimate</t>
  </si>
  <si>
    <t>SE</t>
  </si>
  <si>
    <t>Estimate (%)</t>
  </si>
  <si>
    <t>SE (%)</t>
  </si>
  <si>
    <t>-</t>
  </si>
  <si>
    <t>Responses</t>
  </si>
  <si>
    <t>Total</t>
  </si>
  <si>
    <t>1</t>
  </si>
  <si>
    <t>3</t>
  </si>
  <si>
    <t>2</t>
  </si>
  <si>
    <t>5</t>
  </si>
  <si>
    <t>4</t>
  </si>
  <si>
    <t>7</t>
  </si>
  <si>
    <t>6</t>
  </si>
  <si>
    <t>8</t>
  </si>
  <si>
    <t>9</t>
  </si>
  <si>
    <t>106</t>
  </si>
  <si>
    <t>68</t>
  </si>
  <si>
    <t>120</t>
  </si>
  <si>
    <t>78</t>
  </si>
  <si>
    <t>234</t>
  </si>
  <si>
    <t>178</t>
  </si>
  <si>
    <t>79</t>
  </si>
  <si>
    <t>238</t>
  </si>
  <si>
    <t>US/EASTERN</t>
  </si>
  <si>
    <t>LIVE WITH RELATIVE/ FRIEND/ PARTNER</t>
  </si>
  <si>
    <t>PROVIDED BY EMPLOYER</t>
  </si>
  <si>
    <t>COOPERATIVE</t>
  </si>
  <si>
    <t>OWN HOME, RENT LOT</t>
  </si>
  <si>
    <t>TELEPHONE</t>
  </si>
  <si>
    <t>SMART TV</t>
  </si>
  <si>
    <t>GAME DEVICE</t>
  </si>
  <si>
    <t>TV MEDIA BOX</t>
  </si>
  <si>
    <t>SMART WATCH</t>
  </si>
  <si>
    <t>IPAD</t>
  </si>
  <si>
    <t>INTERNET ACCESS LOCATIONS</t>
  </si>
  <si>
    <t>KINDLE</t>
  </si>
  <si>
    <t>CELL PHONE</t>
  </si>
  <si>
    <t>GPS DEVICE</t>
  </si>
  <si>
    <t>OFFICE EQUIPMENT</t>
  </si>
  <si>
    <t>VIRTUAL ASSISTANT DEVICE</t>
  </si>
  <si>
    <t>PORTABLE MEDIA DEVICES</t>
  </si>
  <si>
    <t>ANDROID</t>
  </si>
  <si>
    <t>ECHO DOT</t>
  </si>
  <si>
    <t>IPHONE</t>
  </si>
  <si>
    <t>ROKU, XBOX, WII</t>
  </si>
  <si>
    <t>KIDS GAME 3DS</t>
  </si>
  <si>
    <t>LAPTOP FOR WRITING</t>
  </si>
  <si>
    <t>I PAD</t>
  </si>
  <si>
    <t>DO NOT HAVE COMPUTER</t>
  </si>
  <si>
    <t>ANDROID PHONE</t>
  </si>
  <si>
    <t>OLD DUMB CELL PHONE</t>
  </si>
  <si>
    <t>WALMART - LIBRARY</t>
  </si>
  <si>
    <t>TV DAILY</t>
  </si>
  <si>
    <t>NONE</t>
  </si>
  <si>
    <t>I DO NOT GO ONLINE</t>
  </si>
  <si>
    <t>PHONE</t>
  </si>
  <si>
    <t>LAPTOP</t>
  </si>
  <si>
    <t>GRANDSON SMARTPHONE</t>
  </si>
  <si>
    <t>LIFELINE PHONE</t>
  </si>
  <si>
    <t>Kindle</t>
  </si>
  <si>
    <t>NO COMPUTER</t>
  </si>
  <si>
    <t>TABLET</t>
  </si>
  <si>
    <t>work phone/tablet</t>
  </si>
  <si>
    <t>CELLPHONE</t>
  </si>
  <si>
    <t>REGULAR CELL PHONE</t>
  </si>
  <si>
    <t>GET HELP FROM FAMILY</t>
  </si>
  <si>
    <t>KINDLE (E-BOOK READER)</t>
  </si>
  <si>
    <t>HOME TELEPHONE</t>
  </si>
  <si>
    <t>HAVE NO INTERNET</t>
  </si>
  <si>
    <t>FRIEND/FAMILY</t>
  </si>
  <si>
    <t>LG</t>
  </si>
  <si>
    <t>KINDLE FIRE</t>
  </si>
  <si>
    <t>2nd tablet</t>
  </si>
  <si>
    <t>NOOK</t>
  </si>
  <si>
    <t>LAP TOP</t>
  </si>
  <si>
    <t>DO NOT OWN ONE</t>
  </si>
  <si>
    <t>IN-CAR COMPUTER</t>
  </si>
  <si>
    <t>FLIP PHONE</t>
  </si>
  <si>
    <t>smart tv</t>
  </si>
  <si>
    <t>NO LAPTOP</t>
  </si>
  <si>
    <t>DO NOT HAVE</t>
  </si>
  <si>
    <t>TECHNO IGNORANT</t>
  </si>
  <si>
    <t>DON'T HAVE INTERNET</t>
  </si>
  <si>
    <t>KINDLE, SMART WATCH</t>
  </si>
  <si>
    <t>FIRE TV, VISIO TV</t>
  </si>
  <si>
    <t>LIBRARY COMPUTER</t>
  </si>
  <si>
    <t>LIBRARY</t>
  </si>
  <si>
    <t>TALK ON CELL/ LANDLINE</t>
  </si>
  <si>
    <t>NEVER NO COMPUTER</t>
  </si>
  <si>
    <t>NO TV - NO MICROWAVE- COMPUTER DVD PLAYER NONE</t>
  </si>
  <si>
    <t>HOUSE PHONE</t>
  </si>
  <si>
    <t>I-PAD</t>
  </si>
  <si>
    <t>DROID</t>
  </si>
  <si>
    <t>CAN'T THINK OF OTHER</t>
  </si>
  <si>
    <t>AMAZON ECHO</t>
  </si>
  <si>
    <t>FRIDGE</t>
  </si>
  <si>
    <t>C.B. RADIO</t>
  </si>
  <si>
    <t>NIA</t>
  </si>
  <si>
    <t>TOO [EXPLETIVE] POOR</t>
  </si>
  <si>
    <t>ADDRESSES ON LETTERS</t>
  </si>
  <si>
    <t>NONE OF ABOVE</t>
  </si>
  <si>
    <t>IPOD TOUCH</t>
  </si>
  <si>
    <t>COMPUTER</t>
  </si>
  <si>
    <t>REG HOUSE PHONE</t>
  </si>
  <si>
    <t>FLIP PHONE ONLY</t>
  </si>
  <si>
    <t>AMAZON KINDLE</t>
  </si>
  <si>
    <t>PLEASE NOTE - I CAN'T THINK OF ANY DEVICES AT THE MOMENT.</t>
  </si>
  <si>
    <t>PARENTS</t>
  </si>
  <si>
    <t>E-READER</t>
  </si>
  <si>
    <t>CELLAR PHONE</t>
  </si>
  <si>
    <t>I PAP</t>
  </si>
  <si>
    <t>IPHONE:</t>
  </si>
  <si>
    <t>KINDEL FIRE</t>
  </si>
  <si>
    <t>KINDLE - SMART TV</t>
  </si>
  <si>
    <t>Smart TV</t>
  </si>
  <si>
    <t>RIDE &amp; DESKTOP-SON</t>
  </si>
  <si>
    <t>FAX, PRINTER, TV, WATCH</t>
  </si>
  <si>
    <t>WORK COMPUTER</t>
  </si>
  <si>
    <t>GPS/REG CELL PHONE</t>
  </si>
  <si>
    <t>I DON'T OWN COMPUTER</t>
  </si>
  <si>
    <t>I DO NOT OWN A COMPUTER</t>
  </si>
  <si>
    <t>NO DSL OR FAST INTERNET HERE - NO CABLE IN THIS AREA</t>
  </si>
  <si>
    <t>DO NOT OWN ANY</t>
  </si>
  <si>
    <t>PAD?</t>
  </si>
  <si>
    <t>T.V.</t>
  </si>
  <si>
    <t>IPAD &amp; KENDAL</t>
  </si>
  <si>
    <t>N/A</t>
  </si>
  <si>
    <t>GA</t>
  </si>
  <si>
    <t>FL</t>
  </si>
  <si>
    <t>TN</t>
  </si>
  <si>
    <t>NY</t>
  </si>
  <si>
    <t>NJ</t>
  </si>
  <si>
    <t>IL</t>
  </si>
  <si>
    <t>AZ</t>
  </si>
  <si>
    <t>WI</t>
  </si>
  <si>
    <t>201608</t>
  </si>
  <si>
    <t>201605</t>
  </si>
  <si>
    <t>201703</t>
  </si>
  <si>
    <t>201612</t>
  </si>
  <si>
    <t>201610</t>
  </si>
  <si>
    <t>201607</t>
  </si>
  <si>
    <t>201701</t>
  </si>
  <si>
    <t>201609</t>
  </si>
  <si>
    <t>201606</t>
  </si>
  <si>
    <t>201611</t>
  </si>
  <si>
    <t>201702</t>
  </si>
  <si>
    <t>201704</t>
  </si>
  <si>
    <t>201604</t>
  </si>
  <si>
    <t>239.6</t>
  </si>
  <si>
    <t>223.0</t>
  </si>
  <si>
    <t>234.0</t>
  </si>
  <si>
    <t>240.8</t>
  </si>
  <si>
    <t>237.1</t>
  </si>
  <si>
    <t>236.6</t>
  </si>
  <si>
    <t>236.9</t>
  </si>
  <si>
    <t>230.2</t>
  </si>
  <si>
    <t>219.2</t>
  </si>
  <si>
    <t>228.4</t>
  </si>
  <si>
    <t>234.5</t>
  </si>
  <si>
    <t>235.6</t>
  </si>
  <si>
    <t>236.2</t>
  </si>
  <si>
    <t>242.6</t>
  </si>
  <si>
    <t>236.0</t>
  </si>
  <si>
    <t>229.8</t>
  </si>
  <si>
    <t>233.6</t>
  </si>
  <si>
    <t>244.0</t>
  </si>
  <si>
    <t>233.1</t>
  </si>
  <si>
    <t>247.9</t>
  </si>
  <si>
    <t>230.8</t>
  </si>
  <si>
    <t>223.5</t>
  </si>
  <si>
    <t>222.7</t>
  </si>
  <si>
    <t>218.4</t>
  </si>
  <si>
    <t>238.2</t>
  </si>
  <si>
    <t>232.4</t>
  </si>
  <si>
    <t>230.1</t>
  </si>
  <si>
    <t>228.1</t>
  </si>
  <si>
    <t>230.5</t>
  </si>
  <si>
    <t>238.3</t>
  </si>
  <si>
    <t>233.2</t>
  </si>
  <si>
    <t>214.9</t>
  </si>
  <si>
    <t>235.4</t>
  </si>
  <si>
    <t>237.7</t>
  </si>
  <si>
    <t>227.2</t>
  </si>
  <si>
    <t>225.3</t>
  </si>
  <si>
    <t>235.0</t>
  </si>
  <si>
    <t>232.8</t>
  </si>
  <si>
    <t>232.7</t>
  </si>
  <si>
    <t>217.5</t>
  </si>
  <si>
    <t>246.5</t>
  </si>
  <si>
    <t>246.9</t>
  </si>
  <si>
    <t>230.7</t>
  </si>
  <si>
    <t>219.5</t>
  </si>
  <si>
    <t>248.2</t>
  </si>
  <si>
    <t>264.9</t>
  </si>
  <si>
    <t>228.3</t>
  </si>
  <si>
    <t>223.6</t>
  </si>
  <si>
    <t>265.6</t>
  </si>
  <si>
    <t>235.8</t>
  </si>
  <si>
    <t>XXXXX</t>
  </si>
  <si>
    <t>66</t>
  </si>
  <si>
    <t>96</t>
  </si>
  <si>
    <t>PASSENGER OF UNKNOWN MODE</t>
  </si>
  <si>
    <t>No Travel Necessary</t>
  </si>
  <si>
    <t>SEMI-TRUCK</t>
  </si>
  <si>
    <t>TRUCK</t>
  </si>
  <si>
    <t>COMPANY VEHICLE</t>
  </si>
  <si>
    <t>NO TRAVEL NECESSARY</t>
  </si>
  <si>
    <t>Semi-truck</t>
  </si>
  <si>
    <t>180</t>
  </si>
  <si>
    <t>105</t>
  </si>
  <si>
    <t>240</t>
  </si>
  <si>
    <t>135</t>
  </si>
  <si>
    <t>107</t>
  </si>
  <si>
    <t>230</t>
  </si>
  <si>
    <t>450</t>
  </si>
  <si>
    <t>130</t>
  </si>
  <si>
    <t>420</t>
  </si>
  <si>
    <t>125</t>
  </si>
  <si>
    <t>210</t>
  </si>
  <si>
    <t>160</t>
  </si>
  <si>
    <t>480</t>
  </si>
  <si>
    <t>103</t>
  </si>
  <si>
    <t>270</t>
  </si>
  <si>
    <t>110</t>
  </si>
  <si>
    <t>00</t>
  </si>
  <si>
    <t>AM</t>
  </si>
  <si>
    <t>PM</t>
  </si>
  <si>
    <t>2014</t>
  </si>
  <si>
    <t>2015</t>
  </si>
  <si>
    <t>1996</t>
  </si>
  <si>
    <t>2012</t>
  </si>
  <si>
    <t>2005</t>
  </si>
  <si>
    <t>2016</t>
  </si>
  <si>
    <t>2010</t>
  </si>
  <si>
    <t>2000</t>
  </si>
  <si>
    <t>1980</t>
  </si>
  <si>
    <t>1992</t>
  </si>
  <si>
    <t>2006</t>
  </si>
  <si>
    <t>1995</t>
  </si>
  <si>
    <t>1994</t>
  </si>
  <si>
    <t>1998</t>
  </si>
  <si>
    <t>2009</t>
  </si>
  <si>
    <t>1986</t>
  </si>
  <si>
    <t>2003</t>
  </si>
  <si>
    <t>1999</t>
  </si>
  <si>
    <t>1997</t>
  </si>
  <si>
    <t>2013</t>
  </si>
  <si>
    <t>2002</t>
  </si>
  <si>
    <t>1989</t>
  </si>
  <si>
    <t>1988</t>
  </si>
  <si>
    <t>2007</t>
  </si>
  <si>
    <t>2011</t>
  </si>
  <si>
    <t>2008</t>
  </si>
  <si>
    <t>1982</t>
  </si>
  <si>
    <t>1990</t>
  </si>
  <si>
    <t>1991</t>
  </si>
  <si>
    <t>1985</t>
  </si>
  <si>
    <t>1981</t>
  </si>
  <si>
    <t>1987</t>
  </si>
  <si>
    <t>2004</t>
  </si>
  <si>
    <t>1979</t>
  </si>
  <si>
    <t>1968</t>
  </si>
  <si>
    <t>1976</t>
  </si>
  <si>
    <t>1993</t>
  </si>
  <si>
    <t>1974</t>
  </si>
  <si>
    <t>1963</t>
  </si>
  <si>
    <t>1983</t>
  </si>
  <si>
    <t>1978</t>
  </si>
  <si>
    <t>1975</t>
  </si>
  <si>
    <t>1959</t>
  </si>
  <si>
    <t>1953</t>
  </si>
  <si>
    <t>1967</t>
  </si>
  <si>
    <t>1984</t>
  </si>
  <si>
    <t>1971</t>
  </si>
  <si>
    <t>1961</t>
  </si>
  <si>
    <t>1970</t>
  </si>
  <si>
    <t>1977</t>
  </si>
  <si>
    <t>1972</t>
  </si>
  <si>
    <t>1964</t>
  </si>
  <si>
    <t>1966</t>
  </si>
  <si>
    <t>1969</t>
  </si>
  <si>
    <t>1973</t>
  </si>
  <si>
    <t>1962</t>
  </si>
  <si>
    <t>1958</t>
  </si>
  <si>
    <t>1965</t>
  </si>
  <si>
    <t>1950</t>
  </si>
  <si>
    <t>1957</t>
  </si>
  <si>
    <t>1960</t>
  </si>
  <si>
    <t>1955</t>
  </si>
  <si>
    <t>1956</t>
  </si>
  <si>
    <t>1954</t>
  </si>
  <si>
    <t>1948</t>
  </si>
  <si>
    <t>1949</t>
  </si>
  <si>
    <t>1952</t>
  </si>
  <si>
    <t>1932</t>
  </si>
  <si>
    <t>1945</t>
  </si>
  <si>
    <t>1943</t>
  </si>
  <si>
    <t>1941</t>
  </si>
  <si>
    <t>1951</t>
  </si>
  <si>
    <t>1938</t>
  </si>
  <si>
    <t>1946</t>
  </si>
  <si>
    <t>NO NEED, REASON, DESIRE, OR PLACE TO TRAVEL TO</t>
  </si>
  <si>
    <t>HOMESCHOOL</t>
  </si>
  <si>
    <t>HOSTING GUESTS</t>
  </si>
  <si>
    <t>UNEMPLOYED</t>
  </si>
  <si>
    <t>RESPONSE INDICATES TRAVEL</t>
  </si>
  <si>
    <t>RETIRED</t>
  </si>
  <si>
    <t>AGE</t>
  </si>
  <si>
    <t>WORKED FOR DURATION OF TRAVEL DAY</t>
  </si>
  <si>
    <t>FINANCIAL REASON</t>
  </si>
  <si>
    <t>INCLEMENT WEATHER</t>
  </si>
  <si>
    <t>WAITING ON GOOD OR SERVICE</t>
  </si>
  <si>
    <t>NOT ASCERTAINED</t>
  </si>
  <si>
    <t>HISPANIC</t>
  </si>
  <si>
    <t>LATINO</t>
  </si>
  <si>
    <t>MULTIRACIAL</t>
  </si>
  <si>
    <t>MEXICAN</t>
  </si>
  <si>
    <t>BROWN</t>
  </si>
  <si>
    <t>EL SALVADORIAN</t>
  </si>
  <si>
    <t>PUERTO RICAN</t>
  </si>
  <si>
    <t>AFRICAN AMERICAN, WHITE</t>
  </si>
  <si>
    <t>WHITE, MEXICAN</t>
  </si>
  <si>
    <t>AFRICAN AMERICAN, ASIAN</t>
  </si>
  <si>
    <t>COSTA RICAN</t>
  </si>
  <si>
    <t>HONDURAN</t>
  </si>
  <si>
    <t>HISPANIC OR LATINO</t>
  </si>
  <si>
    <t>HONDURAN, WHITE</t>
  </si>
  <si>
    <t>COLOMBIAN</t>
  </si>
  <si>
    <t>WHITE, NATIVE AMERICAN</t>
  </si>
  <si>
    <t>ECUADORIAN</t>
  </si>
  <si>
    <t>AFRICAN AMERICAN, WHITE, ASIAN</t>
  </si>
  <si>
    <t>PERSIAN</t>
  </si>
  <si>
    <t>LEBANESE</t>
  </si>
  <si>
    <t>IRANIAN, MIDDLE EASTERN</t>
  </si>
  <si>
    <t>AFRICAN AMERICAN, HISPANIC</t>
  </si>
  <si>
    <t>SCOTTISH, NATIVE AMERICAN</t>
  </si>
  <si>
    <t>GREEK</t>
  </si>
  <si>
    <t>BAHAMIAN MIX</t>
  </si>
  <si>
    <t>WEST INDIAN</t>
  </si>
  <si>
    <t>PORTUGUESE</t>
  </si>
  <si>
    <t>HISPANIC, WHITE</t>
  </si>
  <si>
    <t>PUERTO RICAN, AFRICAN AMERICAN</t>
  </si>
  <si>
    <t>SOUTH ASIAN</t>
  </si>
  <si>
    <t>FRENCH, SCOTCH-IRISH, ENGLISH</t>
  </si>
  <si>
    <t>INDIAN</t>
  </si>
  <si>
    <t>AFRICAN AMERICAN, BAHAMIAN</t>
  </si>
  <si>
    <t>IRISH</t>
  </si>
  <si>
    <t>EUROPEAN</t>
  </si>
  <si>
    <t>ITALIAN</t>
  </si>
  <si>
    <t>SCOTTISH</t>
  </si>
  <si>
    <t>FILIPINO</t>
  </si>
  <si>
    <t>JAMAICAN, INDIAN</t>
  </si>
  <si>
    <t>PUERTO RICAN, WHITE</t>
  </si>
  <si>
    <t>BRAZILIAN</t>
  </si>
  <si>
    <t>CARIBBEAN</t>
  </si>
  <si>
    <t>AMERICAN</t>
  </si>
  <si>
    <t>ARABIAN</t>
  </si>
  <si>
    <t>SOUTH AMERICAN</t>
  </si>
  <si>
    <t>OTHER</t>
  </si>
  <si>
    <t>FRENCH, INDIAN</t>
  </si>
  <si>
    <t>CELTIC</t>
  </si>
  <si>
    <t>NATIVE AMERICAN, IRISH, ENGLISH</t>
  </si>
  <si>
    <t>PANAMANIAN</t>
  </si>
  <si>
    <t>GERMAN, SCANDINAVIAN, RUSSIAN</t>
  </si>
  <si>
    <t>BRACE</t>
  </si>
  <si>
    <t>RESPIRATORY ASSISTANCE</t>
  </si>
  <si>
    <t>HOUSEHOLD ADAPTIVE EQUIPMENT</t>
  </si>
  <si>
    <t>PROSTHESIS</t>
  </si>
  <si>
    <t>PHYSICAL ASSISTANCE FROM OTHERS</t>
  </si>
  <si>
    <t>2017</t>
  </si>
  <si>
    <t>1927</t>
  </si>
  <si>
    <t>1900</t>
  </si>
  <si>
    <t>1930</t>
  </si>
  <si>
    <t>1935</t>
  </si>
  <si>
    <t>1910</t>
  </si>
  <si>
    <t>1933</t>
  </si>
  <si>
    <t>1931</t>
  </si>
  <si>
    <t>1925</t>
  </si>
  <si>
    <t>1924</t>
  </si>
  <si>
    <t>117</t>
  </si>
  <si>
    <t>gas or flex fuel</t>
  </si>
  <si>
    <t>hi test</t>
  </si>
  <si>
    <t>E85</t>
  </si>
  <si>
    <t>electric</t>
  </si>
  <si>
    <t>E85 and gas</t>
  </si>
  <si>
    <t>High -Tech</t>
  </si>
  <si>
    <t>High-Tech</t>
  </si>
  <si>
    <t>Mix sure of</t>
  </si>
  <si>
    <t>high octane</t>
  </si>
  <si>
    <t>NITRO BURNER</t>
  </si>
  <si>
    <t>Battery</t>
  </si>
  <si>
    <t>ATV/UTV</t>
  </si>
  <si>
    <t>Golf Cart</t>
  </si>
  <si>
    <t>golf cart</t>
  </si>
  <si>
    <t>Golf cart</t>
  </si>
  <si>
    <t>Tractor</t>
  </si>
  <si>
    <t>tractor</t>
  </si>
  <si>
    <t>GOLF CART</t>
  </si>
  <si>
    <t>Gasolins/CNG bi-fuel</t>
  </si>
  <si>
    <t>Gas/Ethanol</t>
  </si>
  <si>
    <t>1000000</t>
  </si>
  <si>
    <t>1000001</t>
  </si>
  <si>
    <t>1000002</t>
  </si>
  <si>
    <t>102</t>
  </si>
  <si>
    <t>1000003</t>
  </si>
  <si>
    <t>202</t>
  </si>
  <si>
    <t>1000004</t>
  </si>
  <si>
    <t>303</t>
  </si>
  <si>
    <t>1000005</t>
  </si>
  <si>
    <t>302</t>
  </si>
  <si>
    <t>1000006</t>
  </si>
  <si>
    <t>203</t>
  </si>
  <si>
    <t>1000007</t>
  </si>
  <si>
    <t>503</t>
  </si>
  <si>
    <t>1000008</t>
  </si>
  <si>
    <t>1000009</t>
  </si>
  <si>
    <t>402</t>
  </si>
  <si>
    <t>1000010</t>
  </si>
  <si>
    <t>1000011</t>
  </si>
  <si>
    <t>603</t>
  </si>
  <si>
    <t>1000012</t>
  </si>
  <si>
    <t>502</t>
  </si>
  <si>
    <t>1000013</t>
  </si>
  <si>
    <t>703</t>
  </si>
  <si>
    <t>1000014</t>
  </si>
  <si>
    <t>1000015</t>
  </si>
  <si>
    <t>1000016</t>
  </si>
  <si>
    <t>803</t>
  </si>
  <si>
    <t>802</t>
  </si>
  <si>
    <t>702</t>
  </si>
  <si>
    <t>602</t>
  </si>
  <si>
    <t>1000017</t>
  </si>
  <si>
    <t>1000018</t>
  </si>
  <si>
    <t>1000130</t>
  </si>
  <si>
    <t>1000131</t>
  </si>
  <si>
    <t>1000132</t>
  </si>
  <si>
    <t>SEMI TRUCK</t>
  </si>
  <si>
    <t>WHEELCHAIR/MOBILITY SCOOTER</t>
  </si>
  <si>
    <t>agriculture/construction vehicle</t>
  </si>
  <si>
    <t>BOX TRUCK</t>
  </si>
  <si>
    <t>emergency vehicle</t>
  </si>
  <si>
    <t>SCOOTER/SKATEBOARD/SKATES</t>
  </si>
  <si>
    <t>220</t>
  </si>
  <si>
    <t>250</t>
  </si>
  <si>
    <t>140</t>
  </si>
  <si>
    <t>accompany companion</t>
  </si>
  <si>
    <t>UNEXPECTED DISRUPTION</t>
  </si>
  <si>
    <t>Commute Route Home</t>
  </si>
  <si>
    <t>Commute Home - Plz Allow to plot routes via bike</t>
  </si>
  <si>
    <t>221</t>
  </si>
  <si>
    <t>201</t>
  </si>
  <si>
    <t>NO MODE - DIRECT PICK UP</t>
  </si>
  <si>
    <t>WHEELCHAIR</t>
  </si>
  <si>
    <t>No Mode - direct pick up</t>
  </si>
  <si>
    <t>NO MODE - DIRECT DROP OFF</t>
  </si>
  <si>
    <t>No Mode - direct drop off</t>
  </si>
  <si>
    <t>AK</t>
  </si>
  <si>
    <t>AL</t>
  </si>
  <si>
    <t>AR</t>
  </si>
  <si>
    <t>CA</t>
  </si>
  <si>
    <t>CO</t>
  </si>
  <si>
    <t>CT</t>
  </si>
  <si>
    <t>D.F.</t>
  </si>
  <si>
    <t>DC</t>
  </si>
  <si>
    <t>DE</t>
  </si>
  <si>
    <t>ENGLAND</t>
  </si>
  <si>
    <t>FREEPORT</t>
  </si>
  <si>
    <t>HI</t>
  </si>
  <si>
    <t>IA</t>
  </si>
  <si>
    <t>ID</t>
  </si>
  <si>
    <t>IN</t>
  </si>
  <si>
    <t>KY</t>
  </si>
  <si>
    <t>LA</t>
  </si>
  <si>
    <t>LAZIO</t>
  </si>
  <si>
    <t>LISBOA</t>
  </si>
  <si>
    <t>MA</t>
  </si>
  <si>
    <t>MD</t>
  </si>
  <si>
    <t>ME</t>
  </si>
  <si>
    <t>MH</t>
  </si>
  <si>
    <t>MI</t>
  </si>
  <si>
    <t>MN</t>
  </si>
  <si>
    <t>MO</t>
  </si>
  <si>
    <t>MS</t>
  </si>
  <si>
    <t>MT</t>
  </si>
  <si>
    <t>NC</t>
  </si>
  <si>
    <t>NCR</t>
  </si>
  <si>
    <t>NE</t>
  </si>
  <si>
    <t>NH</t>
  </si>
  <si>
    <t>NV</t>
  </si>
  <si>
    <t>OH</t>
  </si>
  <si>
    <t>OK</t>
  </si>
  <si>
    <t>OR</t>
  </si>
  <si>
    <t>PA</t>
  </si>
  <si>
    <t>PR</t>
  </si>
  <si>
    <t>REGION METROPOLITANA</t>
  </si>
  <si>
    <t>RI</t>
  </si>
  <si>
    <t>RIYADH PROVINCE</t>
  </si>
  <si>
    <t>SAN JOSE PROVINCE</t>
  </si>
  <si>
    <t>TX</t>
  </si>
  <si>
    <t>UT</t>
  </si>
  <si>
    <t>VA</t>
  </si>
  <si>
    <t>WA</t>
  </si>
  <si>
    <t>WEST GRAND BAHAMA</t>
  </si>
  <si>
    <t>WV</t>
  </si>
  <si>
    <t>BAHAMAS</t>
  </si>
  <si>
    <t>CHILE</t>
  </si>
  <si>
    <t>COSTA RICA</t>
  </si>
  <si>
    <t>GERMANY</t>
  </si>
  <si>
    <t>INDIA</t>
  </si>
  <si>
    <t>ITALY</t>
  </si>
  <si>
    <t>JAPAN</t>
  </si>
  <si>
    <t>MEXICO</t>
  </si>
  <si>
    <t>PHILIPPINES</t>
  </si>
  <si>
    <t>PORTUGAL</t>
  </si>
  <si>
    <t>PUERTO RICO</t>
  </si>
  <si>
    <t>SAUDI ARABIA</t>
  </si>
  <si>
    <t>UNITED KINGDOM</t>
  </si>
  <si>
    <t>USA</t>
  </si>
  <si>
    <t>104</t>
  </si>
  <si>
    <t>108</t>
  </si>
  <si>
    <t>142</t>
  </si>
  <si>
    <t>148</t>
  </si>
  <si>
    <t>162</t>
  </si>
  <si>
    <t>172</t>
  </si>
  <si>
    <t>174</t>
  </si>
  <si>
    <t>176</t>
  </si>
  <si>
    <t>184</t>
  </si>
  <si>
    <t>192</t>
  </si>
  <si>
    <t>194</t>
  </si>
  <si>
    <t>198</t>
  </si>
  <si>
    <t>206</t>
  </si>
  <si>
    <t>209</t>
  </si>
  <si>
    <t>216</t>
  </si>
  <si>
    <t>222</t>
  </si>
  <si>
    <t>236</t>
  </si>
  <si>
    <t>246</t>
  </si>
  <si>
    <t>264</t>
  </si>
  <si>
    <t>266</t>
  </si>
  <si>
    <t>268</t>
  </si>
  <si>
    <t>273</t>
  </si>
  <si>
    <t>276</t>
  </si>
  <si>
    <t>277</t>
  </si>
  <si>
    <t>278</t>
  </si>
  <si>
    <t>280</t>
  </si>
  <si>
    <t>294</t>
  </si>
  <si>
    <t>298</t>
  </si>
  <si>
    <t>312</t>
  </si>
  <si>
    <t>314</t>
  </si>
  <si>
    <t>320</t>
  </si>
  <si>
    <t>332</t>
  </si>
  <si>
    <t>336</t>
  </si>
  <si>
    <t>339</t>
  </si>
  <si>
    <t>340</t>
  </si>
  <si>
    <t>346</t>
  </si>
  <si>
    <t>348</t>
  </si>
  <si>
    <t>352</t>
  </si>
  <si>
    <t>356</t>
  </si>
  <si>
    <t>368</t>
  </si>
  <si>
    <t>370</t>
  </si>
  <si>
    <t>376</t>
  </si>
  <si>
    <t>378</t>
  </si>
  <si>
    <t>380</t>
  </si>
  <si>
    <t>390</t>
  </si>
  <si>
    <t>396</t>
  </si>
  <si>
    <t>406</t>
  </si>
  <si>
    <t>408</t>
  </si>
  <si>
    <t>412</t>
  </si>
  <si>
    <t>422</t>
  </si>
  <si>
    <t>424</t>
  </si>
  <si>
    <t>428</t>
  </si>
  <si>
    <t>430</t>
  </si>
  <si>
    <t>438</t>
  </si>
  <si>
    <t>440</t>
  </si>
  <si>
    <t>456</t>
  </si>
  <si>
    <t>462</t>
  </si>
  <si>
    <t>464</t>
  </si>
  <si>
    <t>468</t>
  </si>
  <si>
    <t>470</t>
  </si>
  <si>
    <t>472</t>
  </si>
  <si>
    <t>476</t>
  </si>
  <si>
    <t>482</t>
  </si>
  <si>
    <t>488</t>
  </si>
  <si>
    <t>496</t>
  </si>
  <si>
    <t>500</t>
  </si>
  <si>
    <t>518</t>
  </si>
  <si>
    <t>520</t>
  </si>
  <si>
    <t>533</t>
  </si>
  <si>
    <t>534</t>
  </si>
  <si>
    <t>536</t>
  </si>
  <si>
    <t>540</t>
  </si>
  <si>
    <t>545</t>
  </si>
  <si>
    <t>548</t>
  </si>
  <si>
    <t>566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</si>
</sst>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rgb="FF000000"/>
      <name val="Calibri"/>
      <family val="2"/>
      <scheme val="minor"/>
    </font>
    <font>
      <b/>
      <sz val="9"/>
      <color rgb="FFFFFFFF"/>
      <name val="Calibri"/>
    </font>
    <font>
      <sz val="9"/>
      <color rgb="FF000000"/>
      <name val="Calibri"/>
    </font>
    <font>
      <b/>
      <sz val="9"/>
      <color rgb="FF000000"/>
      <name val="Calibri"/>
    </font>
    <font>
      <u/>
      <sz val="9"/>
      <color rgb="FF0000FF"/>
      <name val="Calibri"/>
    </font>
    <font>
      <b/>
      <sz val="11"/>
      <color rgb="FF000000"/>
      <name val="Calibri"/>
    </font>
    <font>
      <b/>
      <sz val="10"/>
      <color rgb="FF000000"/>
      <name val="Calibri"/>
    </font>
  </fonts>
  <fills count="7">
    <fill>
      <patternFill patternType="none"/>
    </fill>
    <fill>
      <patternFill patternType="gray125"/>
    </fill>
    <fill>
      <patternFill patternType="solid">
        <fgColor rgb="FF00008B"/>
      </patternFill>
    </fill>
    <fill>
      <patternFill patternType="solid">
        <fgColor rgb="FFFFFFE0"/>
      </patternFill>
    </fill>
    <fill>
      <patternFill patternType="solid">
        <fgColor rgb="FF6495ED"/>
      </patternFill>
    </fill>
    <fill>
      <patternFill patternType="solid">
        <fgColor rgb="FFFFFFFF"/>
      </patternFill>
    </fill>
    <fill>
      <patternFill patternType="solid">
        <fgColor rgb="FFE5E5E5"/>
      </patternFill>
    </fill>
  </fills>
  <borders count="1">
    <border>
      <left/>
      <right/>
      <top/>
      <bottom/>
      <diagonal/>
    </border>
  </borders>
  <cellStyleXfs count="1">
    <xf numFmtId="0" fontId="0" fillId="0" borderId="0"/>
  </cellStyleXfs>
  <cellXfs count="3300">
    <xf numFmtId="0" fontId="0" fillId="0" borderId="0" xfId="0"/>
    <xf numFmtId="0" fontId="1" fillId="2" borderId="0" xfId="0" applyFont="1" applyFill="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right" vertical="top" wrapText="1"/>
    </xf>
    <xf numFmtId="0" fontId="2" fillId="5" borderId="0" xfId="0" applyFont="1" applyFill="1"/>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0" fontId="2" fillId="6" borderId="0" xfId="0" applyFont="1" applyFill="1"/>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0" fontId="5" fillId="3" borderId="0" xfId="0" applyFont="1" applyFill="1" applyAlignment="1">
      <alignment horizontal="center" vertical="center"/>
    </xf>
    <xf numFmtId="0" fontId="6" fillId="4" borderId="0" xfId="0" applyFont="1" applyFill="1" applyAlignment="1">
      <alignment horizontal="center" vertical="center" wrapText="1"/>
    </xf>
    <xf numFmtId="0" fontId="0" fillId="0" borderId="0" xfId="0"/>
    <xf numFmtId="0" fontId="6"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4"/>
  <sheetViews>
    <sheetView tabSelected="1" workbookViewId="0">
      <pane ySplit="1" topLeftCell="A2" activePane="bottomLeft" state="frozen"/>
      <selection pane="bottomLeft"/>
    </sheetView>
  </sheetViews>
  <sheetFormatPr defaultRowHeight="14.4" x14ac:dyDescent="0.3"/>
  <cols>
    <col min="1" max="1" width="13.6640625" customWidth="1"/>
    <col min="2" max="3" width="34.6640625" customWidth="1"/>
    <col min="4" max="11" width="13.6640625" customWidth="1"/>
    <col min="12" max="12" width="42.6640625" customWidth="1"/>
  </cols>
  <sheetData>
    <row r="1" spans="1:12" ht="30" customHeight="1" x14ac:dyDescent="0.3">
      <c r="A1" s="1" t="s">
        <v>0</v>
      </c>
      <c r="B1" s="1" t="s">
        <v>1</v>
      </c>
      <c r="C1" s="1" t="s">
        <v>2</v>
      </c>
      <c r="D1" s="1" t="s">
        <v>3</v>
      </c>
      <c r="E1" s="1" t="s">
        <v>4</v>
      </c>
      <c r="F1" s="1" t="s">
        <v>5</v>
      </c>
      <c r="G1" s="1" t="s">
        <v>6</v>
      </c>
      <c r="H1" s="1" t="s">
        <v>7</v>
      </c>
      <c r="I1" s="1" t="s">
        <v>8</v>
      </c>
      <c r="J1" s="1" t="s">
        <v>9</v>
      </c>
      <c r="K1" s="1" t="s">
        <v>10</v>
      </c>
      <c r="L1" s="1" t="s">
        <v>11</v>
      </c>
    </row>
    <row r="2" spans="1:12" ht="49.95" customHeight="1" x14ac:dyDescent="0.3">
      <c r="A2" s="3" t="s">
        <v>12</v>
      </c>
      <c r="B2" s="2" t="s">
        <v>13</v>
      </c>
      <c r="C2" s="2" t="s">
        <v>14</v>
      </c>
      <c r="D2" s="2" t="s">
        <v>15</v>
      </c>
      <c r="E2" s="4" t="str">
        <f>IF(ISERROR("AGERANGE"),"",HYPERLINK("#INDEX('Value Lookup'!A:A,MATCH(A" &amp; ROW() &amp; ",'Value Lookup'!A:A,0))","Value Lookup"))</f>
        <v>Value Lookup</v>
      </c>
      <c r="F2" s="4" t="str">
        <f>IF(ISERROR("AGERANGE"),"",HYPERLINK("#INDEX('Frequencies'!A:A,MATCH(A" &amp; ROW() &amp; ",'Frequencies'!A:A,0))","Frequencies"))</f>
        <v>Frequencies</v>
      </c>
      <c r="G2" s="2"/>
      <c r="H2" s="2">
        <v>5</v>
      </c>
      <c r="I2" s="2"/>
      <c r="J2" s="2"/>
      <c r="K2" s="2"/>
      <c r="L2" s="2"/>
    </row>
    <row r="3" spans="1:12" ht="49.95" customHeight="1" x14ac:dyDescent="0.3">
      <c r="A3" s="3" t="s">
        <v>16</v>
      </c>
      <c r="B3" s="2" t="s">
        <v>17</v>
      </c>
      <c r="C3" s="2" t="s">
        <v>18</v>
      </c>
      <c r="D3" s="2" t="s">
        <v>15</v>
      </c>
      <c r="E3" s="4" t="str">
        <f>IF(ISERROR("ALT_1"),"",HYPERLINK("#INDEX('Value Lookup'!A:A,MATCH(A" &amp; ROW() &amp; ",'Value Lookup'!A:A,0))","Value Lookup"))</f>
        <v>Value Lookup</v>
      </c>
      <c r="F3" s="4" t="str">
        <f>IF(ISERROR("ALT_1"),"",HYPERLINK("#INDEX('Frequencies'!A:A,MATCH(A" &amp; ROW() &amp; ",'Frequencies'!A:A,0))","Frequencies"))</f>
        <v>Frequencies</v>
      </c>
      <c r="G3" s="2"/>
      <c r="H3" s="2">
        <v>95</v>
      </c>
      <c r="I3" s="2"/>
      <c r="J3" s="2"/>
      <c r="K3" s="2"/>
      <c r="L3" s="2"/>
    </row>
    <row r="4" spans="1:12" ht="49.95" customHeight="1" x14ac:dyDescent="0.3">
      <c r="A4" s="3" t="s">
        <v>19</v>
      </c>
      <c r="B4" s="2" t="s">
        <v>20</v>
      </c>
      <c r="C4" s="2" t="s">
        <v>18</v>
      </c>
      <c r="D4" s="2" t="s">
        <v>15</v>
      </c>
      <c r="E4" s="4" t="str">
        <f>IF(ISERROR("ALT_2"),"",HYPERLINK("#INDEX('Value Lookup'!A:A,MATCH(A" &amp; ROW() &amp; ",'Value Lookup'!A:A,0))","Value Lookup"))</f>
        <v>Value Lookup</v>
      </c>
      <c r="F4" s="4" t="str">
        <f>IF(ISERROR("ALT_2"),"",HYPERLINK("#INDEX('Frequencies'!A:A,MATCH(A" &amp; ROW() &amp; ",'Frequencies'!A:A,0))","Frequencies"))</f>
        <v>Frequencies</v>
      </c>
      <c r="G4" s="2"/>
      <c r="H4" s="2">
        <v>96</v>
      </c>
      <c r="I4" s="2"/>
      <c r="J4" s="2"/>
      <c r="K4" s="2"/>
      <c r="L4" s="2"/>
    </row>
    <row r="5" spans="1:12" ht="49.95" customHeight="1" x14ac:dyDescent="0.3">
      <c r="A5" s="3" t="s">
        <v>21</v>
      </c>
      <c r="B5" s="2" t="s">
        <v>22</v>
      </c>
      <c r="C5" s="2" t="s">
        <v>18</v>
      </c>
      <c r="D5" s="2" t="s">
        <v>15</v>
      </c>
      <c r="E5" s="4" t="str">
        <f>IF(ISERROR("ALT_3"),"",HYPERLINK("#INDEX('Value Lookup'!A:A,MATCH(A" &amp; ROW() &amp; ",'Value Lookup'!A:A,0))","Value Lookup"))</f>
        <v>Value Lookup</v>
      </c>
      <c r="F5" s="4" t="str">
        <f>IF(ISERROR("ALT_3"),"",HYPERLINK("#INDEX('Frequencies'!A:A,MATCH(A" &amp; ROW() &amp; ",'Frequencies'!A:A,0))","Frequencies"))</f>
        <v>Frequencies</v>
      </c>
      <c r="G5" s="2"/>
      <c r="H5" s="2">
        <v>97</v>
      </c>
      <c r="I5" s="2"/>
      <c r="J5" s="2"/>
      <c r="K5" s="2"/>
      <c r="L5" s="2"/>
    </row>
    <row r="6" spans="1:12" ht="49.95" customHeight="1" x14ac:dyDescent="0.3">
      <c r="A6" s="3" t="s">
        <v>23</v>
      </c>
      <c r="B6" s="2" t="s">
        <v>24</v>
      </c>
      <c r="C6" s="2" t="s">
        <v>18</v>
      </c>
      <c r="D6" s="2" t="s">
        <v>15</v>
      </c>
      <c r="E6" s="4" t="str">
        <f>IF(ISERROR("ALT_4"),"",HYPERLINK("#INDEX('Value Lookup'!A:A,MATCH(A" &amp; ROW() &amp; ",'Value Lookup'!A:A,0))","Value Lookup"))</f>
        <v>Value Lookup</v>
      </c>
      <c r="F6" s="4" t="str">
        <f>IF(ISERROR("ALT_4"),"",HYPERLINK("#INDEX('Frequencies'!A:A,MATCH(A" &amp; ROW() &amp; ",'Frequencies'!A:A,0))","Frequencies"))</f>
        <v>Frequencies</v>
      </c>
      <c r="G6" s="2"/>
      <c r="H6" s="2">
        <v>98</v>
      </c>
      <c r="I6" s="2"/>
      <c r="J6" s="2"/>
      <c r="K6" s="2"/>
      <c r="L6" s="2"/>
    </row>
    <row r="7" spans="1:12" ht="49.95" customHeight="1" x14ac:dyDescent="0.3">
      <c r="A7" s="3" t="s">
        <v>25</v>
      </c>
      <c r="B7" s="2" t="s">
        <v>26</v>
      </c>
      <c r="C7" s="2" t="s">
        <v>18</v>
      </c>
      <c r="D7" s="2" t="s">
        <v>15</v>
      </c>
      <c r="E7" s="4" t="str">
        <f>IF(ISERROR("ALT_5"),"",HYPERLINK("#INDEX('Value Lookup'!A:A,MATCH(A" &amp; ROW() &amp; ",'Value Lookup'!A:A,0))","Value Lookup"))</f>
        <v>Value Lookup</v>
      </c>
      <c r="F7" s="4" t="str">
        <f>IF(ISERROR("ALT_5"),"",HYPERLINK("#INDEX('Frequencies'!A:A,MATCH(A" &amp; ROW() &amp; ",'Frequencies'!A:A,0))","Frequencies"))</f>
        <v>Frequencies</v>
      </c>
      <c r="G7" s="2"/>
      <c r="H7" s="2">
        <v>99</v>
      </c>
      <c r="I7" s="2"/>
      <c r="J7" s="2"/>
      <c r="K7" s="2"/>
      <c r="L7" s="2"/>
    </row>
    <row r="8" spans="1:12" ht="49.95" customHeight="1" x14ac:dyDescent="0.3">
      <c r="A8" s="3" t="s">
        <v>27</v>
      </c>
      <c r="B8" s="2" t="s">
        <v>28</v>
      </c>
      <c r="C8" s="2" t="s">
        <v>18</v>
      </c>
      <c r="D8" s="2" t="s">
        <v>15</v>
      </c>
      <c r="E8" s="4" t="str">
        <f>IF(ISERROR("ALT_6"),"",HYPERLINK("#INDEX('Value Lookup'!A:A,MATCH(A" &amp; ROW() &amp; ",'Value Lookup'!A:A,0))","Value Lookup"))</f>
        <v>Value Lookup</v>
      </c>
      <c r="F8" s="4" t="str">
        <f>IF(ISERROR("ALT_6"),"",HYPERLINK("#INDEX('Frequencies'!A:A,MATCH(A" &amp; ROW() &amp; ",'Frequencies'!A:A,0))","Frequencies"))</f>
        <v>Frequencies</v>
      </c>
      <c r="G8" s="2"/>
      <c r="H8" s="2">
        <v>100</v>
      </c>
      <c r="I8" s="2"/>
      <c r="J8" s="2"/>
      <c r="K8" s="2"/>
      <c r="L8" s="2"/>
    </row>
    <row r="9" spans="1:12" ht="49.95" customHeight="1" x14ac:dyDescent="0.3">
      <c r="A9" s="3" t="s">
        <v>29</v>
      </c>
      <c r="B9" s="2" t="s">
        <v>30</v>
      </c>
      <c r="C9" s="2" t="s">
        <v>18</v>
      </c>
      <c r="D9" s="2" t="s">
        <v>15</v>
      </c>
      <c r="E9" s="4" t="str">
        <f>IF(ISERROR("ALT_7"),"",HYPERLINK("#INDEX('Value Lookup'!A:A,MATCH(A" &amp; ROW() &amp; ",'Value Lookup'!A:A,0))","Value Lookup"))</f>
        <v>Value Lookup</v>
      </c>
      <c r="F9" s="4" t="str">
        <f>IF(ISERROR("ALT_7"),"",HYPERLINK("#INDEX('Frequencies'!A:A,MATCH(A" &amp; ROW() &amp; ",'Frequencies'!A:A,0))","Frequencies"))</f>
        <v>Frequencies</v>
      </c>
      <c r="G9" s="2"/>
      <c r="H9" s="2">
        <v>101</v>
      </c>
      <c r="I9" s="2"/>
      <c r="J9" s="2"/>
      <c r="K9" s="2"/>
      <c r="L9" s="2"/>
    </row>
    <row r="10" spans="1:12" ht="49.95" customHeight="1" x14ac:dyDescent="0.3">
      <c r="A10" s="3" t="s">
        <v>31</v>
      </c>
      <c r="B10" s="2" t="s">
        <v>32</v>
      </c>
      <c r="C10" s="2" t="s">
        <v>18</v>
      </c>
      <c r="D10" s="2" t="s">
        <v>15</v>
      </c>
      <c r="E10" s="4" t="str">
        <f>IF(ISERROR("ALT_DK"),"",HYPERLINK("#INDEX('Value Lookup'!A:A,MATCH(A" &amp; ROW() &amp; ",'Value Lookup'!A:A,0))","Value Lookup"))</f>
        <v>Value Lookup</v>
      </c>
      <c r="F10" s="4" t="str">
        <f>IF(ISERROR("ALT_DK"),"",HYPERLINK("#INDEX('Frequencies'!A:A,MATCH(A" &amp; ROW() &amp; ",'Frequencies'!A:A,0))","Frequencies"))</f>
        <v>Frequencies</v>
      </c>
      <c r="G10" s="2"/>
      <c r="H10" s="2">
        <v>102</v>
      </c>
      <c r="I10" s="2"/>
      <c r="J10" s="2"/>
      <c r="K10" s="2"/>
      <c r="L10" s="2"/>
    </row>
    <row r="11" spans="1:12" ht="49.95" customHeight="1" x14ac:dyDescent="0.3">
      <c r="A11" s="3" t="s">
        <v>33</v>
      </c>
      <c r="B11" s="2" t="s">
        <v>34</v>
      </c>
      <c r="C11" s="2"/>
      <c r="D11" s="2" t="s">
        <v>15</v>
      </c>
      <c r="E11" s="4" t="str">
        <f>IF(ISERROR("ALT_O"),"",HYPERLINK("#INDEX('Value Lookup'!A:A,MATCH(A" &amp; ROW() &amp; ",'Value Lookup'!A:A,0))","Value Lookup"))</f>
        <v>Value Lookup</v>
      </c>
      <c r="F11" s="4" t="str">
        <f>IF(ISERROR("ALT_O"),"",HYPERLINK("#INDEX('Frequencies'!A:A,MATCH(A" &amp; ROW() &amp; ",'Frequencies'!A:A,0))","Frequencies"))</f>
        <v>Frequencies</v>
      </c>
      <c r="G11" s="2"/>
      <c r="H11" s="2">
        <v>105</v>
      </c>
      <c r="I11" s="2"/>
      <c r="J11" s="2"/>
      <c r="K11" s="2"/>
      <c r="L11" s="2"/>
    </row>
    <row r="12" spans="1:12" ht="49.95" customHeight="1" x14ac:dyDescent="0.3">
      <c r="A12" s="3" t="s">
        <v>35</v>
      </c>
      <c r="B12" s="2" t="s">
        <v>36</v>
      </c>
      <c r="C12" s="2" t="s">
        <v>18</v>
      </c>
      <c r="D12" s="2" t="s">
        <v>15</v>
      </c>
      <c r="E12" s="4" t="str">
        <f>IF(ISERROR("ALT_RF"),"",HYPERLINK("#INDEX('Value Lookup'!A:A,MATCH(A" &amp; ROW() &amp; ",'Value Lookup'!A:A,0))","Value Lookup"))</f>
        <v>Value Lookup</v>
      </c>
      <c r="F12" s="4" t="str">
        <f>IF(ISERROR("ALT_RF"),"",HYPERLINK("#INDEX('Frequencies'!A:A,MATCH(A" &amp; ROW() &amp; ",'Frequencies'!A:A,0))","Frequencies"))</f>
        <v>Frequencies</v>
      </c>
      <c r="G12" s="2"/>
      <c r="H12" s="2">
        <v>103</v>
      </c>
      <c r="I12" s="2"/>
      <c r="J12" s="2"/>
      <c r="K12" s="2"/>
      <c r="L12" s="2"/>
    </row>
    <row r="13" spans="1:12" ht="49.95" customHeight="1" x14ac:dyDescent="0.3">
      <c r="A13" s="3" t="s">
        <v>37</v>
      </c>
      <c r="B13" s="2" t="s">
        <v>38</v>
      </c>
      <c r="C13" s="2" t="s">
        <v>18</v>
      </c>
      <c r="D13" s="2" t="s">
        <v>15</v>
      </c>
      <c r="E13" s="4" t="str">
        <f>IF(ISERROR("ALT_SE"),"",HYPERLINK("#INDEX('Value Lookup'!A:A,MATCH(A" &amp; ROW() &amp; ",'Value Lookup'!A:A,0))","Value Lookup"))</f>
        <v>Value Lookup</v>
      </c>
      <c r="F13" s="4" t="str">
        <f>IF(ISERROR("ALT_SE"),"",HYPERLINK("#INDEX('Frequencies'!A:A,MATCH(A" &amp; ROW() &amp; ",'Frequencies'!A:A,0))","Frequencies"))</f>
        <v>Frequencies</v>
      </c>
      <c r="G13" s="2"/>
      <c r="H13" s="2">
        <v>104</v>
      </c>
      <c r="I13" s="2"/>
      <c r="J13" s="2"/>
      <c r="K13" s="2"/>
      <c r="L13" s="2"/>
    </row>
    <row r="14" spans="1:12" ht="49.95" customHeight="1" x14ac:dyDescent="0.3">
      <c r="A14" s="3" t="s">
        <v>39</v>
      </c>
      <c r="B14" s="2" t="s">
        <v>40</v>
      </c>
      <c r="C14" s="2"/>
      <c r="D14" s="2" t="s">
        <v>41</v>
      </c>
      <c r="E14" s="4" t="str">
        <f>IF(ISERROR("ANNMILES"),"",HYPERLINK("#INDEX('Value Lookup'!A:A,MATCH(A" &amp; ROW() &amp; ",'Value Lookup'!A:A,0))","Value Lookup"))</f>
        <v>Value Lookup</v>
      </c>
      <c r="F14" s="4" t="str">
        <f>IF(ISERROR("ANNMILES"),"",HYPERLINK("#INDEX('Frequencies'!A:A,MATCH(A" &amp; ROW() &amp; ",'Frequencies'!A:A,0))","Frequencies"))</f>
        <v>Frequencies</v>
      </c>
      <c r="G14" s="2"/>
      <c r="H14" s="2"/>
      <c r="I14" s="2">
        <v>29</v>
      </c>
      <c r="J14" s="2"/>
      <c r="K14" s="2"/>
      <c r="L14" s="2"/>
    </row>
    <row r="15" spans="1:12" ht="49.95" customHeight="1" x14ac:dyDescent="0.3">
      <c r="A15" s="3" t="s">
        <v>42</v>
      </c>
      <c r="B15" s="2" t="s">
        <v>43</v>
      </c>
      <c r="C15" s="2"/>
      <c r="D15" s="2" t="s">
        <v>15</v>
      </c>
      <c r="E15" s="4" t="str">
        <f>IF(ISERROR("AWAYHOME"),"",HYPERLINK("#INDEX('Value Lookup'!A:A,MATCH(A" &amp; ROW() &amp; ",'Value Lookup'!A:A,0))","Value Lookup"))</f>
        <v>Value Lookup</v>
      </c>
      <c r="F15" s="4" t="str">
        <f>IF(ISERROR("AWAYHOME"),"",HYPERLINK("#INDEX('Frequencies'!A:A,MATCH(A" &amp; ROW() &amp; ",'Frequencies'!A:A,0))","Frequencies"))</f>
        <v>Frequencies</v>
      </c>
      <c r="G15" s="2"/>
      <c r="H15" s="2">
        <v>151</v>
      </c>
      <c r="I15" s="2"/>
      <c r="J15" s="2"/>
      <c r="K15" s="2"/>
      <c r="L15" s="2"/>
    </row>
    <row r="16" spans="1:12" ht="49.95" customHeight="1" x14ac:dyDescent="0.3">
      <c r="A16" s="3" t="s">
        <v>44</v>
      </c>
      <c r="B16" s="2" t="s">
        <v>45</v>
      </c>
      <c r="C16" s="2"/>
      <c r="D16" s="2" t="s">
        <v>15</v>
      </c>
      <c r="E16" s="4" t="str">
        <f>IF(ISERROR("AWAYHOME17"),"",HYPERLINK("#INDEX('Value Lookup'!A:A,MATCH(A" &amp; ROW() &amp; ",'Value Lookup'!A:A,0))","Value Lookup"))</f>
        <v>Value Lookup</v>
      </c>
      <c r="F16" s="4" t="str">
        <f>IF(ISERROR("AWAYHOME17"),"",HYPERLINK("#INDEX('Frequencies'!A:A,MATCH(A" &amp; ROW() &amp; ",'Frequencies'!A:A,0))","Frequencies"))</f>
        <v>Frequencies</v>
      </c>
      <c r="G16" s="2"/>
      <c r="H16" s="2">
        <v>152</v>
      </c>
      <c r="I16" s="2"/>
      <c r="J16" s="2"/>
      <c r="K16" s="2"/>
      <c r="L16" s="2"/>
    </row>
    <row r="17" spans="1:12" ht="49.95" customHeight="1" x14ac:dyDescent="0.3">
      <c r="A17" s="3" t="s">
        <v>46</v>
      </c>
      <c r="B17" s="2" t="s">
        <v>47</v>
      </c>
      <c r="C17" s="2" t="s">
        <v>48</v>
      </c>
      <c r="D17" s="2" t="s">
        <v>15</v>
      </c>
      <c r="E17" s="4" t="str">
        <f>IF(ISERROR("BIKE"),"",HYPERLINK("#INDEX('Value Lookup'!A:A,MATCH(A" &amp; ROW() &amp; ",'Value Lookup'!A:A,0))","Value Lookup"))</f>
        <v>Value Lookup</v>
      </c>
      <c r="F17" s="4" t="str">
        <f>IF(ISERROR("BIKE"),"",HYPERLINK("#INDEX('Frequencies'!A:A,MATCH(A" &amp; ROW() &amp; ",'Frequencies'!A:A,0))","Frequencies"))</f>
        <v>Frequencies</v>
      </c>
      <c r="G17" s="2">
        <v>23</v>
      </c>
      <c r="H17" s="2"/>
      <c r="I17" s="2"/>
      <c r="J17" s="2"/>
      <c r="K17" s="2"/>
      <c r="L17" s="2"/>
    </row>
    <row r="18" spans="1:12" ht="49.95" customHeight="1" x14ac:dyDescent="0.3">
      <c r="A18" s="3" t="s">
        <v>49</v>
      </c>
      <c r="B18" s="2" t="s">
        <v>50</v>
      </c>
      <c r="C18" s="2" t="s">
        <v>51</v>
      </c>
      <c r="D18" s="2" t="s">
        <v>15</v>
      </c>
      <c r="E18" s="4" t="str">
        <f>IF(ISERROR("BIKE2SAVE"),"",HYPERLINK("#INDEX('Value Lookup'!A:A,MATCH(A" &amp; ROW() &amp; ",'Value Lookup'!A:A,0))","Value Lookup"))</f>
        <v>Value Lookup</v>
      </c>
      <c r="F18" s="4" t="str">
        <f>IF(ISERROR("BIKE2SAVE"),"",HYPERLINK("#INDEX('Frequencies'!A:A,MATCH(A" &amp; ROW() &amp; ",'Frequencies'!A:A,0))","Frequencies"))</f>
        <v>Frequencies</v>
      </c>
      <c r="G18" s="2">
        <v>32</v>
      </c>
      <c r="H18" s="2"/>
      <c r="I18" s="2"/>
      <c r="J18" s="2"/>
      <c r="K18" s="2"/>
      <c r="L18" s="2"/>
    </row>
    <row r="19" spans="1:12" ht="49.95" customHeight="1" x14ac:dyDescent="0.3">
      <c r="A19" s="3" t="s">
        <v>52</v>
      </c>
      <c r="B19" s="2" t="s">
        <v>53</v>
      </c>
      <c r="C19" s="2" t="s">
        <v>54</v>
      </c>
      <c r="D19" s="2" t="s">
        <v>41</v>
      </c>
      <c r="E19" s="2" t="str">
        <f>IF(ISERROR("BIKE4EX"),"","Range: 0 - [$NBIKETRIP]")</f>
        <v>Range: 0 - [$NBIKETRIP]</v>
      </c>
      <c r="F19" s="4" t="str">
        <f>IF(ISERROR("BIKE4EX"),"",HYPERLINK("#INDEX('Frequencies'!A:A,MATCH(A" &amp; ROW() &amp; ",'Frequencies'!A:A,0))","Frequencies"))</f>
        <v>Frequencies</v>
      </c>
      <c r="G19" s="2"/>
      <c r="H19" s="2">
        <v>26</v>
      </c>
      <c r="I19" s="2"/>
      <c r="J19" s="2"/>
      <c r="K19" s="2"/>
      <c r="L19" s="2"/>
    </row>
    <row r="20" spans="1:12" ht="49.95" customHeight="1" x14ac:dyDescent="0.3">
      <c r="A20" s="3" t="s">
        <v>55</v>
      </c>
      <c r="B20" s="2" t="s">
        <v>56</v>
      </c>
      <c r="C20" s="2" t="s">
        <v>57</v>
      </c>
      <c r="D20" s="2" t="s">
        <v>15</v>
      </c>
      <c r="E20" s="4" t="str">
        <f>IF(ISERROR("BIKE_D"),"",HYPERLINK("#INDEX('Value Lookup'!A:A,MATCH(A" &amp; ROW() &amp; ",'Value Lookup'!A:A,0))","Value Lookup"))</f>
        <v>Value Lookup</v>
      </c>
      <c r="F20" s="4" t="str">
        <f>IF(ISERROR("BIKE_D"),"",HYPERLINK("#INDEX('Frequencies'!A:A,MATCH(A" &amp; ROW() &amp; ",'Frequencies'!A:A,0))","Frequencies"))</f>
        <v>Frequencies</v>
      </c>
      <c r="G20" s="2"/>
      <c r="H20" s="2">
        <v>28</v>
      </c>
      <c r="I20" s="2"/>
      <c r="J20" s="2"/>
      <c r="K20" s="2"/>
      <c r="L20" s="2"/>
    </row>
    <row r="21" spans="1:12" ht="49.95" customHeight="1" x14ac:dyDescent="0.3">
      <c r="A21" s="3" t="s">
        <v>58</v>
      </c>
      <c r="B21" s="2" t="s">
        <v>59</v>
      </c>
      <c r="C21" s="2" t="s">
        <v>57</v>
      </c>
      <c r="D21" s="2" t="s">
        <v>15</v>
      </c>
      <c r="E21" s="4" t="str">
        <f>IF(ISERROR("BIKE_DK"),"",HYPERLINK("#INDEX('Value Lookup'!A:A,MATCH(A" &amp; ROW() &amp; ",'Value Lookup'!A:A,0))","Value Lookup"))</f>
        <v>Value Lookup</v>
      </c>
      <c r="F21" s="4" t="str">
        <f>IF(ISERROR("BIKE_DK"),"",HYPERLINK("#INDEX('Frequencies'!A:A,MATCH(A" &amp; ROW() &amp; ",'Frequencies'!A:A,0))","Frequencies"))</f>
        <v>Frequencies</v>
      </c>
      <c r="G21" s="2"/>
      <c r="H21" s="2">
        <v>35</v>
      </c>
      <c r="I21" s="2"/>
      <c r="J21" s="2"/>
      <c r="K21" s="2"/>
      <c r="L21" s="2"/>
    </row>
    <row r="22" spans="1:12" ht="49.95" customHeight="1" x14ac:dyDescent="0.3">
      <c r="A22" s="3" t="s">
        <v>60</v>
      </c>
      <c r="B22" s="2" t="s">
        <v>61</v>
      </c>
      <c r="C22" s="2" t="s">
        <v>57</v>
      </c>
      <c r="D22" s="2" t="s">
        <v>15</v>
      </c>
      <c r="E22" s="4" t="str">
        <f>IF(ISERROR("BIKE_F"),"",HYPERLINK("#INDEX('Value Lookup'!A:A,MATCH(A" &amp; ROW() &amp; ",'Value Lookup'!A:A,0))","Value Lookup"))</f>
        <v>Value Lookup</v>
      </c>
      <c r="F22" s="4" t="str">
        <f>IF(ISERROR("BIKE_F"),"",HYPERLINK("#INDEX('Frequencies'!A:A,MATCH(A" &amp; ROW() &amp; ",'Frequencies'!A:A,0))","Frequencies"))</f>
        <v>Frequencies</v>
      </c>
      <c r="G22" s="2"/>
      <c r="H22" s="2">
        <v>29</v>
      </c>
      <c r="I22" s="2"/>
      <c r="J22" s="2"/>
      <c r="K22" s="2"/>
      <c r="L22" s="2"/>
    </row>
    <row r="23" spans="1:12" ht="49.95" customHeight="1" x14ac:dyDescent="0.3">
      <c r="A23" s="3" t="s">
        <v>62</v>
      </c>
      <c r="B23" s="2" t="s">
        <v>63</v>
      </c>
      <c r="C23" s="2" t="s">
        <v>57</v>
      </c>
      <c r="D23" s="2" t="s">
        <v>15</v>
      </c>
      <c r="E23" s="4" t="str">
        <f>IF(ISERROR("BIKE_G"),"",HYPERLINK("#INDEX('Value Lookup'!A:A,MATCH(A" &amp; ROW() &amp; ",'Value Lookup'!A:A,0))","Value Lookup"))</f>
        <v>Value Lookup</v>
      </c>
      <c r="F23" s="4" t="str">
        <f>IF(ISERROR("BIKE_G"),"",HYPERLINK("#INDEX('Frequencies'!A:A,MATCH(A" &amp; ROW() &amp; ",'Frequencies'!A:A,0))","Frequencies"))</f>
        <v>Frequencies</v>
      </c>
      <c r="G23" s="2"/>
      <c r="H23" s="2">
        <v>30</v>
      </c>
      <c r="I23" s="2"/>
      <c r="J23" s="2"/>
      <c r="K23" s="2"/>
      <c r="L23" s="2"/>
    </row>
    <row r="24" spans="1:12" ht="49.95" customHeight="1" x14ac:dyDescent="0.3">
      <c r="A24" s="3" t="s">
        <v>64</v>
      </c>
      <c r="B24" s="2" t="s">
        <v>65</v>
      </c>
      <c r="C24" s="2" t="s">
        <v>57</v>
      </c>
      <c r="D24" s="2" t="s">
        <v>15</v>
      </c>
      <c r="E24" s="4" t="str">
        <f>IF(ISERROR("BIKE_K"),"",HYPERLINK("#INDEX('Value Lookup'!A:A,MATCH(A" &amp; ROW() &amp; ",'Value Lookup'!A:A,0))","Value Lookup"))</f>
        <v>Value Lookup</v>
      </c>
      <c r="F24" s="4" t="str">
        <f>IF(ISERROR("BIKE_K"),"",HYPERLINK("#INDEX('Frequencies'!A:A,MATCH(A" &amp; ROW() &amp; ",'Frequencies'!A:A,0))","Frequencies"))</f>
        <v>Frequencies</v>
      </c>
      <c r="G24" s="2"/>
      <c r="H24" s="2">
        <v>31</v>
      </c>
      <c r="I24" s="2"/>
      <c r="J24" s="2"/>
      <c r="K24" s="2"/>
      <c r="L24" s="2"/>
    </row>
    <row r="25" spans="1:12" ht="49.95" customHeight="1" x14ac:dyDescent="0.3">
      <c r="A25" s="3" t="s">
        <v>66</v>
      </c>
      <c r="B25" s="2" t="s">
        <v>67</v>
      </c>
      <c r="C25" s="2" t="s">
        <v>57</v>
      </c>
      <c r="D25" s="2" t="s">
        <v>15</v>
      </c>
      <c r="E25" s="4" t="str">
        <f>IF(ISERROR("BIKE_P"),"",HYPERLINK("#INDEX('Value Lookup'!A:A,MATCH(A" &amp; ROW() &amp; ",'Value Lookup'!A:A,0))","Value Lookup"))</f>
        <v>Value Lookup</v>
      </c>
      <c r="F25" s="4" t="str">
        <f>IF(ISERROR("BIKE_P"),"",HYPERLINK("#INDEX('Frequencies'!A:A,MATCH(A" &amp; ROW() &amp; ",'Frequencies'!A:A,0))","Frequencies"))</f>
        <v>Frequencies</v>
      </c>
      <c r="G25" s="2"/>
      <c r="H25" s="2">
        <v>32</v>
      </c>
      <c r="I25" s="2"/>
      <c r="J25" s="2"/>
      <c r="K25" s="2"/>
      <c r="L25" s="2"/>
    </row>
    <row r="26" spans="1:12" ht="49.95" customHeight="1" x14ac:dyDescent="0.3">
      <c r="A26" s="3" t="s">
        <v>68</v>
      </c>
      <c r="B26" s="2" t="s">
        <v>69</v>
      </c>
      <c r="C26" s="2" t="s">
        <v>57</v>
      </c>
      <c r="D26" s="2" t="s">
        <v>15</v>
      </c>
      <c r="E26" s="4" t="str">
        <f>IF(ISERROR("BIKE_R"),"",HYPERLINK("#INDEX('Value Lookup'!A:A,MATCH(A" &amp; ROW() &amp; ",'Value Lookup'!A:A,0))","Value Lookup"))</f>
        <v>Value Lookup</v>
      </c>
      <c r="F26" s="4" t="str">
        <f>IF(ISERROR("BIKE_R"),"",HYPERLINK("#INDEX('Frequencies'!A:A,MATCH(A" &amp; ROW() &amp; ",'Frequencies'!A:A,0))","Frequencies"))</f>
        <v>Frequencies</v>
      </c>
      <c r="G26" s="2"/>
      <c r="H26" s="2">
        <v>33</v>
      </c>
      <c r="I26" s="2"/>
      <c r="J26" s="2"/>
      <c r="K26" s="2"/>
      <c r="L26" s="2"/>
    </row>
    <row r="27" spans="1:12" ht="49.95" customHeight="1" x14ac:dyDescent="0.3">
      <c r="A27" s="3" t="s">
        <v>70</v>
      </c>
      <c r="B27" s="2" t="s">
        <v>71</v>
      </c>
      <c r="C27" s="2" t="s">
        <v>57</v>
      </c>
      <c r="D27" s="2" t="s">
        <v>15</v>
      </c>
      <c r="E27" s="4" t="str">
        <f>IF(ISERROR("BIKE_RF"),"",HYPERLINK("#INDEX('Value Lookup'!A:A,MATCH(A" &amp; ROW() &amp; ",'Value Lookup'!A:A,0))","Value Lookup"))</f>
        <v>Value Lookup</v>
      </c>
      <c r="F27" s="4" t="str">
        <f>IF(ISERROR("BIKE_RF"),"",HYPERLINK("#INDEX('Frequencies'!A:A,MATCH(A" &amp; ROW() &amp; ",'Frequencies'!A:A,0))","Frequencies"))</f>
        <v>Frequencies</v>
      </c>
      <c r="G27" s="2"/>
      <c r="H27" s="2">
        <v>36</v>
      </c>
      <c r="I27" s="2"/>
      <c r="J27" s="2"/>
      <c r="K27" s="2"/>
      <c r="L27" s="2"/>
    </row>
    <row r="28" spans="1:12" ht="49.95" customHeight="1" x14ac:dyDescent="0.3">
      <c r="A28" s="3" t="s">
        <v>72</v>
      </c>
      <c r="B28" s="2" t="s">
        <v>73</v>
      </c>
      <c r="C28" s="2" t="s">
        <v>74</v>
      </c>
      <c r="D28" s="2" t="s">
        <v>41</v>
      </c>
      <c r="E28" s="2" t="str">
        <f>IF(ISERROR("BIKESHARE"),"","Range: 0 - 99")</f>
        <v>Range: 0 - 99</v>
      </c>
      <c r="F28" s="4" t="str">
        <f>IF(ISERROR("BIKESHARE"),"",HYPERLINK("#INDEX('Frequencies'!A:A,MATCH(A" &amp; ROW() &amp; ",'Frequencies'!A:A,0))","Frequencies"))</f>
        <v>Frequencies</v>
      </c>
      <c r="G28" s="2"/>
      <c r="H28" s="2">
        <v>27</v>
      </c>
      <c r="I28" s="2"/>
      <c r="J28" s="2"/>
      <c r="K28" s="2"/>
      <c r="L28" s="2"/>
    </row>
    <row r="29" spans="1:12" ht="49.95" customHeight="1" x14ac:dyDescent="0.3">
      <c r="A29" s="3" t="s">
        <v>75</v>
      </c>
      <c r="B29" s="2" t="s">
        <v>76</v>
      </c>
      <c r="C29" s="2" t="s">
        <v>57</v>
      </c>
      <c r="D29" s="2" t="s">
        <v>15</v>
      </c>
      <c r="E29" s="4" t="str">
        <f>IF(ISERROR("BIKE_Z"),"",HYPERLINK("#INDEX('Value Lookup'!A:A,MATCH(A" &amp; ROW() &amp; ",'Value Lookup'!A:A,0))","Value Lookup"))</f>
        <v>Value Lookup</v>
      </c>
      <c r="F29" s="4" t="str">
        <f>IF(ISERROR("BIKE_Z"),"",HYPERLINK("#INDEX('Frequencies'!A:A,MATCH(A" &amp; ROW() &amp; ",'Frequencies'!A:A,0))","Frequencies"))</f>
        <v>Frequencies</v>
      </c>
      <c r="G29" s="2"/>
      <c r="H29" s="2">
        <v>34</v>
      </c>
      <c r="I29" s="2"/>
      <c r="J29" s="2"/>
      <c r="K29" s="2"/>
      <c r="L29" s="2"/>
    </row>
    <row r="30" spans="1:12" ht="49.95" customHeight="1" x14ac:dyDescent="0.3">
      <c r="A30" s="3" t="s">
        <v>77</v>
      </c>
      <c r="B30" s="2" t="s">
        <v>78</v>
      </c>
      <c r="C30" s="2"/>
      <c r="D30" s="2" t="s">
        <v>15</v>
      </c>
      <c r="E30" s="4" t="str">
        <f>IF(ISERROR("BLOCKFIPS"),"",HYPERLINK("#INDEX('Value Lookup'!A:A,MATCH(A" &amp; ROW() &amp; ",'Value Lookup'!A:A,0))","Value Lookup"))</f>
        <v>Value Lookup</v>
      </c>
      <c r="F30" s="4" t="str">
        <f>IF(ISERROR("BLOCKFIPS"),"",HYPERLINK("#INDEX('Frequencies'!A:A,MATCH(A" &amp; ROW() &amp; ",'Frequencies'!A:A,0))","Frequencies"))</f>
        <v>Frequencies</v>
      </c>
      <c r="G30" s="2"/>
      <c r="H30" s="2"/>
      <c r="I30" s="2"/>
      <c r="J30" s="2"/>
      <c r="K30" s="2">
        <v>18</v>
      </c>
      <c r="L30" s="2"/>
    </row>
    <row r="31" spans="1:12" ht="49.95" customHeight="1" x14ac:dyDescent="0.3">
      <c r="A31" s="3" t="s">
        <v>79</v>
      </c>
      <c r="B31" s="2" t="s">
        <v>80</v>
      </c>
      <c r="C31" s="2" t="s">
        <v>81</v>
      </c>
      <c r="D31" s="2" t="s">
        <v>15</v>
      </c>
      <c r="E31" s="4" t="str">
        <f>IF(ISERROR("BORNINUS"),"",HYPERLINK("#INDEX('Value Lookup'!A:A,MATCH(A" &amp; ROW() &amp; ",'Value Lookup'!A:A,0))","Value Lookup"))</f>
        <v>Value Lookup</v>
      </c>
      <c r="F31" s="4" t="str">
        <f>IF(ISERROR("BORNINUS"),"",HYPERLINK("#INDEX('Frequencies'!A:A,MATCH(A" &amp; ROW() &amp; ",'Frequencies'!A:A,0))","Frequencies"))</f>
        <v>Frequencies</v>
      </c>
      <c r="G31" s="2"/>
      <c r="H31" s="2">
        <v>74</v>
      </c>
      <c r="I31" s="2"/>
      <c r="J31" s="2"/>
      <c r="K31" s="2"/>
      <c r="L31" s="2"/>
    </row>
    <row r="32" spans="1:12" ht="49.95" customHeight="1" x14ac:dyDescent="0.3">
      <c r="A32" s="3" t="s">
        <v>82</v>
      </c>
      <c r="B32" s="2" t="s">
        <v>83</v>
      </c>
      <c r="C32" s="2" t="s">
        <v>84</v>
      </c>
      <c r="D32" s="2" t="s">
        <v>15</v>
      </c>
      <c r="E32" s="4" t="str">
        <f>IF(ISERROR("BUS"),"",HYPERLINK("#INDEX('Value Lookup'!A:A,MATCH(A" &amp; ROW() &amp; ",'Value Lookup'!A:A,0))","Value Lookup"))</f>
        <v>Value Lookup</v>
      </c>
      <c r="F32" s="4" t="str">
        <f>IF(ISERROR("BUS"),"",HYPERLINK("#INDEX('Frequencies'!A:A,MATCH(A" &amp; ROW() &amp; ",'Frequencies'!A:A,0))","Frequencies"))</f>
        <v>Frequencies</v>
      </c>
      <c r="G32" s="2">
        <v>26</v>
      </c>
      <c r="H32" s="2"/>
      <c r="I32" s="2"/>
      <c r="J32" s="2"/>
      <c r="K32" s="2"/>
      <c r="L32" s="2"/>
    </row>
    <row r="33" spans="1:12" ht="49.95" customHeight="1" x14ac:dyDescent="0.3">
      <c r="A33" s="3" t="s">
        <v>85</v>
      </c>
      <c r="B33" s="2" t="s">
        <v>86</v>
      </c>
      <c r="C33" s="2" t="s">
        <v>87</v>
      </c>
      <c r="D33" s="2" t="s">
        <v>15</v>
      </c>
      <c r="E33" s="4" t="str">
        <f>IF(ISERROR("CAR"),"",HYPERLINK("#INDEX('Value Lookup'!A:A,MATCH(A" &amp; ROW() &amp; ",'Value Lookup'!A:A,0))","Value Lookup"))</f>
        <v>Value Lookup</v>
      </c>
      <c r="F33" s="4" t="str">
        <f>IF(ISERROR("CAR"),"",HYPERLINK("#INDEX('Frequencies'!A:A,MATCH(A" &amp; ROW() &amp; ",'Frequencies'!A:A,0))","Frequencies"))</f>
        <v>Frequencies</v>
      </c>
      <c r="G33" s="2">
        <v>24</v>
      </c>
      <c r="H33" s="2"/>
      <c r="I33" s="2"/>
      <c r="J33" s="2"/>
      <c r="K33" s="2"/>
      <c r="L33" s="2"/>
    </row>
    <row r="34" spans="1:12" ht="49.95" customHeight="1" x14ac:dyDescent="0.3">
      <c r="A34" s="3" t="s">
        <v>88</v>
      </c>
      <c r="B34" s="2" t="s">
        <v>89</v>
      </c>
      <c r="C34" s="2" t="s">
        <v>90</v>
      </c>
      <c r="D34" s="2" t="s">
        <v>41</v>
      </c>
      <c r="E34" s="2" t="str">
        <f>IF(ISERROR("CARRODE"),"","Range: 1 - 20")</f>
        <v>Range: 1 - 20</v>
      </c>
      <c r="F34" s="4" t="str">
        <f>IF(ISERROR("CARRODE"),"",HYPERLINK("#INDEX('Frequencies'!A:A,MATCH(A" &amp; ROW() &amp; ",'Frequencies'!A:A,0))","Frequencies"))</f>
        <v>Frequencies</v>
      </c>
      <c r="G34" s="2"/>
      <c r="H34" s="2">
        <v>50</v>
      </c>
      <c r="I34" s="2"/>
      <c r="J34" s="2"/>
      <c r="K34" s="2"/>
      <c r="L34" s="2"/>
    </row>
    <row r="35" spans="1:12" ht="49.95" customHeight="1" x14ac:dyDescent="0.3">
      <c r="A35" s="3" t="s">
        <v>91</v>
      </c>
      <c r="B35" s="2" t="s">
        <v>92</v>
      </c>
      <c r="C35" s="2" t="s">
        <v>93</v>
      </c>
      <c r="D35" s="2" t="s">
        <v>41</v>
      </c>
      <c r="E35" s="2" t="str">
        <f>IF(ISERROR("CARSHARE"),"","Range: 0 - 99")</f>
        <v>Range: 0 - 99</v>
      </c>
      <c r="F35" s="4" t="str">
        <f>IF(ISERROR("CARSHARE"),"",HYPERLINK("#INDEX('Frequencies'!A:A,MATCH(A" &amp; ROW() &amp; ",'Frequencies'!A:A,0))","Frequencies"))</f>
        <v>Frequencies</v>
      </c>
      <c r="G35" s="2"/>
      <c r="H35" s="2">
        <v>48</v>
      </c>
      <c r="I35" s="2"/>
      <c r="J35" s="2"/>
      <c r="K35" s="2"/>
      <c r="L35" s="2"/>
    </row>
    <row r="36" spans="1:12" ht="49.95" customHeight="1" x14ac:dyDescent="0.3">
      <c r="A36" s="3" t="s">
        <v>94</v>
      </c>
      <c r="B36" s="2" t="s">
        <v>95</v>
      </c>
      <c r="C36" s="2"/>
      <c r="D36" s="2" t="s">
        <v>15</v>
      </c>
      <c r="E36" s="4" t="str">
        <f>IF(ISERROR("CBSA"),"",HYPERLINK("#INDEX('Value Lookup'!A:A,MATCH(A" &amp; ROW() &amp; ",'Value Lookup'!A:A,0))","Value Lookup"))</f>
        <v>Value Lookup</v>
      </c>
      <c r="F36" s="4" t="str">
        <f>IF(ISERROR("CBSA"),"",HYPERLINK("#INDEX('Frequencies'!A:A,MATCH(A" &amp; ROW() &amp; ",'Frequencies'!A:A,0))","Frequencies"))</f>
        <v>Frequencies</v>
      </c>
      <c r="G36" s="2"/>
      <c r="H36" s="2"/>
      <c r="I36" s="2"/>
      <c r="J36" s="2"/>
      <c r="K36" s="2">
        <v>19</v>
      </c>
      <c r="L36" s="2"/>
    </row>
    <row r="37" spans="1:12" ht="49.95" customHeight="1" x14ac:dyDescent="0.3">
      <c r="A37" s="3" t="s">
        <v>96</v>
      </c>
      <c r="B37" s="2" t="s">
        <v>97</v>
      </c>
      <c r="C37" s="2"/>
      <c r="D37" s="2" t="s">
        <v>15</v>
      </c>
      <c r="E37" s="4" t="str">
        <f>IF(ISERROR("CDIVMSAR"),"",HYPERLINK("#INDEX('Value Lookup'!A:A,MATCH(A" &amp; ROW() &amp; ",'Value Lookup'!A:A,0))","Value Lookup"))</f>
        <v>Value Lookup</v>
      </c>
      <c r="F37" s="4" t="str">
        <f>IF(ISERROR("CDIVMSAR"),"",HYPERLINK("#INDEX('Frequencies'!A:A,MATCH(A" &amp; ROW() &amp; ",'Frequencies'!A:A,0))","Frequencies"))</f>
        <v>Frequencies</v>
      </c>
      <c r="G37" s="2">
        <v>58</v>
      </c>
      <c r="H37" s="2"/>
      <c r="I37" s="2"/>
      <c r="J37" s="2"/>
      <c r="K37" s="2"/>
      <c r="L37" s="2"/>
    </row>
    <row r="38" spans="1:12" ht="49.95" customHeight="1" x14ac:dyDescent="0.3">
      <c r="A38" s="3" t="s">
        <v>98</v>
      </c>
      <c r="B38" s="2" t="s">
        <v>99</v>
      </c>
      <c r="C38" s="2"/>
      <c r="D38" s="2" t="s">
        <v>15</v>
      </c>
      <c r="E38" s="4" t="str">
        <f>IF(ISERROR("CENSUS_D"),"",HYPERLINK("#INDEX('Value Lookup'!A:A,MATCH(A" &amp; ROW() &amp; ",'Value Lookup'!A:A,0))","Value Lookup"))</f>
        <v>Value Lookup</v>
      </c>
      <c r="F38" s="4" t="str">
        <f>IF(ISERROR("CENSUS_D"),"",HYPERLINK("#INDEX('Frequencies'!A:A,MATCH(A" &amp; ROW() &amp; ",'Frequencies'!A:A,0))","Frequencies"))</f>
        <v>Frequencies</v>
      </c>
      <c r="G38" s="2">
        <v>56</v>
      </c>
      <c r="H38" s="2"/>
      <c r="I38" s="2"/>
      <c r="J38" s="2"/>
      <c r="K38" s="2"/>
      <c r="L38" s="2"/>
    </row>
    <row r="39" spans="1:12" ht="49.95" customHeight="1" x14ac:dyDescent="0.3">
      <c r="A39" s="3" t="s">
        <v>100</v>
      </c>
      <c r="B39" s="2" t="s">
        <v>101</v>
      </c>
      <c r="C39" s="2"/>
      <c r="D39" s="2" t="s">
        <v>15</v>
      </c>
      <c r="E39" s="4" t="str">
        <f>IF(ISERROR("CENSUS_R"),"",HYPERLINK("#INDEX('Value Lookup'!A:A,MATCH(A" &amp; ROW() &amp; ",'Value Lookup'!A:A,0))","Value Lookup"))</f>
        <v>Value Lookup</v>
      </c>
      <c r="F39" s="4" t="str">
        <f>IF(ISERROR("CENSUS_R"),"",HYPERLINK("#INDEX('Frequencies'!A:A,MATCH(A" &amp; ROW() &amp; ",'Frequencies'!A:A,0))","Frequencies"))</f>
        <v>Frequencies</v>
      </c>
      <c r="G39" s="2">
        <v>57</v>
      </c>
      <c r="H39" s="2"/>
      <c r="I39" s="2"/>
      <c r="J39" s="2"/>
      <c r="K39" s="2"/>
      <c r="L39" s="2"/>
    </row>
    <row r="40" spans="1:12" ht="49.95" customHeight="1" x14ac:dyDescent="0.3">
      <c r="A40" s="3" t="s">
        <v>102</v>
      </c>
      <c r="B40" s="2" t="s">
        <v>103</v>
      </c>
      <c r="C40" s="2"/>
      <c r="D40" s="2" t="s">
        <v>15</v>
      </c>
      <c r="E40" s="4" t="str">
        <f>IF(ISERROR("CITY"),"",HYPERLINK("#INDEX('Value Lookup'!A:A,MATCH(A" &amp; ROW() &amp; ",'Value Lookup'!A:A,0))","Value Lookup"))</f>
        <v>Value Lookup</v>
      </c>
      <c r="F40" s="4" t="str">
        <f>IF(ISERROR("CITY"),"",HYPERLINK("#INDEX('Frequencies'!A:A,MATCH(A" &amp; ROW() &amp; ",'Frequencies'!A:A,0))","Frequencies"))</f>
        <v>Frequencies</v>
      </c>
      <c r="G40" s="2"/>
      <c r="H40" s="2"/>
      <c r="I40" s="2"/>
      <c r="J40" s="2"/>
      <c r="K40" s="2">
        <v>9</v>
      </c>
      <c r="L40" s="2"/>
    </row>
    <row r="41" spans="1:12" ht="49.95" customHeight="1" x14ac:dyDescent="0.3">
      <c r="A41" s="3" t="s">
        <v>104</v>
      </c>
      <c r="B41" s="2" t="s">
        <v>105</v>
      </c>
      <c r="C41" s="2"/>
      <c r="D41" s="2" t="s">
        <v>41</v>
      </c>
      <c r="E41" s="2" t="str">
        <f>IF(ISERROR("CNTTDHH"),"","NA")</f>
        <v>NA</v>
      </c>
      <c r="F41" s="4" t="str">
        <f>IF(ISERROR("CNTTDHH"),"",HYPERLINK("#INDEX('Frequencies'!A:A,MATCH(A" &amp; ROW() &amp; ",'Frequencies'!A:A,0))","Frequencies"))</f>
        <v>Frequencies</v>
      </c>
      <c r="G41" s="2">
        <v>38</v>
      </c>
      <c r="H41" s="2"/>
      <c r="I41" s="2"/>
      <c r="J41" s="2"/>
      <c r="K41" s="2"/>
      <c r="L41" s="2"/>
    </row>
    <row r="42" spans="1:12" ht="49.95" customHeight="1" x14ac:dyDescent="0.3">
      <c r="A42" s="3" t="s">
        <v>106</v>
      </c>
      <c r="B42" s="2" t="s">
        <v>107</v>
      </c>
      <c r="C42" s="2"/>
      <c r="D42" s="2" t="s">
        <v>41</v>
      </c>
      <c r="E42" s="2" t="str">
        <f>IF(ISERROR("CNTTDTR"),"","NA")</f>
        <v>NA</v>
      </c>
      <c r="F42" s="4" t="str">
        <f>IF(ISERROR("CNTTDTR"),"",HYPERLINK("#INDEX('Frequencies'!A:A,MATCH(A" &amp; ROW() &amp; ",'Frequencies'!A:A,0))","Frequencies"))</f>
        <v>Frequencies</v>
      </c>
      <c r="G42" s="2"/>
      <c r="H42" s="2">
        <v>148</v>
      </c>
      <c r="I42" s="2"/>
      <c r="J42" s="2"/>
      <c r="K42" s="2"/>
      <c r="L42" s="2"/>
    </row>
    <row r="43" spans="1:12" ht="49.95" customHeight="1" x14ac:dyDescent="0.3">
      <c r="A43" s="3" t="s">
        <v>108</v>
      </c>
      <c r="B43" s="2" t="s">
        <v>109</v>
      </c>
      <c r="C43" s="2"/>
      <c r="D43" s="2" t="s">
        <v>15</v>
      </c>
      <c r="E43" s="4" t="str">
        <f>IF(ISERROR("CNTYFIPS"),"",HYPERLINK("#INDEX('Value Lookup'!A:A,MATCH(A" &amp; ROW() &amp; ",'Value Lookup'!A:A,0))","Value Lookup"))</f>
        <v>Value Lookup</v>
      </c>
      <c r="F43" s="4" t="str">
        <f>IF(ISERROR("CNTYFIPS"),"",HYPERLINK("#INDEX('Frequencies'!A:A,MATCH(A" &amp; ROW() &amp; ",'Frequencies'!A:A,0))","Frequencies"))</f>
        <v>Frequencies</v>
      </c>
      <c r="G43" s="2"/>
      <c r="H43" s="2"/>
      <c r="I43" s="2"/>
      <c r="J43" s="2"/>
      <c r="K43" s="2">
        <v>16</v>
      </c>
      <c r="L43" s="2"/>
    </row>
    <row r="44" spans="1:12" ht="49.95" customHeight="1" x14ac:dyDescent="0.3">
      <c r="A44" s="3" t="s">
        <v>110</v>
      </c>
      <c r="B44" s="2" t="s">
        <v>111</v>
      </c>
      <c r="C44" s="2" t="s">
        <v>112</v>
      </c>
      <c r="D44" s="2" t="s">
        <v>15</v>
      </c>
      <c r="E44" s="4" t="str">
        <f>IF(ISERROR("CONDDK"),"",HYPERLINK("#INDEX('Value Lookup'!A:A,MATCH(A" &amp; ROW() &amp; ",'Value Lookup'!A:A,0))","Value Lookup"))</f>
        <v>Value Lookup</v>
      </c>
      <c r="F44" s="4" t="str">
        <f>IF(ISERROR("CONDDK"),"",HYPERLINK("#INDEX('Frequencies'!A:A,MATCH(A" &amp; ROW() &amp; ",'Frequencies'!A:A,0))","Frequencies"))</f>
        <v>Frequencies</v>
      </c>
      <c r="G44" s="2"/>
      <c r="H44" s="2">
        <v>125</v>
      </c>
      <c r="I44" s="2"/>
      <c r="J44" s="2"/>
      <c r="K44" s="2"/>
      <c r="L44" s="2"/>
    </row>
    <row r="45" spans="1:12" ht="49.95" customHeight="1" x14ac:dyDescent="0.3">
      <c r="A45" s="3" t="s">
        <v>113</v>
      </c>
      <c r="B45" s="2" t="s">
        <v>114</v>
      </c>
      <c r="C45" s="2" t="s">
        <v>112</v>
      </c>
      <c r="D45" s="2" t="s">
        <v>15</v>
      </c>
      <c r="E45" s="4" t="str">
        <f>IF(ISERROR("CONDNIGH"),"",HYPERLINK("#INDEX('Value Lookup'!A:A,MATCH(A" &amp; ROW() &amp; ",'Value Lookup'!A:A,0))","Value Lookup"))</f>
        <v>Value Lookup</v>
      </c>
      <c r="F45" s="4" t="str">
        <f>IF(ISERROR("CONDNIGH"),"",HYPERLINK("#INDEX('Frequencies'!A:A,MATCH(A" &amp; ROW() &amp; ",'Frequencies'!A:A,0))","Frequencies"))</f>
        <v>Frequencies</v>
      </c>
      <c r="G45" s="2"/>
      <c r="H45" s="2">
        <v>119</v>
      </c>
      <c r="I45" s="2"/>
      <c r="J45" s="2"/>
      <c r="K45" s="2"/>
      <c r="L45" s="2"/>
    </row>
    <row r="46" spans="1:12" ht="49.95" customHeight="1" x14ac:dyDescent="0.3">
      <c r="A46" s="3" t="s">
        <v>115</v>
      </c>
      <c r="B46" s="2" t="s">
        <v>116</v>
      </c>
      <c r="C46" s="2" t="s">
        <v>112</v>
      </c>
      <c r="D46" s="2" t="s">
        <v>15</v>
      </c>
      <c r="E46" s="4" t="str">
        <f>IF(ISERROR("CONDNONE"),"",HYPERLINK("#INDEX('Value Lookup'!A:A,MATCH(A" &amp; ROW() &amp; ",'Value Lookup'!A:A,0))","Value Lookup"))</f>
        <v>Value Lookup</v>
      </c>
      <c r="F46" s="4" t="str">
        <f>IF(ISERROR("CONDNONE"),"",HYPERLINK("#INDEX('Frequencies'!A:A,MATCH(A" &amp; ROW() &amp; ",'Frequencies'!A:A,0))","Frequencies"))</f>
        <v>Frequencies</v>
      </c>
      <c r="G46" s="2"/>
      <c r="H46" s="2">
        <v>124</v>
      </c>
      <c r="I46" s="2"/>
      <c r="J46" s="2"/>
      <c r="K46" s="2"/>
      <c r="L46" s="2"/>
    </row>
    <row r="47" spans="1:12" ht="49.95" customHeight="1" x14ac:dyDescent="0.3">
      <c r="A47" s="3" t="s">
        <v>117</v>
      </c>
      <c r="B47" s="2" t="s">
        <v>118</v>
      </c>
      <c r="C47" s="2" t="s">
        <v>112</v>
      </c>
      <c r="D47" s="2" t="s">
        <v>15</v>
      </c>
      <c r="E47" s="4" t="str">
        <f>IF(ISERROR("CONDPUB"),"",HYPERLINK("#INDEX('Value Lookup'!A:A,MATCH(A" &amp; ROW() &amp; ",'Value Lookup'!A:A,0))","Value Lookup"))</f>
        <v>Value Lookup</v>
      </c>
      <c r="F47" s="4" t="str">
        <f>IF(ISERROR("CONDPUB"),"",HYPERLINK("#INDEX('Frequencies'!A:A,MATCH(A" &amp; ROW() &amp; ",'Frequencies'!A:A,0))","Frequencies"))</f>
        <v>Frequencies</v>
      </c>
      <c r="G47" s="2"/>
      <c r="H47" s="2">
        <v>121</v>
      </c>
      <c r="I47" s="2"/>
      <c r="J47" s="2"/>
      <c r="K47" s="2"/>
      <c r="L47" s="2"/>
    </row>
    <row r="48" spans="1:12" ht="49.95" customHeight="1" x14ac:dyDescent="0.3">
      <c r="A48" s="3" t="s">
        <v>119</v>
      </c>
      <c r="B48" s="2" t="s">
        <v>120</v>
      </c>
      <c r="C48" s="2" t="s">
        <v>112</v>
      </c>
      <c r="D48" s="2" t="s">
        <v>15</v>
      </c>
      <c r="E48" s="4" t="str">
        <f>IF(ISERROR("CONDRF"),"",HYPERLINK("#INDEX('Value Lookup'!A:A,MATCH(A" &amp; ROW() &amp; ",'Value Lookup'!A:A,0))","Value Lookup"))</f>
        <v>Value Lookup</v>
      </c>
      <c r="F48" s="4" t="str">
        <f>IF(ISERROR("CONDRF"),"",HYPERLINK("#INDEX('Frequencies'!A:A,MATCH(A" &amp; ROW() &amp; ",'Frequencies'!A:A,0))","Frequencies"))</f>
        <v>Frequencies</v>
      </c>
      <c r="G48" s="2"/>
      <c r="H48" s="2">
        <v>126</v>
      </c>
      <c r="I48" s="2"/>
      <c r="J48" s="2"/>
      <c r="K48" s="2"/>
      <c r="L48" s="2"/>
    </row>
    <row r="49" spans="1:12" ht="49.95" customHeight="1" x14ac:dyDescent="0.3">
      <c r="A49" s="3" t="s">
        <v>121</v>
      </c>
      <c r="B49" s="2" t="s">
        <v>122</v>
      </c>
      <c r="C49" s="2" t="s">
        <v>112</v>
      </c>
      <c r="D49" s="2" t="s">
        <v>15</v>
      </c>
      <c r="E49" s="4" t="str">
        <f>IF(ISERROR("CONDRIDE"),"",HYPERLINK("#INDEX('Value Lookup'!A:A,MATCH(A" &amp; ROW() &amp; ",'Value Lookup'!A:A,0))","Value Lookup"))</f>
        <v>Value Lookup</v>
      </c>
      <c r="F49" s="4" t="str">
        <f>IF(ISERROR("CONDRIDE"),"",HYPERLINK("#INDEX('Frequencies'!A:A,MATCH(A" &amp; ROW() &amp; ",'Frequencies'!A:A,0))","Frequencies"))</f>
        <v>Frequencies</v>
      </c>
      <c r="G49" s="2"/>
      <c r="H49" s="2">
        <v>118</v>
      </c>
      <c r="I49" s="2"/>
      <c r="J49" s="2"/>
      <c r="K49" s="2"/>
      <c r="L49" s="2"/>
    </row>
    <row r="50" spans="1:12" ht="49.95" customHeight="1" x14ac:dyDescent="0.3">
      <c r="A50" s="3" t="s">
        <v>123</v>
      </c>
      <c r="B50" s="2" t="s">
        <v>124</v>
      </c>
      <c r="C50" s="2" t="s">
        <v>112</v>
      </c>
      <c r="D50" s="2" t="s">
        <v>15</v>
      </c>
      <c r="E50" s="4" t="str">
        <f>IF(ISERROR("CONDRIVE"),"",HYPERLINK("#INDEX('Value Lookup'!A:A,MATCH(A" &amp; ROW() &amp; ",'Value Lookup'!A:A,0))","Value Lookup"))</f>
        <v>Value Lookup</v>
      </c>
      <c r="F50" s="4" t="str">
        <f>IF(ISERROR("CONDRIVE"),"",HYPERLINK("#INDEX('Frequencies'!A:A,MATCH(A" &amp; ROW() &amp; ",'Frequencies'!A:A,0))","Frequencies"))</f>
        <v>Frequencies</v>
      </c>
      <c r="G50" s="2"/>
      <c r="H50" s="2">
        <v>120</v>
      </c>
      <c r="I50" s="2"/>
      <c r="J50" s="2"/>
      <c r="K50" s="2"/>
      <c r="L50" s="2"/>
    </row>
    <row r="51" spans="1:12" ht="49.95" customHeight="1" x14ac:dyDescent="0.3">
      <c r="A51" s="3" t="s">
        <v>125</v>
      </c>
      <c r="B51" s="2" t="s">
        <v>126</v>
      </c>
      <c r="C51" s="2" t="s">
        <v>112</v>
      </c>
      <c r="D51" s="2" t="s">
        <v>15</v>
      </c>
      <c r="E51" s="4" t="str">
        <f>IF(ISERROR("CONDSPEC"),"",HYPERLINK("#INDEX('Value Lookup'!A:A,MATCH(A" &amp; ROW() &amp; ",'Value Lookup'!A:A,0))","Value Lookup"))</f>
        <v>Value Lookup</v>
      </c>
      <c r="F51" s="4" t="str">
        <f>IF(ISERROR("CONDSPEC"),"",HYPERLINK("#INDEX('Frequencies'!A:A,MATCH(A" &amp; ROW() &amp; ",'Frequencies'!A:A,0))","Frequencies"))</f>
        <v>Frequencies</v>
      </c>
      <c r="G51" s="2"/>
      <c r="H51" s="2">
        <v>122</v>
      </c>
      <c r="I51" s="2"/>
      <c r="J51" s="2"/>
      <c r="K51" s="2"/>
      <c r="L51" s="2"/>
    </row>
    <row r="52" spans="1:12" ht="49.95" customHeight="1" x14ac:dyDescent="0.3">
      <c r="A52" s="3" t="s">
        <v>127</v>
      </c>
      <c r="B52" s="2" t="s">
        <v>128</v>
      </c>
      <c r="C52" s="2" t="s">
        <v>112</v>
      </c>
      <c r="D52" s="2" t="s">
        <v>15</v>
      </c>
      <c r="E52" s="4" t="str">
        <f>IF(ISERROR("CONDTAX"),"",HYPERLINK("#INDEX('Value Lookup'!A:A,MATCH(A" &amp; ROW() &amp; ",'Value Lookup'!A:A,0))","Value Lookup"))</f>
        <v>Value Lookup</v>
      </c>
      <c r="F52" s="4" t="str">
        <f>IF(ISERROR("CONDTAX"),"",HYPERLINK("#INDEX('Frequencies'!A:A,MATCH(A" &amp; ROW() &amp; ",'Frequencies'!A:A,0))","Frequencies"))</f>
        <v>Frequencies</v>
      </c>
      <c r="G52" s="2"/>
      <c r="H52" s="2">
        <v>123</v>
      </c>
      <c r="I52" s="2"/>
      <c r="J52" s="2"/>
      <c r="K52" s="2"/>
      <c r="L52" s="2"/>
    </row>
    <row r="53" spans="1:12" ht="49.95" customHeight="1" x14ac:dyDescent="0.3">
      <c r="A53" s="3" t="s">
        <v>129</v>
      </c>
      <c r="B53" s="2" t="s">
        <v>130</v>
      </c>
      <c r="C53" s="2" t="s">
        <v>112</v>
      </c>
      <c r="D53" s="2" t="s">
        <v>15</v>
      </c>
      <c r="E53" s="4" t="str">
        <f>IF(ISERROR("CONDTRAV"),"",HYPERLINK("#INDEX('Value Lookup'!A:A,MATCH(A" &amp; ROW() &amp; ",'Value Lookup'!A:A,0))","Value Lookup"))</f>
        <v>Value Lookup</v>
      </c>
      <c r="F53" s="4" t="str">
        <f>IF(ISERROR("CONDTRAV"),"",HYPERLINK("#INDEX('Frequencies'!A:A,MATCH(A" &amp; ROW() &amp; ",'Frequencies'!A:A,0))","Frequencies"))</f>
        <v>Frequencies</v>
      </c>
      <c r="G53" s="2"/>
      <c r="H53" s="2">
        <v>117</v>
      </c>
      <c r="I53" s="2"/>
      <c r="J53" s="2"/>
      <c r="K53" s="2"/>
      <c r="L53" s="2"/>
    </row>
    <row r="54" spans="1:12" ht="49.95" customHeight="1" x14ac:dyDescent="0.3">
      <c r="A54" s="3" t="s">
        <v>131</v>
      </c>
      <c r="B54" s="2" t="s">
        <v>132</v>
      </c>
      <c r="C54" s="2"/>
      <c r="D54" s="2" t="s">
        <v>15</v>
      </c>
      <c r="E54" s="2" t="str">
        <f>IF(ISERROR("COUNTRY"),"","NA")</f>
        <v>NA</v>
      </c>
      <c r="F54" s="4" t="str">
        <f>IF(ISERROR("COUNTRY"),"",HYPERLINK("#INDEX('Frequencies'!A:A,MATCH(A" &amp; ROW() &amp; ",'Frequencies'!A:A,0))","Frequencies"))</f>
        <v>Frequencies</v>
      </c>
      <c r="G54" s="2"/>
      <c r="H54" s="2"/>
      <c r="I54" s="2"/>
      <c r="J54" s="2"/>
      <c r="K54" s="2">
        <v>12</v>
      </c>
      <c r="L54" s="2"/>
    </row>
    <row r="55" spans="1:12" ht="49.95" customHeight="1" x14ac:dyDescent="0.3">
      <c r="A55" s="3" t="s">
        <v>133</v>
      </c>
      <c r="B55" s="2" t="s">
        <v>134</v>
      </c>
      <c r="C55" s="2"/>
      <c r="D55" s="2" t="s">
        <v>15</v>
      </c>
      <c r="E55" s="4" t="str">
        <f>IF(ISERROR("CSA"),"",HYPERLINK("#INDEX('Value Lookup'!A:A,MATCH(A" &amp; ROW() &amp; ",'Value Lookup'!A:A,0))","Value Lookup"))</f>
        <v>Value Lookup</v>
      </c>
      <c r="F55" s="4" t="str">
        <f>IF(ISERROR("CSA"),"",HYPERLINK("#INDEX('Frequencies'!A:A,MATCH(A" &amp; ROW() &amp; ",'Frequencies'!A:A,0))","Frequencies"))</f>
        <v>Frequencies</v>
      </c>
      <c r="G55" s="2"/>
      <c r="H55" s="2"/>
      <c r="I55" s="2"/>
      <c r="J55" s="2"/>
      <c r="K55" s="2">
        <v>20</v>
      </c>
      <c r="L55" s="2"/>
    </row>
    <row r="56" spans="1:12" ht="49.95" customHeight="1" x14ac:dyDescent="0.3">
      <c r="A56" s="3" t="s">
        <v>135</v>
      </c>
      <c r="B56" s="2" t="s">
        <v>136</v>
      </c>
      <c r="C56" s="2" t="s">
        <v>137</v>
      </c>
      <c r="D56" s="2" t="s">
        <v>41</v>
      </c>
      <c r="E56" s="2" t="str">
        <f>IF(ISERROR("DELIVER"),"","Range: 0 - 99")</f>
        <v>Range: 0 - 99</v>
      </c>
      <c r="F56" s="4" t="str">
        <f>IF(ISERROR("DELIVER"),"",HYPERLINK("#INDEX('Frequencies'!A:A,MATCH(A" &amp; ROW() &amp; ",'Frequencies'!A:A,0))","Frequencies"))</f>
        <v>Frequencies</v>
      </c>
      <c r="G56" s="2"/>
      <c r="H56" s="2">
        <v>67</v>
      </c>
      <c r="I56" s="2"/>
      <c r="J56" s="2"/>
      <c r="K56" s="2"/>
      <c r="L56" s="2"/>
    </row>
    <row r="57" spans="1:12" ht="49.95" customHeight="1" x14ac:dyDescent="0.3">
      <c r="A57" s="3" t="s">
        <v>138</v>
      </c>
      <c r="B57" s="2" t="s">
        <v>139</v>
      </c>
      <c r="C57" s="2"/>
      <c r="D57" s="2" t="s">
        <v>15</v>
      </c>
      <c r="E57" s="4" t="str">
        <f>IF(ISERROR("DIARY"),"",HYPERLINK("#INDEX('Value Lookup'!A:A,MATCH(A" &amp; ROW() &amp; ",'Value Lookup'!A:A,0))","Value Lookup"))</f>
        <v>Value Lookup</v>
      </c>
      <c r="F57" s="4" t="str">
        <f>IF(ISERROR("DIARY"),"",HYPERLINK("#INDEX('Frequencies'!A:A,MATCH(A" &amp; ROW() &amp; ",'Frequencies'!A:A,0))","Frequencies"))</f>
        <v>Frequencies</v>
      </c>
      <c r="G57" s="2"/>
      <c r="H57" s="2">
        <v>144</v>
      </c>
      <c r="I57" s="2"/>
      <c r="J57" s="2"/>
      <c r="K57" s="2"/>
      <c r="L57" s="2"/>
    </row>
    <row r="58" spans="1:12" ht="49.95" customHeight="1" x14ac:dyDescent="0.3">
      <c r="A58" s="3" t="s">
        <v>140</v>
      </c>
      <c r="B58" s="2" t="s">
        <v>141</v>
      </c>
      <c r="C58" s="2" t="s">
        <v>142</v>
      </c>
      <c r="D58" s="2" t="s">
        <v>15</v>
      </c>
      <c r="E58" s="4" t="str">
        <f>IF(ISERROR("DIARYCMP"),"",HYPERLINK("#INDEX('Value Lookup'!A:A,MATCH(A" &amp; ROW() &amp; ",'Value Lookup'!A:A,0))","Value Lookup"))</f>
        <v>Value Lookup</v>
      </c>
      <c r="F58" s="4" t="str">
        <f>IF(ISERROR("DIARYCMP"),"",HYPERLINK("#INDEX('Frequencies'!A:A,MATCH(A" &amp; ROW() &amp; ",'Frequencies'!A:A,0))","Frequencies"))</f>
        <v>Frequencies</v>
      </c>
      <c r="G58" s="2"/>
      <c r="H58" s="2">
        <v>65</v>
      </c>
      <c r="I58" s="2"/>
      <c r="J58" s="2"/>
      <c r="K58" s="2"/>
      <c r="L58" s="2"/>
    </row>
    <row r="59" spans="1:12" ht="49.95" customHeight="1" x14ac:dyDescent="0.3">
      <c r="A59" s="3" t="s">
        <v>143</v>
      </c>
      <c r="B59" s="2" t="s">
        <v>144</v>
      </c>
      <c r="C59" s="2" t="s">
        <v>145</v>
      </c>
      <c r="D59" s="2" t="s">
        <v>15</v>
      </c>
      <c r="E59" s="4" t="str">
        <f>IF(ISERROR("DIARYHAV"),"",HYPERLINK("#INDEX('Value Lookup'!A:A,MATCH(A" &amp; ROW() &amp; ",'Value Lookup'!A:A,0))","Value Lookup"))</f>
        <v>Value Lookup</v>
      </c>
      <c r="F59" s="4" t="str">
        <f>IF(ISERROR("DIARYHAV"),"",HYPERLINK("#INDEX('Frequencies'!A:A,MATCH(A" &amp; ROW() &amp; ",'Frequencies'!A:A,0))","Frequencies"))</f>
        <v>Frequencies</v>
      </c>
      <c r="G59" s="2"/>
      <c r="H59" s="2">
        <v>66</v>
      </c>
      <c r="I59" s="2"/>
      <c r="J59" s="2"/>
      <c r="K59" s="2"/>
      <c r="L59" s="2"/>
    </row>
    <row r="60" spans="1:12" ht="49.95" customHeight="1" x14ac:dyDescent="0.3">
      <c r="A60" s="3" t="s">
        <v>146</v>
      </c>
      <c r="B60" s="2" t="s">
        <v>147</v>
      </c>
      <c r="C60" s="2"/>
      <c r="D60" s="2" t="s">
        <v>41</v>
      </c>
      <c r="E60" s="2" t="str">
        <f>IF(ISERROR("DIFFDATE"),"","NA")</f>
        <v>NA</v>
      </c>
      <c r="F60" s="4" t="str">
        <f>IF(ISERROR("DIFFDATE"),"",HYPERLINK("#INDEX('Frequencies'!A:A,MATCH(A" &amp; ROW() &amp; ",'Frequencies'!A:A,0))","Frequencies"))</f>
        <v>Frequencies</v>
      </c>
      <c r="G60" s="2">
        <v>3</v>
      </c>
      <c r="H60" s="2"/>
      <c r="I60" s="2"/>
      <c r="J60" s="2"/>
      <c r="K60" s="2"/>
      <c r="L60" s="2"/>
    </row>
    <row r="61" spans="1:12" ht="49.95" customHeight="1" x14ac:dyDescent="0.3">
      <c r="A61" s="3" t="s">
        <v>148</v>
      </c>
      <c r="B61" s="2" t="s">
        <v>149</v>
      </c>
      <c r="C61" s="2"/>
      <c r="D61" s="2" t="s">
        <v>41</v>
      </c>
      <c r="E61" s="4" t="str">
        <f>IF(ISERROR("DISTTOSC17"),"",HYPERLINK("#INDEX('Value Lookup'!A:A,MATCH(A" &amp; ROW() &amp; ",'Value Lookup'!A:A,0))","Value Lookup"))</f>
        <v>Value Lookup</v>
      </c>
      <c r="F61" s="4" t="str">
        <f>IF(ISERROR("DISTTOSC17"),"",HYPERLINK("#INDEX('Frequencies'!A:A,MATCH(A" &amp; ROW() &amp; ",'Frequencies'!A:A,0))","Frequencies"))</f>
        <v>Frequencies</v>
      </c>
      <c r="G61" s="2"/>
      <c r="H61" s="2">
        <v>157</v>
      </c>
      <c r="I61" s="2"/>
      <c r="J61" s="2"/>
      <c r="K61" s="2"/>
      <c r="L61" s="2"/>
    </row>
    <row r="62" spans="1:12" ht="49.95" customHeight="1" x14ac:dyDescent="0.3">
      <c r="A62" s="3" t="s">
        <v>150</v>
      </c>
      <c r="B62" s="2" t="s">
        <v>151</v>
      </c>
      <c r="C62" s="2"/>
      <c r="D62" s="2" t="s">
        <v>41</v>
      </c>
      <c r="E62" s="4" t="str">
        <f>IF(ISERROR("DISTTOWK17"),"",HYPERLINK("#INDEX('Value Lookup'!A:A,MATCH(A" &amp; ROW() &amp; ",'Value Lookup'!A:A,0))","Value Lookup"))</f>
        <v>Value Lookup</v>
      </c>
      <c r="F62" s="4" t="str">
        <f>IF(ISERROR("DISTTOWK17"),"",HYPERLINK("#INDEX('Frequencies'!A:A,MATCH(A" &amp; ROW() &amp; ",'Frequencies'!A:A,0))","Frequencies"))</f>
        <v>Frequencies</v>
      </c>
      <c r="G62" s="2"/>
      <c r="H62" s="2">
        <v>156</v>
      </c>
      <c r="I62" s="2"/>
      <c r="J62" s="2"/>
      <c r="K62" s="2"/>
      <c r="L62" s="2"/>
    </row>
    <row r="63" spans="1:12" ht="49.95" customHeight="1" x14ac:dyDescent="0.3">
      <c r="A63" s="3" t="s">
        <v>152</v>
      </c>
      <c r="B63" s="2" t="s">
        <v>153</v>
      </c>
      <c r="C63" s="2"/>
      <c r="D63" s="2" t="s">
        <v>15</v>
      </c>
      <c r="E63" s="4" t="str">
        <f>IF(ISERROR("DRIVER"),"",HYPERLINK("#INDEX('Value Lookup'!A:A,MATCH(A" &amp; ROW() &amp; ",'Value Lookup'!A:A,0))","Value Lookup"))</f>
        <v>Value Lookup</v>
      </c>
      <c r="F63" s="4" t="str">
        <f>IF(ISERROR("DRIVER"),"",HYPERLINK("#INDEX('Frequencies'!A:A,MATCH(A" &amp; ROW() &amp; ",'Frequencies'!A:A,0))","Frequencies"))</f>
        <v>Frequencies</v>
      </c>
      <c r="G63" s="2"/>
      <c r="H63" s="2">
        <v>153</v>
      </c>
      <c r="I63" s="2"/>
      <c r="J63" s="2"/>
      <c r="K63" s="2"/>
      <c r="L63" s="2"/>
    </row>
    <row r="64" spans="1:12" ht="49.95" customHeight="1" x14ac:dyDescent="0.3">
      <c r="A64" s="3" t="s">
        <v>154</v>
      </c>
      <c r="B64" s="2" t="s">
        <v>155</v>
      </c>
      <c r="C64" s="2" t="s">
        <v>156</v>
      </c>
      <c r="D64" s="2" t="s">
        <v>15</v>
      </c>
      <c r="E64" s="4" t="str">
        <f>IF(ISERROR("DROP_PRK"),"",HYPERLINK("#INDEX('Value Lookup'!A:A,MATCH(A" &amp; ROW() &amp; ",'Value Lookup'!A:A,0))","Value Lookup"))</f>
        <v>Value Lookup</v>
      </c>
      <c r="F64" s="4" t="str">
        <f>IF(ISERROR("DROP_PRK"),"",HYPERLINK("#INDEX('Frequencies'!A:A,MATCH(A" &amp; ROW() &amp; ",'Frequencies'!A:A,0))","Frequencies"))</f>
        <v>Frequencies</v>
      </c>
      <c r="G64" s="2"/>
      <c r="H64" s="2"/>
      <c r="I64" s="2"/>
      <c r="J64" s="2">
        <v>31</v>
      </c>
      <c r="K64" s="2"/>
      <c r="L64" s="2"/>
    </row>
    <row r="65" spans="1:12" ht="49.95" customHeight="1" x14ac:dyDescent="0.3">
      <c r="A65" s="3" t="s">
        <v>157</v>
      </c>
      <c r="B65" s="2" t="s">
        <v>158</v>
      </c>
      <c r="C65" s="2" t="s">
        <v>159</v>
      </c>
      <c r="D65" s="2" t="s">
        <v>15</v>
      </c>
      <c r="E65" s="4" t="str">
        <f>IF(ISERROR("DRVR"),"",HYPERLINK("#INDEX('Value Lookup'!A:A,MATCH(A" &amp; ROW() &amp; ",'Value Lookup'!A:A,0))","Value Lookup"))</f>
        <v>Value Lookup</v>
      </c>
      <c r="F65" s="4" t="str">
        <f>IF(ISERROR("DRVR"),"",HYPERLINK("#INDEX('Frequencies'!A:A,MATCH(A" &amp; ROW() &amp; ",'Frequencies'!A:A,0))","Frequencies"))</f>
        <v>Frequencies</v>
      </c>
      <c r="G65" s="2"/>
      <c r="H65" s="2">
        <v>6</v>
      </c>
      <c r="I65" s="2"/>
      <c r="J65" s="2"/>
      <c r="K65" s="2"/>
      <c r="L65" s="2"/>
    </row>
    <row r="66" spans="1:12" ht="49.95" customHeight="1" x14ac:dyDescent="0.3">
      <c r="A66" s="3" t="s">
        <v>160</v>
      </c>
      <c r="B66" s="2" t="s">
        <v>161</v>
      </c>
      <c r="C66" s="2"/>
      <c r="D66" s="2" t="s">
        <v>41</v>
      </c>
      <c r="E66" s="2" t="str">
        <f>IF(ISERROR("DRVRCNT"),"","NA")</f>
        <v>NA</v>
      </c>
      <c r="F66" s="4" t="str">
        <f>IF(ISERROR("DRVRCNT"),"",HYPERLINK("#INDEX('Frequencies'!A:A,MATCH(A" &amp; ROW() &amp; ",'Frequencies'!A:A,0))","Frequencies"))</f>
        <v>Frequencies</v>
      </c>
      <c r="G66" s="2">
        <v>37</v>
      </c>
      <c r="H66" s="2"/>
      <c r="I66" s="2"/>
      <c r="J66" s="2"/>
      <c r="K66" s="2"/>
      <c r="L66" s="2"/>
    </row>
    <row r="67" spans="1:12" ht="49.95" customHeight="1" x14ac:dyDescent="0.3">
      <c r="A67" s="3" t="s">
        <v>162</v>
      </c>
      <c r="B67" s="2" t="s">
        <v>163</v>
      </c>
      <c r="C67" s="2"/>
      <c r="D67" s="2" t="s">
        <v>15</v>
      </c>
      <c r="E67" s="4" t="str">
        <f>IF(ISERROR("DRVR_FLG"),"",HYPERLINK("#INDEX('Value Lookup'!A:A,MATCH(A" &amp; ROW() &amp; ",'Value Lookup'!A:A,0))","Value Lookup"))</f>
        <v>Value Lookup</v>
      </c>
      <c r="F67" s="4" t="str">
        <f>IF(ISERROR("DRVR_FLG"),"",HYPERLINK("#INDEX('Frequencies'!A:A,MATCH(A" &amp; ROW() &amp; ",'Frequencies'!A:A,0))","Frequencies"))</f>
        <v>Frequencies</v>
      </c>
      <c r="G67" s="2"/>
      <c r="H67" s="2"/>
      <c r="I67" s="2"/>
      <c r="J67" s="2">
        <v>51</v>
      </c>
      <c r="K67" s="2"/>
      <c r="L67" s="2"/>
    </row>
    <row r="68" spans="1:12" ht="49.95" customHeight="1" x14ac:dyDescent="0.3">
      <c r="A68" s="3" t="s">
        <v>164</v>
      </c>
      <c r="B68" s="2" t="s">
        <v>165</v>
      </c>
      <c r="C68" s="2"/>
      <c r="D68" s="2" t="s">
        <v>15</v>
      </c>
      <c r="E68" s="4" t="str">
        <f>IF(ISERROR("DWELTIME"),"",HYPERLINK("#INDEX('Value Lookup'!A:A,MATCH(A" &amp; ROW() &amp; ",'Value Lookup'!A:A,0))","Value Lookup"))</f>
        <v>Value Lookup</v>
      </c>
      <c r="F68" s="4" t="str">
        <f>IF(ISERROR("DWELTIME"),"",HYPERLINK("#INDEX('Frequencies'!A:A,MATCH(A" &amp; ROW() &amp; ",'Frequencies'!A:A,0))","Frequencies"))</f>
        <v>Frequencies</v>
      </c>
      <c r="G68" s="2"/>
      <c r="H68" s="2"/>
      <c r="I68" s="2"/>
      <c r="J68" s="2">
        <v>47</v>
      </c>
      <c r="K68" s="2"/>
      <c r="L68" s="2"/>
    </row>
    <row r="69" spans="1:12" ht="49.95" customHeight="1" x14ac:dyDescent="0.3">
      <c r="A69" s="3" t="s">
        <v>166</v>
      </c>
      <c r="B69" s="2" t="s">
        <v>167</v>
      </c>
      <c r="C69" s="2" t="s">
        <v>168</v>
      </c>
      <c r="D69" s="2" t="s">
        <v>15</v>
      </c>
      <c r="E69" s="4" t="str">
        <f>IF(ISERROR("EDUC"),"",HYPERLINK("#INDEX('Value Lookup'!A:A,MATCH(A" &amp; ROW() &amp; ",'Value Lookup'!A:A,0))","Value Lookup"))</f>
        <v>Value Lookup</v>
      </c>
      <c r="F69" s="4" t="str">
        <f>IF(ISERROR("EDUC"),"",HYPERLINK("#INDEX('Frequencies'!A:A,MATCH(A" &amp; ROW() &amp; ",'Frequencies'!A:A,0))","Frequencies"))</f>
        <v>Frequencies</v>
      </c>
      <c r="G69" s="2"/>
      <c r="H69" s="2">
        <v>7</v>
      </c>
      <c r="I69" s="2"/>
      <c r="J69" s="2"/>
      <c r="K69" s="2"/>
      <c r="L69" s="2"/>
    </row>
    <row r="70" spans="1:12" ht="49.95" customHeight="1" x14ac:dyDescent="0.3">
      <c r="A70" s="3" t="s">
        <v>169</v>
      </c>
      <c r="B70" s="2" t="s">
        <v>170</v>
      </c>
      <c r="C70" s="2" t="s">
        <v>171</v>
      </c>
      <c r="D70" s="2" t="s">
        <v>15</v>
      </c>
      <c r="E70" s="2" t="str">
        <f>IF(ISERROR("ENDAMPM"),"","NA")</f>
        <v>NA</v>
      </c>
      <c r="F70" s="4" t="str">
        <f>IF(ISERROR("ENDAMPM"),"",HYPERLINK("#INDEX('Frequencies'!A:A,MATCH(A" &amp; ROW() &amp; ",'Frequencies'!A:A,0))","Frequencies"))</f>
        <v>Frequencies</v>
      </c>
      <c r="G70" s="2"/>
      <c r="H70" s="2"/>
      <c r="I70" s="2"/>
      <c r="J70" s="2">
        <v>15</v>
      </c>
      <c r="K70" s="2"/>
      <c r="L70" s="2"/>
    </row>
    <row r="71" spans="1:12" ht="49.95" customHeight="1" x14ac:dyDescent="0.3">
      <c r="A71" s="3" t="s">
        <v>172</v>
      </c>
      <c r="B71" s="2" t="s">
        <v>173</v>
      </c>
      <c r="C71" s="2" t="s">
        <v>171</v>
      </c>
      <c r="D71" s="2" t="s">
        <v>15</v>
      </c>
      <c r="E71" s="2" t="str">
        <f>IF(ISERROR("ENDHOUR"),"","NA")</f>
        <v>NA</v>
      </c>
      <c r="F71" s="4" t="str">
        <f>IF(ISERROR("ENDHOUR"),"",HYPERLINK("#INDEX('Frequencies'!A:A,MATCH(A" &amp; ROW() &amp; ",'Frequencies'!A:A,0))","Frequencies"))</f>
        <v>Frequencies</v>
      </c>
      <c r="G71" s="2"/>
      <c r="H71" s="2"/>
      <c r="I71" s="2"/>
      <c r="J71" s="2">
        <v>13</v>
      </c>
      <c r="K71" s="2"/>
      <c r="L71" s="2"/>
    </row>
    <row r="72" spans="1:12" ht="49.95" customHeight="1" x14ac:dyDescent="0.3">
      <c r="A72" s="3" t="s">
        <v>174</v>
      </c>
      <c r="B72" s="2" t="s">
        <v>175</v>
      </c>
      <c r="C72" s="2" t="s">
        <v>171</v>
      </c>
      <c r="D72" s="2" t="s">
        <v>15</v>
      </c>
      <c r="E72" s="2" t="str">
        <f>IF(ISERROR("ENDMINTE"),"","NA")</f>
        <v>NA</v>
      </c>
      <c r="F72" s="4" t="str">
        <f>IF(ISERROR("ENDMINTE"),"",HYPERLINK("#INDEX('Frequencies'!A:A,MATCH(A" &amp; ROW() &amp; ",'Frequencies'!A:A,0))","Frequencies"))</f>
        <v>Frequencies</v>
      </c>
      <c r="G72" s="2"/>
      <c r="H72" s="2"/>
      <c r="I72" s="2"/>
      <c r="J72" s="2">
        <v>14</v>
      </c>
      <c r="K72" s="2"/>
      <c r="L72" s="2"/>
    </row>
    <row r="73" spans="1:12" ht="49.95" customHeight="1" x14ac:dyDescent="0.3">
      <c r="A73" s="3" t="s">
        <v>176</v>
      </c>
      <c r="B73" s="2" t="s">
        <v>177</v>
      </c>
      <c r="C73" s="2" t="s">
        <v>171</v>
      </c>
      <c r="D73" s="2" t="s">
        <v>15</v>
      </c>
      <c r="E73" s="2" t="str">
        <f>IF(ISERROR("ENDTIME"),"","NA")</f>
        <v>NA</v>
      </c>
      <c r="F73" s="4" t="str">
        <f>IF(ISERROR("ENDTIME"),"",HYPERLINK("#INDEX('Frequencies'!A:A,MATCH(A" &amp; ROW() &amp; ",'Frequencies'!A:A,0))","Frequencies"))</f>
        <v>Frequencies</v>
      </c>
      <c r="G73" s="2"/>
      <c r="H73" s="2"/>
      <c r="I73" s="2"/>
      <c r="J73" s="2">
        <v>7</v>
      </c>
      <c r="K73" s="2"/>
      <c r="L73" s="2"/>
    </row>
    <row r="74" spans="1:12" ht="49.95" customHeight="1" x14ac:dyDescent="0.3">
      <c r="A74" s="3" t="s">
        <v>178</v>
      </c>
      <c r="B74" s="2" t="s">
        <v>179</v>
      </c>
      <c r="C74" s="2" t="s">
        <v>171</v>
      </c>
      <c r="D74" s="2" t="s">
        <v>15</v>
      </c>
      <c r="E74" s="2" t="str">
        <f>IF(ISERROR("ENDTIME17"),"","NA")</f>
        <v>NA</v>
      </c>
      <c r="F74" s="4" t="str">
        <f>IF(ISERROR("ENDTIME17"),"",HYPERLINK("#INDEX('Frequencies'!A:A,MATCH(A" &amp; ROW() &amp; ",'Frequencies'!A:A,0))","Frequencies"))</f>
        <v>Frequencies</v>
      </c>
      <c r="G74" s="2"/>
      <c r="H74" s="2"/>
      <c r="I74" s="2"/>
      <c r="J74" s="2">
        <v>9</v>
      </c>
      <c r="K74" s="2"/>
      <c r="L74" s="2"/>
    </row>
    <row r="75" spans="1:12" ht="49.95" customHeight="1" x14ac:dyDescent="0.3">
      <c r="A75" s="3" t="s">
        <v>180</v>
      </c>
      <c r="B75" s="2" t="s">
        <v>181</v>
      </c>
      <c r="C75" s="2" t="s">
        <v>182</v>
      </c>
      <c r="D75" s="2" t="s">
        <v>15</v>
      </c>
      <c r="E75" s="4" t="str">
        <f>IF(ISERROR("ESTMILE2"),"",HYPERLINK("#INDEX('Value Lookup'!A:A,MATCH(A" &amp; ROW() &amp; ",'Value Lookup'!A:A,0))","Value Lookup"))</f>
        <v>Value Lookup</v>
      </c>
      <c r="F75" s="4" t="str">
        <f>IF(ISERROR("ESTMILE2"),"",HYPERLINK("#INDEX('Frequencies'!A:A,MATCH(A" &amp; ROW() &amp; ",'Frequencies'!A:A,0))","Frequencies"))</f>
        <v>Frequencies</v>
      </c>
      <c r="G75" s="2"/>
      <c r="H75" s="2"/>
      <c r="I75" s="2">
        <v>28</v>
      </c>
      <c r="J75" s="2"/>
      <c r="K75" s="2"/>
      <c r="L75" s="2"/>
    </row>
    <row r="76" spans="1:12" ht="49.95" customHeight="1" x14ac:dyDescent="0.3">
      <c r="A76" s="3" t="s">
        <v>183</v>
      </c>
      <c r="B76" s="2" t="s">
        <v>184</v>
      </c>
      <c r="C76" s="2" t="s">
        <v>185</v>
      </c>
      <c r="D76" s="2" t="s">
        <v>41</v>
      </c>
      <c r="E76" s="2" t="str">
        <f>IF(ISERROR("ESTMILES"),"","Range: 0 - 200000")</f>
        <v>Range: 0 - 200000</v>
      </c>
      <c r="F76" s="4" t="str">
        <f>IF(ISERROR("ESTMILES"),"",HYPERLINK("#INDEX('Frequencies'!A:A,MATCH(A" &amp; ROW() &amp; ",'Frequencies'!A:A,0))","Frequencies"))</f>
        <v>Frequencies</v>
      </c>
      <c r="G76" s="2"/>
      <c r="H76" s="2"/>
      <c r="I76" s="2">
        <v>26</v>
      </c>
      <c r="J76" s="2"/>
      <c r="K76" s="2"/>
      <c r="L76" s="2"/>
    </row>
    <row r="77" spans="1:12" ht="49.95" customHeight="1" x14ac:dyDescent="0.3">
      <c r="A77" s="3" t="s">
        <v>186</v>
      </c>
      <c r="B77" s="2" t="s">
        <v>187</v>
      </c>
      <c r="C77" s="2"/>
      <c r="D77" s="2" t="s">
        <v>15</v>
      </c>
      <c r="E77" s="4" t="str">
        <f>IF(ISERROR("FLAG100"),"",HYPERLINK("#INDEX('Value Lookup'!A:A,MATCH(A" &amp; ROW() &amp; ",'Value Lookup'!A:A,0))","Value Lookup"))</f>
        <v>Value Lookup</v>
      </c>
      <c r="F77" s="4" t="str">
        <f>IF(ISERROR("FLAG100"),"",HYPERLINK("#INDEX('Frequencies'!A:A,MATCH(A" &amp; ROW() &amp; ",'Frequencies'!A:A,0))","Frequencies"))</f>
        <v>Frequencies</v>
      </c>
      <c r="G77" s="2">
        <v>63</v>
      </c>
      <c r="H77" s="2"/>
      <c r="I77" s="2"/>
      <c r="J77" s="2"/>
      <c r="K77" s="2"/>
      <c r="L77" s="2"/>
    </row>
    <row r="78" spans="1:12" ht="49.95" customHeight="1" x14ac:dyDescent="0.3">
      <c r="A78" s="3" t="s">
        <v>188</v>
      </c>
      <c r="B78" s="2" t="s">
        <v>189</v>
      </c>
      <c r="C78" s="2" t="s">
        <v>190</v>
      </c>
      <c r="D78" s="2" t="s">
        <v>15</v>
      </c>
      <c r="E78" s="4" t="str">
        <f>IF(ISERROR("FLEXTIME"),"",HYPERLINK("#INDEX('Value Lookup'!A:A,MATCH(A" &amp; ROW() &amp; ",'Value Lookup'!A:A,0))","Value Lookup"))</f>
        <v>Value Lookup</v>
      </c>
      <c r="F78" s="4" t="str">
        <f>IF(ISERROR("FLEXTIME"),"",HYPERLINK("#INDEX('Frequencies'!A:A,MATCH(A" &amp; ROW() &amp; ",'Frequencies'!A:A,0))","Frequencies"))</f>
        <v>Frequencies</v>
      </c>
      <c r="G78" s="2"/>
      <c r="H78" s="2">
        <v>59</v>
      </c>
      <c r="I78" s="2"/>
      <c r="J78" s="2"/>
      <c r="K78" s="2"/>
      <c r="L78" s="2"/>
    </row>
    <row r="79" spans="1:12" ht="49.95" customHeight="1" x14ac:dyDescent="0.3">
      <c r="A79" s="3" t="s">
        <v>191</v>
      </c>
      <c r="B79" s="2" t="s">
        <v>192</v>
      </c>
      <c r="C79" s="2"/>
      <c r="D79" s="2" t="s">
        <v>15</v>
      </c>
      <c r="E79" s="4" t="str">
        <f>IF(ISERROR("FRSTHM"),"",HYPERLINK("#INDEX('Value Lookup'!A:A,MATCH(A" &amp; ROW() &amp; ",'Value Lookup'!A:A,0))","Value Lookup"))</f>
        <v>Value Lookup</v>
      </c>
      <c r="F79" s="4" t="str">
        <f>IF(ISERROR("FRSTHM"),"",HYPERLINK("#INDEX('Frequencies'!A:A,MATCH(A" &amp; ROW() &amp; ",'Frequencies'!A:A,0))","Frequencies"))</f>
        <v>Frequencies</v>
      </c>
      <c r="G79" s="2"/>
      <c r="H79" s="2">
        <v>146</v>
      </c>
      <c r="I79" s="2"/>
      <c r="J79" s="2"/>
      <c r="K79" s="2"/>
      <c r="L79" s="2"/>
    </row>
    <row r="80" spans="1:12" ht="49.95" customHeight="1" x14ac:dyDescent="0.3">
      <c r="A80" s="3" t="s">
        <v>193</v>
      </c>
      <c r="B80" s="2" t="s">
        <v>194</v>
      </c>
      <c r="C80" s="2"/>
      <c r="D80" s="2" t="s">
        <v>15</v>
      </c>
      <c r="E80" s="4" t="str">
        <f>IF(ISERROR("FRSTHM17"),"",HYPERLINK("#INDEX('Value Lookup'!A:A,MATCH(A" &amp; ROW() &amp; ",'Value Lookup'!A:A,0))","Value Lookup"))</f>
        <v>Value Lookup</v>
      </c>
      <c r="F80" s="4" t="str">
        <f>IF(ISERROR("FRSTHM17"),"",HYPERLINK("#INDEX('Frequencies'!A:A,MATCH(A" &amp; ROW() &amp; ",'Frequencies'!A:A,0))","Frequencies"))</f>
        <v>Frequencies</v>
      </c>
      <c r="G80" s="2"/>
      <c r="H80" s="2">
        <v>147</v>
      </c>
      <c r="I80" s="2"/>
      <c r="J80" s="2"/>
      <c r="K80" s="2"/>
      <c r="L80" s="2"/>
    </row>
    <row r="81" spans="1:12" ht="49.95" customHeight="1" x14ac:dyDescent="0.3">
      <c r="A81" s="3" t="s">
        <v>195</v>
      </c>
      <c r="B81" s="2" t="s">
        <v>196</v>
      </c>
      <c r="C81" s="2" t="s">
        <v>197</v>
      </c>
      <c r="D81" s="2" t="s">
        <v>15</v>
      </c>
      <c r="E81" s="4" t="str">
        <f>IF(ISERROR("FUELTYPE"),"",HYPERLINK("#INDEX('Value Lookup'!A:A,MATCH(A" &amp; ROW() &amp; ",'Value Lookup'!A:A,0))","Value Lookup"))</f>
        <v>Value Lookup</v>
      </c>
      <c r="F81" s="4" t="str">
        <f>IF(ISERROR("FUELTYPE"),"",HYPERLINK("#INDEX('Frequencies'!A:A,MATCH(A" &amp; ROW() &amp; ",'Frequencies'!A:A,0))","Frequencies"))</f>
        <v>Frequencies</v>
      </c>
      <c r="G81" s="2"/>
      <c r="H81" s="2"/>
      <c r="I81" s="2">
        <v>9</v>
      </c>
      <c r="J81" s="2"/>
      <c r="K81" s="2"/>
      <c r="L81" s="2"/>
    </row>
    <row r="82" spans="1:12" ht="49.95" customHeight="1" x14ac:dyDescent="0.3">
      <c r="A82" s="3" t="s">
        <v>198</v>
      </c>
      <c r="B82" s="2" t="s">
        <v>199</v>
      </c>
      <c r="C82" s="2" t="s">
        <v>200</v>
      </c>
      <c r="D82" s="2" t="s">
        <v>15</v>
      </c>
      <c r="E82" s="4" t="str">
        <f>IF(ISERROR("FUELTYPE_O"),"",HYPERLINK("#INDEX('Value Lookup'!A:A,MATCH(A" &amp; ROW() &amp; ",'Value Lookup'!A:A,0))","Value Lookup"))</f>
        <v>Value Lookup</v>
      </c>
      <c r="F82" s="4" t="str">
        <f>IF(ISERROR("FUELTYPE_O"),"",HYPERLINK("#INDEX('Frequencies'!A:A,MATCH(A" &amp; ROW() &amp; ",'Frequencies'!A:A,0))","Frequencies"))</f>
        <v>Frequencies</v>
      </c>
      <c r="G82" s="2"/>
      <c r="H82" s="2"/>
      <c r="I82" s="2">
        <v>10</v>
      </c>
      <c r="J82" s="2"/>
      <c r="K82" s="2"/>
      <c r="L82" s="2"/>
    </row>
    <row r="83" spans="1:12" ht="49.95" customHeight="1" x14ac:dyDescent="0.3">
      <c r="A83" s="3" t="s">
        <v>201</v>
      </c>
      <c r="B83" s="2" t="s">
        <v>202</v>
      </c>
      <c r="C83" s="2"/>
      <c r="D83" s="2" t="s">
        <v>15</v>
      </c>
      <c r="E83" s="2" t="str">
        <f>IF(ISERROR("FULLADDR"),"","NA")</f>
        <v>NA</v>
      </c>
      <c r="F83" s="4" t="str">
        <f>IF(ISERROR("FULLADDR"),"",HYPERLINK("#INDEX('Frequencies'!A:A,MATCH(A" &amp; ROW() &amp; ",'Frequencies'!A:A,0))","Frequencies"))</f>
        <v>Frequencies</v>
      </c>
      <c r="G83" s="2"/>
      <c r="H83" s="2"/>
      <c r="I83" s="2"/>
      <c r="J83" s="2"/>
      <c r="K83" s="2">
        <v>13</v>
      </c>
      <c r="L83" s="2"/>
    </row>
    <row r="84" spans="1:12" ht="49.95" customHeight="1" x14ac:dyDescent="0.3">
      <c r="A84" s="3" t="s">
        <v>203</v>
      </c>
      <c r="B84" s="2" t="s">
        <v>204</v>
      </c>
      <c r="C84" s="2"/>
      <c r="D84" s="2" t="s">
        <v>15</v>
      </c>
      <c r="E84" s="4" t="str">
        <f>IF(ISERROR("FULLFIPS"),"",HYPERLINK("#INDEX('Value Lookup'!A:A,MATCH(A" &amp; ROW() &amp; ",'Value Lookup'!A:A,0))","Value Lookup"))</f>
        <v>Value Lookup</v>
      </c>
      <c r="F84" s="4" t="str">
        <f>IF(ISERROR("FULLFIPS"),"",HYPERLINK("#INDEX('Frequencies'!A:A,MATCH(A" &amp; ROW() &amp; ",'Frequencies'!A:A,0))","Frequencies"))</f>
        <v>Frequencies</v>
      </c>
      <c r="G84" s="2"/>
      <c r="H84" s="2"/>
      <c r="I84" s="2"/>
      <c r="J84" s="2"/>
      <c r="K84" s="2">
        <v>14</v>
      </c>
      <c r="L84" s="2"/>
    </row>
    <row r="85" spans="1:12" ht="49.95" customHeight="1" x14ac:dyDescent="0.3">
      <c r="A85" s="3" t="s">
        <v>205</v>
      </c>
      <c r="B85" s="2" t="s">
        <v>206</v>
      </c>
      <c r="C85" s="2" t="s">
        <v>207</v>
      </c>
      <c r="D85" s="2" t="s">
        <v>15</v>
      </c>
      <c r="E85" s="4" t="str">
        <f>IF(ISERROR("FUTURE"),"",HYPERLINK("#INDEX('Value Lookup'!A:A,MATCH(A" &amp; ROW() &amp; ",'Value Lookup'!A:A,0))","Value Lookup"))</f>
        <v>Value Lookup</v>
      </c>
      <c r="F85" s="4" t="str">
        <f>IF(ISERROR("FUTURE"),"",HYPERLINK("#INDEX('Frequencies'!A:A,MATCH(A" &amp; ROW() &amp; ",'Frequencies'!A:A,0))","Frequencies"))</f>
        <v>Frequencies</v>
      </c>
      <c r="G85" s="2">
        <v>35</v>
      </c>
      <c r="H85" s="2"/>
      <c r="I85" s="2"/>
      <c r="J85" s="2"/>
      <c r="K85" s="2"/>
      <c r="L85" s="2" t="s">
        <v>208</v>
      </c>
    </row>
    <row r="86" spans="1:12" ht="49.95" customHeight="1" x14ac:dyDescent="0.3">
      <c r="A86" s="3" t="s">
        <v>209</v>
      </c>
      <c r="B86" s="2" t="s">
        <v>210</v>
      </c>
      <c r="C86" s="2"/>
      <c r="D86" s="2" t="s">
        <v>41</v>
      </c>
      <c r="E86" s="2" t="str">
        <f>IF(ISERROR("GASPRICE"),"","NA")</f>
        <v>NA</v>
      </c>
      <c r="F86" s="4" t="str">
        <f>IF(ISERROR("GASPRICE"),"",HYPERLINK("#INDEX('Frequencies'!A:A,MATCH(A" &amp; ROW() &amp; ",'Frequencies'!A:A,0))","Frequencies"))</f>
        <v>Frequencies</v>
      </c>
      <c r="G86" s="2">
        <v>53</v>
      </c>
      <c r="H86" s="2"/>
      <c r="I86" s="2"/>
      <c r="J86" s="2"/>
      <c r="K86" s="2"/>
      <c r="L86" s="2"/>
    </row>
    <row r="87" spans="1:12" ht="49.95" customHeight="1" x14ac:dyDescent="0.3">
      <c r="A87" s="3" t="s">
        <v>211</v>
      </c>
      <c r="B87" s="2" t="s">
        <v>212</v>
      </c>
      <c r="C87" s="2"/>
      <c r="D87" s="2" t="s">
        <v>41</v>
      </c>
      <c r="E87" s="4" t="str">
        <f>IF(ISERROR("GCDWORK"),"",HYPERLINK("#INDEX('Value Lookup'!A:A,MATCH(A" &amp; ROW() &amp; ",'Value Lookup'!A:A,0))","Value Lookup"))</f>
        <v>Value Lookup</v>
      </c>
      <c r="F87" s="4" t="str">
        <f>IF(ISERROR("GCDWORK"),"",HYPERLINK("#INDEX('Frequencies'!A:A,MATCH(A" &amp; ROW() &amp; ",'Frequencies'!A:A,0))","Frequencies"))</f>
        <v>Frequencies</v>
      </c>
      <c r="G87" s="2"/>
      <c r="H87" s="2">
        <v>149</v>
      </c>
      <c r="I87" s="2"/>
      <c r="J87" s="2"/>
      <c r="K87" s="2"/>
      <c r="L87" s="2"/>
    </row>
    <row r="88" spans="1:12" ht="49.95" customHeight="1" x14ac:dyDescent="0.3">
      <c r="A88" s="3" t="s">
        <v>213</v>
      </c>
      <c r="B88" s="2" t="s">
        <v>214</v>
      </c>
      <c r="C88" s="2" t="s">
        <v>215</v>
      </c>
      <c r="D88" s="2" t="s">
        <v>15</v>
      </c>
      <c r="E88" s="4" t="str">
        <f>IF(ISERROR("GT1JBLWK"),"",HYPERLINK("#INDEX('Value Lookup'!A:A,MATCH(A" &amp; ROW() &amp; ",'Value Lookup'!A:A,0))","Value Lookup"))</f>
        <v>Value Lookup</v>
      </c>
      <c r="F88" s="4" t="str">
        <f>IF(ISERROR("GT1JBLWK"),"",HYPERLINK("#INDEX('Frequencies'!A:A,MATCH(A" &amp; ROW() &amp; ",'Frequencies'!A:A,0))","Frequencies"))</f>
        <v>Frequencies</v>
      </c>
      <c r="G88" s="2"/>
      <c r="H88" s="2">
        <v>14</v>
      </c>
      <c r="I88" s="2"/>
      <c r="J88" s="2"/>
      <c r="K88" s="2"/>
      <c r="L88" s="2"/>
    </row>
    <row r="89" spans="1:12" ht="49.95" customHeight="1" x14ac:dyDescent="0.3">
      <c r="A89" s="3" t="s">
        <v>216</v>
      </c>
      <c r="B89" s="2" t="s">
        <v>217</v>
      </c>
      <c r="C89" s="2"/>
      <c r="D89" s="2" t="s">
        <v>15</v>
      </c>
      <c r="E89" s="4" t="str">
        <f>IF(ISERROR("HBHTNRNT"),"",HYPERLINK("#INDEX('Value Lookup'!A:A,MATCH(A" &amp; ROW() &amp; ",'Value Lookup'!A:A,0))","Value Lookup"))</f>
        <v>Value Lookup</v>
      </c>
      <c r="F89" s="4" t="str">
        <f>IF(ISERROR("HBHTNRNT"),"",HYPERLINK("#INDEX('Frequencies'!A:A,MATCH(A" &amp; ROW() &amp; ",'Frequencies'!A:A,0))","Frequencies"))</f>
        <v>Frequencies</v>
      </c>
      <c r="G89" s="2">
        <v>64</v>
      </c>
      <c r="H89" s="2"/>
      <c r="I89" s="2"/>
      <c r="J89" s="2"/>
      <c r="K89" s="2"/>
      <c r="L89" s="2"/>
    </row>
    <row r="90" spans="1:12" ht="49.95" customHeight="1" x14ac:dyDescent="0.3">
      <c r="A90" s="3" t="s">
        <v>218</v>
      </c>
      <c r="B90" s="2" t="s">
        <v>219</v>
      </c>
      <c r="C90" s="2"/>
      <c r="D90" s="2" t="s">
        <v>41</v>
      </c>
      <c r="E90" s="4" t="str">
        <f>IF(ISERROR("HBHTNRNT17"),"",HYPERLINK("#INDEX('Value Lookup'!A:A,MATCH(A" &amp; ROW() &amp; ",'Value Lookup'!A:A,0))","Value Lookup"))</f>
        <v>Value Lookup</v>
      </c>
      <c r="F90" s="4" t="str">
        <f>IF(ISERROR("HBHTNRNT17"),"",HYPERLINK("#INDEX('Frequencies'!A:A,MATCH(A" &amp; ROW() &amp; ",'Frequencies'!A:A,0))","Frequencies"))</f>
        <v>Frequencies</v>
      </c>
      <c r="G90" s="2">
        <v>71</v>
      </c>
      <c r="H90" s="2"/>
      <c r="I90" s="2"/>
      <c r="J90" s="2"/>
      <c r="K90" s="2"/>
      <c r="L90" s="2"/>
    </row>
    <row r="91" spans="1:12" ht="49.95" customHeight="1" x14ac:dyDescent="0.3">
      <c r="A91" s="3" t="s">
        <v>220</v>
      </c>
      <c r="B91" s="2" t="s">
        <v>221</v>
      </c>
      <c r="C91" s="2"/>
      <c r="D91" s="2" t="s">
        <v>15</v>
      </c>
      <c r="E91" s="4" t="str">
        <f>IF(ISERROR("HBPPOPDN"),"",HYPERLINK("#INDEX('Value Lookup'!A:A,MATCH(A" &amp; ROW() &amp; ",'Value Lookup'!A:A,0))","Value Lookup"))</f>
        <v>Value Lookup</v>
      </c>
      <c r="F91" s="4" t="str">
        <f>IF(ISERROR("HBPPOPDN"),"",HYPERLINK("#INDEX('Frequencies'!A:A,MATCH(A" &amp; ROW() &amp; ",'Frequencies'!A:A,0))","Frequencies"))</f>
        <v>Frequencies</v>
      </c>
      <c r="G91" s="2">
        <v>65</v>
      </c>
      <c r="H91" s="2"/>
      <c r="I91" s="2"/>
      <c r="J91" s="2"/>
      <c r="K91" s="2"/>
      <c r="L91" s="2"/>
    </row>
    <row r="92" spans="1:12" ht="49.95" customHeight="1" x14ac:dyDescent="0.3">
      <c r="A92" s="3" t="s">
        <v>222</v>
      </c>
      <c r="B92" s="2" t="s">
        <v>223</v>
      </c>
      <c r="C92" s="2"/>
      <c r="D92" s="2" t="s">
        <v>41</v>
      </c>
      <c r="E92" s="2" t="str">
        <f>IF(ISERROR("HBPPOPDN17"),"","NA")</f>
        <v>NA</v>
      </c>
      <c r="F92" s="4" t="str">
        <f>IF(ISERROR("HBPPOPDN17"),"",HYPERLINK("#INDEX('Frequencies'!A:A,MATCH(A" &amp; ROW() &amp; ",'Frequencies'!A:A,0))","Frequencies"))</f>
        <v>Frequencies</v>
      </c>
      <c r="G92" s="2">
        <v>72</v>
      </c>
      <c r="H92" s="2"/>
      <c r="I92" s="2"/>
      <c r="J92" s="2"/>
      <c r="K92" s="2"/>
      <c r="L92" s="2"/>
    </row>
    <row r="93" spans="1:12" ht="49.95" customHeight="1" x14ac:dyDescent="0.3">
      <c r="A93" s="3" t="s">
        <v>224</v>
      </c>
      <c r="B93" s="2" t="s">
        <v>225</v>
      </c>
      <c r="C93" s="2"/>
      <c r="D93" s="2" t="s">
        <v>15</v>
      </c>
      <c r="E93" s="4" t="str">
        <f>IF(ISERROR("HBRESDN"),"",HYPERLINK("#INDEX('Value Lookup'!A:A,MATCH(A" &amp; ROW() &amp; ",'Value Lookup'!A:A,0))","Value Lookup"))</f>
        <v>Value Lookup</v>
      </c>
      <c r="F93" s="4" t="str">
        <f>IF(ISERROR("HBRESDN"),"",HYPERLINK("#INDEX('Frequencies'!A:A,MATCH(A" &amp; ROW() &amp; ",'Frequencies'!A:A,0))","Frequencies"))</f>
        <v>Frequencies</v>
      </c>
      <c r="G93" s="2">
        <v>66</v>
      </c>
      <c r="H93" s="2"/>
      <c r="I93" s="2"/>
      <c r="J93" s="2"/>
      <c r="K93" s="2"/>
      <c r="L93" s="2"/>
    </row>
    <row r="94" spans="1:12" ht="49.95" customHeight="1" x14ac:dyDescent="0.3">
      <c r="A94" s="3" t="s">
        <v>226</v>
      </c>
      <c r="B94" s="2" t="s">
        <v>227</v>
      </c>
      <c r="C94" s="2"/>
      <c r="D94" s="2" t="s">
        <v>41</v>
      </c>
      <c r="E94" s="2" t="str">
        <f>IF(ISERROR("HBRESDN17"),"","NA")</f>
        <v>NA</v>
      </c>
      <c r="F94" s="4" t="str">
        <f>IF(ISERROR("HBRESDN17"),"",HYPERLINK("#INDEX('Frequencies'!A:A,MATCH(A" &amp; ROW() &amp; ",'Frequencies'!A:A,0))","Frequencies"))</f>
        <v>Frequencies</v>
      </c>
      <c r="G94" s="2">
        <v>73</v>
      </c>
      <c r="H94" s="2"/>
      <c r="I94" s="2"/>
      <c r="J94" s="2"/>
      <c r="K94" s="2"/>
      <c r="L94" s="2"/>
    </row>
    <row r="95" spans="1:12" ht="49.95" customHeight="1" x14ac:dyDescent="0.3">
      <c r="A95" s="3" t="s">
        <v>228</v>
      </c>
      <c r="B95" s="2" t="s">
        <v>229</v>
      </c>
      <c r="C95" s="2" t="s">
        <v>230</v>
      </c>
      <c r="D95" s="2" t="s">
        <v>15</v>
      </c>
      <c r="E95" s="4" t="str">
        <f>IF(ISERROR("HEALTH"),"",HYPERLINK("#INDEX('Value Lookup'!A:A,MATCH(A" &amp; ROW() &amp; ",'Value Lookup'!A:A,0))","Value Lookup"))</f>
        <v>Value Lookup</v>
      </c>
      <c r="F95" s="4" t="str">
        <f>IF(ISERROR("HEALTH"),"",HYPERLINK("#INDEX('Frequencies'!A:A,MATCH(A" &amp; ROW() &amp; ",'Frequencies'!A:A,0))","Frequencies"))</f>
        <v>Frequencies</v>
      </c>
      <c r="G95" s="2"/>
      <c r="H95" s="2">
        <v>70</v>
      </c>
      <c r="I95" s="2"/>
      <c r="J95" s="2"/>
      <c r="K95" s="2"/>
      <c r="L95" s="2"/>
    </row>
    <row r="96" spans="1:12" ht="49.95" customHeight="1" x14ac:dyDescent="0.3">
      <c r="A96" s="3" t="s">
        <v>231</v>
      </c>
      <c r="B96" s="2" t="s">
        <v>232</v>
      </c>
      <c r="C96" s="2" t="s">
        <v>233</v>
      </c>
      <c r="D96" s="2" t="s">
        <v>15</v>
      </c>
      <c r="E96" s="4" t="str">
        <f>IF(ISERROR("HFUEL"),"",HYPERLINK("#INDEX('Value Lookup'!A:A,MATCH(A" &amp; ROW() &amp; ",'Value Lookup'!A:A,0))","Value Lookup"))</f>
        <v>Value Lookup</v>
      </c>
      <c r="F96" s="4" t="str">
        <f>IF(ISERROR("HFUEL"),"",HYPERLINK("#INDEX('Frequencies'!A:A,MATCH(A" &amp; ROW() &amp; ",'Frequencies'!A:A,0))","Frequencies"))</f>
        <v>Frequencies</v>
      </c>
      <c r="G96" s="2"/>
      <c r="H96" s="2"/>
      <c r="I96" s="2">
        <v>19</v>
      </c>
      <c r="J96" s="2"/>
      <c r="K96" s="2"/>
      <c r="L96" s="2"/>
    </row>
    <row r="97" spans="1:12" ht="49.95" customHeight="1" x14ac:dyDescent="0.3">
      <c r="A97" s="3" t="s">
        <v>234</v>
      </c>
      <c r="B97" s="2" t="s">
        <v>235</v>
      </c>
      <c r="C97" s="2" t="s">
        <v>236</v>
      </c>
      <c r="D97" s="2" t="s">
        <v>15</v>
      </c>
      <c r="E97" s="4" t="str">
        <f>IF(ISERROR("HFUEL_O"),"",HYPERLINK("#INDEX('Value Lookup'!A:A,MATCH(A" &amp; ROW() &amp; ",'Value Lookup'!A:A,0))","Value Lookup"))</f>
        <v>Value Lookup</v>
      </c>
      <c r="F97" s="4" t="str">
        <f>IF(ISERROR("HFUEL_O"),"",HYPERLINK("#INDEX('Frequencies'!A:A,MATCH(A" &amp; ROW() &amp; ",'Frequencies'!A:A,0))","Frequencies"))</f>
        <v>Frequencies</v>
      </c>
      <c r="G97" s="2"/>
      <c r="H97" s="2"/>
      <c r="I97" s="2">
        <v>20</v>
      </c>
      <c r="J97" s="2"/>
      <c r="K97" s="2"/>
      <c r="L97" s="2"/>
    </row>
    <row r="98" spans="1:12" ht="49.95" customHeight="1" x14ac:dyDescent="0.3">
      <c r="A98" s="3" t="s">
        <v>237</v>
      </c>
      <c r="B98" s="2" t="s">
        <v>238</v>
      </c>
      <c r="C98" s="2"/>
      <c r="D98" s="2" t="s">
        <v>15</v>
      </c>
      <c r="E98" s="4" t="str">
        <f>IF(ISERROR("HH_CBSA"),"",HYPERLINK("#INDEX('Value Lookup'!A:A,MATCH(A" &amp; ROW() &amp; ",'Value Lookup'!A:A,0))","Value Lookup"))</f>
        <v>Value Lookup</v>
      </c>
      <c r="F98" s="4" t="str">
        <f>IF(ISERROR("HH_CBSA"),"",HYPERLINK("#INDEX('Frequencies'!A:A,MATCH(A" &amp; ROW() &amp; ",'Frequencies'!A:A,0))","Frequencies"))</f>
        <v>Frequencies</v>
      </c>
      <c r="G98" s="2">
        <v>61</v>
      </c>
      <c r="H98" s="2"/>
      <c r="I98" s="2"/>
      <c r="J98" s="2"/>
      <c r="K98" s="2"/>
      <c r="L98" s="2"/>
    </row>
    <row r="99" spans="1:12" ht="49.95" customHeight="1" x14ac:dyDescent="0.3">
      <c r="A99" s="3" t="s">
        <v>239</v>
      </c>
      <c r="B99" s="2" t="s">
        <v>240</v>
      </c>
      <c r="C99" s="2" t="s">
        <v>241</v>
      </c>
      <c r="D99" s="2" t="s">
        <v>15</v>
      </c>
      <c r="E99" s="4" t="str">
        <f>IF(ISERROR("HHFAMINC"),"",HYPERLINK("#INDEX('Value Lookup'!A:A,MATCH(A" &amp; ROW() &amp; ",'Value Lookup'!A:A,0))","Value Lookup"))</f>
        <v>Value Lookup</v>
      </c>
      <c r="F99" s="4" t="str">
        <f>IF(ISERROR("HHFAMINC"),"",HYPERLINK("#INDEX('Frequencies'!A:A,MATCH(A" &amp; ROW() &amp; ",'Frequencies'!A:A,0))","Frequencies"))</f>
        <v>Frequencies</v>
      </c>
      <c r="G99" s="2">
        <v>15</v>
      </c>
      <c r="H99" s="2"/>
      <c r="I99" s="2"/>
      <c r="J99" s="2"/>
      <c r="K99" s="2"/>
      <c r="L99" s="2"/>
    </row>
    <row r="100" spans="1:12" ht="49.95" customHeight="1" x14ac:dyDescent="0.3">
      <c r="A100" s="3" t="s">
        <v>242</v>
      </c>
      <c r="B100" s="2" t="s">
        <v>243</v>
      </c>
      <c r="C100" s="2"/>
      <c r="D100" s="2" t="s">
        <v>15</v>
      </c>
      <c r="E100" s="4" t="str">
        <f>IF(ISERROR("HH_HISP"),"",HYPERLINK("#INDEX('Value Lookup'!A:A,MATCH(A" &amp; ROW() &amp; ",'Value Lookup'!A:A,0))","Value Lookup"))</f>
        <v>Value Lookup</v>
      </c>
      <c r="F100" s="4" t="str">
        <f>IF(ISERROR("HH_HISP"),"",HYPERLINK("#INDEX('Frequencies'!A:A,MATCH(A" &amp; ROW() &amp; ",'Frequencies'!A:A,0))","Frequencies"))</f>
        <v>Frequencies</v>
      </c>
      <c r="G100" s="2">
        <v>60</v>
      </c>
      <c r="H100" s="2"/>
      <c r="I100" s="2"/>
      <c r="J100" s="2"/>
      <c r="K100" s="2"/>
      <c r="L100" s="2"/>
    </row>
    <row r="101" spans="1:12" ht="49.95" customHeight="1" x14ac:dyDescent="0.3">
      <c r="A101" s="3" t="s">
        <v>244</v>
      </c>
      <c r="B101" s="2" t="s">
        <v>245</v>
      </c>
      <c r="C101" s="2"/>
      <c r="D101" s="2" t="s">
        <v>15</v>
      </c>
      <c r="E101" s="4" t="str">
        <f>IF(ISERROR("HHMEMDRV"),"",HYPERLINK("#INDEX('Value Lookup'!A:A,MATCH(A" &amp; ROW() &amp; ",'Value Lookup'!A:A,0))","Value Lookup"))</f>
        <v>Value Lookup</v>
      </c>
      <c r="F101" s="4" t="str">
        <f>IF(ISERROR("HHMEMDRV"),"",HYPERLINK("#INDEX('Frequencies'!A:A,MATCH(A" &amp; ROW() &amp; ",'Frequencies'!A:A,0))","Frequencies"))</f>
        <v>Frequencies</v>
      </c>
      <c r="G101" s="2"/>
      <c r="H101" s="2"/>
      <c r="I101" s="2"/>
      <c r="J101" s="2">
        <v>40</v>
      </c>
      <c r="K101" s="2"/>
      <c r="L101" s="2"/>
    </row>
    <row r="102" spans="1:12" ht="49.95" customHeight="1" x14ac:dyDescent="0.3">
      <c r="A102" s="3" t="s">
        <v>246</v>
      </c>
      <c r="B102" s="2" t="s">
        <v>247</v>
      </c>
      <c r="C102" s="2"/>
      <c r="D102" s="2" t="s">
        <v>15</v>
      </c>
      <c r="E102" s="4" t="str">
        <f>IF(ISERROR("HH_ONTD"),"",HYPERLINK("#INDEX('Value Lookup'!A:A,MATCH(A" &amp; ROW() &amp; ",'Value Lookup'!A:A,0))","Value Lookup"))</f>
        <v>Value Lookup</v>
      </c>
      <c r="F102" s="4" t="str">
        <f>IF(ISERROR("HH_ONTD"),"",HYPERLINK("#INDEX('Frequencies'!A:A,MATCH(A" &amp; ROW() &amp; ",'Frequencies'!A:A,0))","Frequencies"))</f>
        <v>Frequencies</v>
      </c>
      <c r="G102" s="2"/>
      <c r="H102" s="2"/>
      <c r="I102" s="2"/>
      <c r="J102" s="2">
        <v>41</v>
      </c>
      <c r="K102" s="2"/>
      <c r="L102" s="2"/>
    </row>
    <row r="103" spans="1:12" ht="49.95" customHeight="1" x14ac:dyDescent="0.3">
      <c r="A103" s="3" t="s">
        <v>248</v>
      </c>
      <c r="B103" s="2" t="s">
        <v>249</v>
      </c>
      <c r="C103" s="2"/>
      <c r="D103" s="2" t="s">
        <v>15</v>
      </c>
      <c r="E103" s="4" t="str">
        <f>IF(ISERROR("HH_RACE"),"",HYPERLINK("#INDEX('Value Lookup'!A:A,MATCH(A" &amp; ROW() &amp; ",'Value Lookup'!A:A,0))","Value Lookup"))</f>
        <v>Value Lookup</v>
      </c>
      <c r="F103" s="4" t="str">
        <f>IF(ISERROR("HH_RACE"),"",HYPERLINK("#INDEX('Frequencies'!A:A,MATCH(A" &amp; ROW() &amp; ",'Frequencies'!A:A,0))","Frequencies"))</f>
        <v>Frequencies</v>
      </c>
      <c r="G103" s="2">
        <v>59</v>
      </c>
      <c r="H103" s="2"/>
      <c r="I103" s="2"/>
      <c r="J103" s="2"/>
      <c r="K103" s="2"/>
      <c r="L103" s="2"/>
    </row>
    <row r="104" spans="1:12" ht="49.95" customHeight="1" x14ac:dyDescent="0.3">
      <c r="A104" s="3" t="s">
        <v>250</v>
      </c>
      <c r="B104" s="2" t="s">
        <v>251</v>
      </c>
      <c r="C104" s="2"/>
      <c r="D104" s="2" t="s">
        <v>15</v>
      </c>
      <c r="E104" s="2" t="str">
        <f>IF(ISERROR("HHRELATD"),"","NA")</f>
        <v>NA</v>
      </c>
      <c r="F104" s="4" t="str">
        <f>IF(ISERROR("HHRELATD"),"",HYPERLINK("#INDEX('Frequencies'!A:A,MATCH(A" &amp; ROW() &amp; ",'Frequencies'!A:A,0))","Frequencies"))</f>
        <v>Frequencies</v>
      </c>
      <c r="G104" s="2">
        <v>36</v>
      </c>
      <c r="H104" s="2"/>
      <c r="I104" s="2"/>
      <c r="J104" s="2"/>
      <c r="K104" s="2"/>
      <c r="L104" s="2"/>
    </row>
    <row r="105" spans="1:12" ht="49.95" customHeight="1" x14ac:dyDescent="0.3">
      <c r="A105" s="3" t="s">
        <v>252</v>
      </c>
      <c r="B105" s="2" t="s">
        <v>253</v>
      </c>
      <c r="C105" s="2" t="s">
        <v>254</v>
      </c>
      <c r="D105" s="2" t="s">
        <v>15</v>
      </c>
      <c r="E105" s="4" t="str">
        <f>IF(ISERROR("HHRESP"),"",HYPERLINK("#INDEX('Value Lookup'!A:A,MATCH(A" &amp; ROW() &amp; ",'Value Lookup'!A:A,0))","Value Lookup"))</f>
        <v>Value Lookup</v>
      </c>
      <c r="F105" s="4" t="str">
        <f>IF(ISERROR("HHRESP"),"",HYPERLINK("#INDEX('Frequencies'!A:A,MATCH(A" &amp; ROW() &amp; ",'Frequencies'!A:A,0))","Frequencies"))</f>
        <v>Frequencies</v>
      </c>
      <c r="G105" s="2">
        <v>45</v>
      </c>
      <c r="H105" s="2"/>
      <c r="I105" s="2"/>
      <c r="J105" s="2"/>
      <c r="K105" s="2"/>
      <c r="L105" s="2"/>
    </row>
    <row r="106" spans="1:12" ht="49.95" customHeight="1" x14ac:dyDescent="0.3">
      <c r="A106" s="3" t="s">
        <v>255</v>
      </c>
      <c r="B106" s="2" t="s">
        <v>256</v>
      </c>
      <c r="C106" s="2" t="s">
        <v>257</v>
      </c>
      <c r="D106" s="2" t="s">
        <v>41</v>
      </c>
      <c r="E106" s="2" t="str">
        <f>IF(ISERROR("HHSIZE"),"","Range: 1 - 15")</f>
        <v>Range: 1 - 15</v>
      </c>
      <c r="F106" s="4" t="str">
        <f>IF(ISERROR("HHSIZE"),"",HYPERLINK("#INDEX('Frequencies'!A:A,MATCH(A" &amp; ROW() &amp; ",'Frequencies'!A:A,0))","Frequencies"))</f>
        <v>Frequencies</v>
      </c>
      <c r="G106" s="2">
        <v>13</v>
      </c>
      <c r="H106" s="2"/>
      <c r="I106" s="2"/>
      <c r="J106" s="2"/>
      <c r="K106" s="2"/>
      <c r="L106" s="2"/>
    </row>
    <row r="107" spans="1:12" ht="49.95" customHeight="1" x14ac:dyDescent="0.3">
      <c r="A107" s="3" t="s">
        <v>258</v>
      </c>
      <c r="B107" s="2" t="s">
        <v>259</v>
      </c>
      <c r="C107" s="2"/>
      <c r="D107" s="2" t="s">
        <v>15</v>
      </c>
      <c r="E107" s="2" t="str">
        <f>IF(ISERROR("HHSTATE"),"","NA")</f>
        <v>NA</v>
      </c>
      <c r="F107" s="4" t="str">
        <f>IF(ISERROR("HHSTATE"),"",HYPERLINK("#INDEX('Frequencies'!A:A,MATCH(A" &amp; ROW() &amp; ",'Frequencies'!A:A,0))","Frequencies"))</f>
        <v>Frequencies</v>
      </c>
      <c r="G107" s="2">
        <v>39</v>
      </c>
      <c r="H107" s="2"/>
      <c r="I107" s="2"/>
      <c r="J107" s="2"/>
      <c r="K107" s="2"/>
      <c r="L107" s="2"/>
    </row>
    <row r="108" spans="1:12" ht="49.95" customHeight="1" x14ac:dyDescent="0.3">
      <c r="A108" s="3" t="s">
        <v>260</v>
      </c>
      <c r="B108" s="2" t="s">
        <v>261</v>
      </c>
      <c r="C108" s="2"/>
      <c r="D108" s="2" t="s">
        <v>15</v>
      </c>
      <c r="E108" s="4" t="str">
        <f>IF(ISERROR("HHSTFIPS"),"",HYPERLINK("#INDEX('Value Lookup'!A:A,MATCH(A" &amp; ROW() &amp; ",'Value Lookup'!A:A,0))","Value Lookup"))</f>
        <v>Value Lookup</v>
      </c>
      <c r="F108" s="4" t="str">
        <f>IF(ISERROR("HHSTFIPS"),"",HYPERLINK("#INDEX('Frequencies'!A:A,MATCH(A" &amp; ROW() &amp; ",'Frequencies'!A:A,0))","Frequencies"))</f>
        <v>Frequencies</v>
      </c>
      <c r="G108" s="2">
        <v>40</v>
      </c>
      <c r="H108" s="2"/>
      <c r="I108" s="2"/>
      <c r="J108" s="2"/>
      <c r="K108" s="2"/>
      <c r="L108" s="2"/>
    </row>
    <row r="109" spans="1:12" ht="49.95" customHeight="1" x14ac:dyDescent="0.3">
      <c r="A109" s="3" t="s">
        <v>262</v>
      </c>
      <c r="B109" s="2" t="s">
        <v>263</v>
      </c>
      <c r="C109" s="2" t="s">
        <v>264</v>
      </c>
      <c r="D109" s="2" t="s">
        <v>41</v>
      </c>
      <c r="E109" s="2" t="str">
        <f>IF(ISERROR("HHVEHCNT"),"","Range: 0 - 12")</f>
        <v>Range: 0 - 12</v>
      </c>
      <c r="F109" s="4" t="str">
        <f>IF(ISERROR("HHVEHCNT"),"",HYPERLINK("#INDEX('Frequencies'!A:A,MATCH(A" &amp; ROW() &amp; ",'Frequencies'!A:A,0))","Frequencies"))</f>
        <v>Frequencies</v>
      </c>
      <c r="G109" s="2">
        <v>14</v>
      </c>
      <c r="H109" s="2"/>
      <c r="I109" s="2"/>
      <c r="J109" s="2"/>
      <c r="K109" s="2"/>
      <c r="L109" s="2"/>
    </row>
    <row r="110" spans="1:12" ht="49.95" customHeight="1" x14ac:dyDescent="0.3">
      <c r="A110" s="3" t="s">
        <v>265</v>
      </c>
      <c r="B110" s="2" t="s">
        <v>266</v>
      </c>
      <c r="C110" s="2" t="s">
        <v>267</v>
      </c>
      <c r="D110" s="2" t="s">
        <v>15</v>
      </c>
      <c r="E110" s="4" t="str">
        <f>IF(ISERROR("HOMEOWN"),"",HYPERLINK("#INDEX('Value Lookup'!A:A,MATCH(A" &amp; ROW() &amp; ",'Value Lookup'!A:A,0))","Value Lookup"))</f>
        <v>Value Lookup</v>
      </c>
      <c r="F110" s="4" t="str">
        <f>IF(ISERROR("HOMEOWN"),"",HYPERLINK("#INDEX('Frequencies'!A:A,MATCH(A" &amp; ROW() &amp; ",'Frequencies'!A:A,0))","Frequencies"))</f>
        <v>Frequencies</v>
      </c>
      <c r="G110" s="2">
        <v>11</v>
      </c>
      <c r="H110" s="2"/>
      <c r="I110" s="2"/>
      <c r="J110" s="2"/>
      <c r="K110" s="2"/>
      <c r="L110" s="2"/>
    </row>
    <row r="111" spans="1:12" ht="49.95" customHeight="1" x14ac:dyDescent="0.3">
      <c r="A111" s="3" t="s">
        <v>268</v>
      </c>
      <c r="B111" s="2" t="s">
        <v>269</v>
      </c>
      <c r="C111" s="2"/>
      <c r="D111" s="2" t="s">
        <v>15</v>
      </c>
      <c r="E111" s="2" t="str">
        <f>IF(ISERROR("HOMEOWN_IMP"),"","NA")</f>
        <v>NA</v>
      </c>
      <c r="F111" s="4" t="str">
        <f>IF(ISERROR("HOMEOWN_IMP"),"",HYPERLINK("#INDEX('Frequencies'!A:A,MATCH(A" &amp; ROW() &amp; ",'Frequencies'!A:A,0))","Frequencies"))</f>
        <v>Frequencies</v>
      </c>
      <c r="G111" s="2">
        <v>81</v>
      </c>
      <c r="H111" s="2"/>
      <c r="I111" s="2"/>
      <c r="J111" s="2"/>
      <c r="K111" s="2"/>
      <c r="L111" s="2"/>
    </row>
    <row r="112" spans="1:12" ht="49.95" customHeight="1" x14ac:dyDescent="0.3">
      <c r="A112" s="3" t="s">
        <v>270</v>
      </c>
      <c r="B112" s="2" t="s">
        <v>271</v>
      </c>
      <c r="C112" s="2" t="s">
        <v>272</v>
      </c>
      <c r="D112" s="2" t="s">
        <v>15</v>
      </c>
      <c r="E112" s="4" t="str">
        <f>IF(ISERROR("HOMEOWOS"),"",HYPERLINK("#INDEX('Value Lookup'!A:A,MATCH(A" &amp; ROW() &amp; ",'Value Lookup'!A:A,0))","Value Lookup"))</f>
        <v>Value Lookup</v>
      </c>
      <c r="F112" s="4" t="str">
        <f>IF(ISERROR("HOMEOWOS"),"",HYPERLINK("#INDEX('Frequencies'!A:A,MATCH(A" &amp; ROW() &amp; ",'Frequencies'!A:A,0))","Frequencies"))</f>
        <v>Frequencies</v>
      </c>
      <c r="G112" s="2">
        <v>12</v>
      </c>
      <c r="H112" s="2"/>
      <c r="I112" s="2"/>
      <c r="J112" s="2"/>
      <c r="K112" s="2"/>
      <c r="L112" s="2"/>
    </row>
    <row r="113" spans="1:12" ht="49.95" customHeight="1" x14ac:dyDescent="0.3">
      <c r="A113" s="3" t="s">
        <v>273</v>
      </c>
      <c r="B113" s="2" t="s">
        <v>274</v>
      </c>
      <c r="C113" s="2"/>
      <c r="D113" s="2" t="s">
        <v>15</v>
      </c>
      <c r="E113" s="2" t="str">
        <f>IF(ISERROR("HOUSEID"),"","NA")</f>
        <v>NA</v>
      </c>
      <c r="F113" s="4" t="str">
        <f>IF(ISERROR("HOUSEID"),"",HYPERLINK("#INDEX('Frequencies'!A:A,MATCH(A" &amp; ROW() &amp; ",'Frequencies'!A:A,0))","Frequencies"))</f>
        <v>Frequencies</v>
      </c>
      <c r="G113" s="2">
        <v>1</v>
      </c>
      <c r="H113" s="2">
        <v>1</v>
      </c>
      <c r="I113" s="2">
        <v>1</v>
      </c>
      <c r="J113" s="2">
        <v>1</v>
      </c>
      <c r="K113" s="2">
        <v>1</v>
      </c>
      <c r="L113" s="2"/>
    </row>
    <row r="114" spans="1:12" ht="49.95" customHeight="1" x14ac:dyDescent="0.3">
      <c r="A114" s="3" t="s">
        <v>275</v>
      </c>
      <c r="B114" s="2" t="s">
        <v>276</v>
      </c>
      <c r="C114" s="2" t="s">
        <v>277</v>
      </c>
      <c r="D114" s="2" t="s">
        <v>15</v>
      </c>
      <c r="E114" s="4" t="str">
        <f>IF(ISERROR("HOWFRPOS"),"",HYPERLINK("#INDEX('Value Lookup'!A:A,MATCH(A" &amp; ROW() &amp; ",'Value Lookup'!A:A,0))","Value Lookup"))</f>
        <v>Value Lookup</v>
      </c>
      <c r="F114" s="4" t="str">
        <f>IF(ISERROR("HOWFRPOS"),"",HYPERLINK("#INDEX('Frequencies'!A:A,MATCH(A" &amp; ROW() &amp; ",'Frequencies'!A:A,0))","Frequencies"))</f>
        <v>Frequencies</v>
      </c>
      <c r="G114" s="2"/>
      <c r="H114" s="2"/>
      <c r="I114" s="2"/>
      <c r="J114" s="2">
        <v>101</v>
      </c>
      <c r="K114" s="2"/>
      <c r="L114" s="2"/>
    </row>
    <row r="115" spans="1:12" ht="49.95" customHeight="1" x14ac:dyDescent="0.3">
      <c r="A115" s="3" t="s">
        <v>278</v>
      </c>
      <c r="B115" s="2" t="s">
        <v>279</v>
      </c>
      <c r="C115" s="2" t="s">
        <v>280</v>
      </c>
      <c r="D115" s="2" t="s">
        <v>15</v>
      </c>
      <c r="E115" s="4" t="str">
        <f>IF(ISERROR("HOWPUBOS"),"",HYPERLINK("#INDEX('Value Lookup'!A:A,MATCH(A" &amp; ROW() &amp; ",'Value Lookup'!A:A,0))","Value Lookup"))</f>
        <v>Value Lookup</v>
      </c>
      <c r="F115" s="4" t="str">
        <f>IF(ISERROR("HOWPUBOS"),"",HYPERLINK("#INDEX('Frequencies'!A:A,MATCH(A" &amp; ROW() &amp; ",'Frequencies'!A:A,0))","Frequencies"))</f>
        <v>Frequencies</v>
      </c>
      <c r="G115" s="2"/>
      <c r="H115" s="2"/>
      <c r="I115" s="2"/>
      <c r="J115" s="2">
        <v>77</v>
      </c>
      <c r="K115" s="2"/>
      <c r="L115" s="2"/>
    </row>
    <row r="116" spans="1:12" ht="49.95" customHeight="1" x14ac:dyDescent="0.3">
      <c r="A116" s="3" t="s">
        <v>281</v>
      </c>
      <c r="B116" s="2" t="s">
        <v>282</v>
      </c>
      <c r="C116" s="2"/>
      <c r="D116" s="2" t="s">
        <v>15</v>
      </c>
      <c r="E116" s="4" t="str">
        <f>IF(ISERROR("HTEEMPDN"),"",HYPERLINK("#INDEX('Value Lookup'!A:A,MATCH(A" &amp; ROW() &amp; ",'Value Lookup'!A:A,0))","Value Lookup"))</f>
        <v>Value Lookup</v>
      </c>
      <c r="F116" s="4" t="str">
        <f>IF(ISERROR("HTEEMPDN"),"",HYPERLINK("#INDEX('Frequencies'!A:A,MATCH(A" &amp; ROW() &amp; ",'Frequencies'!A:A,0))","Frequencies"))</f>
        <v>Frequencies</v>
      </c>
      <c r="G116" s="2">
        <v>67</v>
      </c>
      <c r="H116" s="2"/>
      <c r="I116" s="2"/>
      <c r="J116" s="2"/>
      <c r="K116" s="2"/>
      <c r="L116" s="2"/>
    </row>
    <row r="117" spans="1:12" ht="49.95" customHeight="1" x14ac:dyDescent="0.3">
      <c r="A117" s="3" t="s">
        <v>283</v>
      </c>
      <c r="B117" s="2" t="s">
        <v>284</v>
      </c>
      <c r="C117" s="2"/>
      <c r="D117" s="2" t="s">
        <v>41</v>
      </c>
      <c r="E117" s="2" t="str">
        <f>IF(ISERROR("HTEEMPDN17"),"","NA")</f>
        <v>NA</v>
      </c>
      <c r="F117" s="4" t="str">
        <f>IF(ISERROR("HTEEMPDN17"),"",HYPERLINK("#INDEX('Frequencies'!A:A,MATCH(A" &amp; ROW() &amp; ",'Frequencies'!A:A,0))","Frequencies"))</f>
        <v>Frequencies</v>
      </c>
      <c r="G117" s="2">
        <v>74</v>
      </c>
      <c r="H117" s="2"/>
      <c r="I117" s="2"/>
      <c r="J117" s="2"/>
      <c r="K117" s="2"/>
      <c r="L117" s="2"/>
    </row>
    <row r="118" spans="1:12" ht="49.95" customHeight="1" x14ac:dyDescent="0.3">
      <c r="A118" s="3" t="s">
        <v>285</v>
      </c>
      <c r="B118" s="2" t="s">
        <v>286</v>
      </c>
      <c r="C118" s="2"/>
      <c r="D118" s="2" t="s">
        <v>15</v>
      </c>
      <c r="E118" s="4" t="str">
        <f>IF(ISERROR("HTHTNRNT"),"",HYPERLINK("#INDEX('Value Lookup'!A:A,MATCH(A" &amp; ROW() &amp; ",'Value Lookup'!A:A,0))","Value Lookup"))</f>
        <v>Value Lookup</v>
      </c>
      <c r="F118" s="4" t="str">
        <f>IF(ISERROR("HTHTNRNT"),"",HYPERLINK("#INDEX('Frequencies'!A:A,MATCH(A" &amp; ROW() &amp; ",'Frequencies'!A:A,0))","Frequencies"))</f>
        <v>Frequencies</v>
      </c>
      <c r="G118" s="2">
        <v>68</v>
      </c>
      <c r="H118" s="2"/>
      <c r="I118" s="2"/>
      <c r="J118" s="2"/>
      <c r="K118" s="2"/>
      <c r="L118" s="2"/>
    </row>
    <row r="119" spans="1:12" ht="49.95" customHeight="1" x14ac:dyDescent="0.3">
      <c r="A119" s="3" t="s">
        <v>287</v>
      </c>
      <c r="B119" s="2" t="s">
        <v>288</v>
      </c>
      <c r="C119" s="2"/>
      <c r="D119" s="2" t="s">
        <v>41</v>
      </c>
      <c r="E119" s="4" t="str">
        <f>IF(ISERROR("HTHTNRNT17"),"",HYPERLINK("#INDEX('Value Lookup'!A:A,MATCH(A" &amp; ROW() &amp; ",'Value Lookup'!A:A,0))","Value Lookup"))</f>
        <v>Value Lookup</v>
      </c>
      <c r="F119" s="4" t="str">
        <f>IF(ISERROR("HTHTNRNT17"),"",HYPERLINK("#INDEX('Frequencies'!A:A,MATCH(A" &amp; ROW() &amp; ",'Frequencies'!A:A,0))","Frequencies"))</f>
        <v>Frequencies</v>
      </c>
      <c r="G119" s="2">
        <v>75</v>
      </c>
      <c r="H119" s="2"/>
      <c r="I119" s="2"/>
      <c r="J119" s="2"/>
      <c r="K119" s="2"/>
      <c r="L119" s="2"/>
    </row>
    <row r="120" spans="1:12" ht="49.95" customHeight="1" x14ac:dyDescent="0.3">
      <c r="A120" s="3" t="s">
        <v>289</v>
      </c>
      <c r="B120" s="2" t="s">
        <v>290</v>
      </c>
      <c r="C120" s="2"/>
      <c r="D120" s="2" t="s">
        <v>15</v>
      </c>
      <c r="E120" s="4" t="str">
        <f>IF(ISERROR("HTPPOPDN"),"",HYPERLINK("#INDEX('Value Lookup'!A:A,MATCH(A" &amp; ROW() &amp; ",'Value Lookup'!A:A,0))","Value Lookup"))</f>
        <v>Value Lookup</v>
      </c>
      <c r="F120" s="4" t="str">
        <f>IF(ISERROR("HTPPOPDN"),"",HYPERLINK("#INDEX('Frequencies'!A:A,MATCH(A" &amp; ROW() &amp; ",'Frequencies'!A:A,0))","Frequencies"))</f>
        <v>Frequencies</v>
      </c>
      <c r="G120" s="2">
        <v>69</v>
      </c>
      <c r="H120" s="2"/>
      <c r="I120" s="2"/>
      <c r="J120" s="2"/>
      <c r="K120" s="2"/>
      <c r="L120" s="2"/>
    </row>
    <row r="121" spans="1:12" ht="49.95" customHeight="1" x14ac:dyDescent="0.3">
      <c r="A121" s="3" t="s">
        <v>291</v>
      </c>
      <c r="B121" s="2" t="s">
        <v>292</v>
      </c>
      <c r="C121" s="2"/>
      <c r="D121" s="2" t="s">
        <v>41</v>
      </c>
      <c r="E121" s="2" t="str">
        <f>IF(ISERROR("HTPPOPDN17"),"","NA")</f>
        <v>NA</v>
      </c>
      <c r="F121" s="4" t="str">
        <f>IF(ISERROR("HTPPOPDN17"),"",HYPERLINK("#INDEX('Frequencies'!A:A,MATCH(A" &amp; ROW() &amp; ",'Frequencies'!A:A,0))","Frequencies"))</f>
        <v>Frequencies</v>
      </c>
      <c r="G121" s="2">
        <v>76</v>
      </c>
      <c r="H121" s="2"/>
      <c r="I121" s="2"/>
      <c r="J121" s="2"/>
      <c r="K121" s="2"/>
      <c r="L121" s="2"/>
    </row>
    <row r="122" spans="1:12" ht="49.95" customHeight="1" x14ac:dyDescent="0.3">
      <c r="A122" s="3" t="s">
        <v>293</v>
      </c>
      <c r="B122" s="2" t="s">
        <v>294</v>
      </c>
      <c r="C122" s="2"/>
      <c r="D122" s="2" t="s">
        <v>15</v>
      </c>
      <c r="E122" s="4" t="str">
        <f>IF(ISERROR("HTRESDN"),"",HYPERLINK("#INDEX('Value Lookup'!A:A,MATCH(A" &amp; ROW() &amp; ",'Value Lookup'!A:A,0))","Value Lookup"))</f>
        <v>Value Lookup</v>
      </c>
      <c r="F122" s="4" t="str">
        <f>IF(ISERROR("HTRESDN"),"",HYPERLINK("#INDEX('Frequencies'!A:A,MATCH(A" &amp; ROW() &amp; ",'Frequencies'!A:A,0))","Frequencies"))</f>
        <v>Frequencies</v>
      </c>
      <c r="G122" s="2">
        <v>70</v>
      </c>
      <c r="H122" s="2"/>
      <c r="I122" s="2"/>
      <c r="J122" s="2"/>
      <c r="K122" s="2"/>
      <c r="L122" s="2"/>
    </row>
    <row r="123" spans="1:12" ht="49.95" customHeight="1" x14ac:dyDescent="0.3">
      <c r="A123" s="3" t="s">
        <v>295</v>
      </c>
      <c r="B123" s="2" t="s">
        <v>296</v>
      </c>
      <c r="C123" s="2"/>
      <c r="D123" s="2" t="s">
        <v>41</v>
      </c>
      <c r="E123" s="2" t="str">
        <f>IF(ISERROR("HTRESDN17"),"","NA")</f>
        <v>NA</v>
      </c>
      <c r="F123" s="4" t="str">
        <f>IF(ISERROR("HTRESDN17"),"",HYPERLINK("#INDEX('Frequencies'!A:A,MATCH(A" &amp; ROW() &amp; ",'Frequencies'!A:A,0))","Frequencies"))</f>
        <v>Frequencies</v>
      </c>
      <c r="G123" s="2">
        <v>77</v>
      </c>
      <c r="H123" s="2"/>
      <c r="I123" s="2"/>
      <c r="J123" s="2"/>
      <c r="K123" s="2"/>
      <c r="L123" s="2"/>
    </row>
    <row r="124" spans="1:12" ht="49.95" customHeight="1" x14ac:dyDescent="0.3">
      <c r="A124" s="3" t="s">
        <v>297</v>
      </c>
      <c r="B124" s="2" t="s">
        <v>298</v>
      </c>
      <c r="C124" s="2"/>
      <c r="D124" s="2" t="s">
        <v>15</v>
      </c>
      <c r="E124" s="4" t="str">
        <f>IF(ISERROR("HYBRID"),"",HYPERLINK("#INDEX('Value Lookup'!A:A,MATCH(A" &amp; ROW() &amp; ",'Value Lookup'!A:A,0))","Value Lookup"))</f>
        <v>Value Lookup</v>
      </c>
      <c r="F124" s="4" t="str">
        <f>IF(ISERROR("HYBRID"),"",HYPERLINK("#INDEX('Frequencies'!A:A,MATCH(A" &amp; ROW() &amp; ",'Frequencies'!A:A,0))","Frequencies"))</f>
        <v>Frequencies</v>
      </c>
      <c r="G124" s="2"/>
      <c r="H124" s="2"/>
      <c r="I124" s="2">
        <v>30</v>
      </c>
      <c r="J124" s="2"/>
      <c r="K124" s="2"/>
      <c r="L124" s="2"/>
    </row>
    <row r="125" spans="1:12" ht="49.95" customHeight="1" x14ac:dyDescent="0.3">
      <c r="A125" s="3" t="s">
        <v>299</v>
      </c>
      <c r="B125" s="2" t="s">
        <v>300</v>
      </c>
      <c r="C125" s="2" t="s">
        <v>301</v>
      </c>
      <c r="D125" s="2" t="s">
        <v>15</v>
      </c>
      <c r="E125" s="4" t="str">
        <f>IF(ISERROR("JOBCATOS"),"",HYPERLINK("#INDEX('Value Lookup'!A:A,MATCH(A" &amp; ROW() &amp; ",'Value Lookup'!A:A,0))","Value Lookup"))</f>
        <v>Value Lookup</v>
      </c>
      <c r="F125" s="4" t="str">
        <f>IF(ISERROR("JOBCATOS"),"",HYPERLINK("#INDEX('Frequencies'!A:A,MATCH(A" &amp; ROW() &amp; ",'Frequencies'!A:A,0))","Frequencies"))</f>
        <v>Frequencies</v>
      </c>
      <c r="G125" s="2"/>
      <c r="H125" s="2">
        <v>21</v>
      </c>
      <c r="I125" s="2"/>
      <c r="J125" s="2"/>
      <c r="K125" s="2"/>
      <c r="L125" s="2"/>
    </row>
    <row r="126" spans="1:12" ht="49.95" customHeight="1" x14ac:dyDescent="0.3">
      <c r="A126" s="3" t="s">
        <v>302</v>
      </c>
      <c r="B126" s="2" t="s">
        <v>303</v>
      </c>
      <c r="C126" s="2" t="s">
        <v>304</v>
      </c>
      <c r="D126" s="2" t="s">
        <v>15</v>
      </c>
      <c r="E126" s="4" t="str">
        <f>IF(ISERROR("LANDLINE"),"",HYPERLINK("#INDEX('Value Lookup'!A:A,MATCH(A" &amp; ROW() &amp; ",'Value Lookup'!A:A,0))","Value Lookup"))</f>
        <v>Value Lookup</v>
      </c>
      <c r="F126" s="4" t="str">
        <f>IF(ISERROR("LANDLINE"),"",HYPERLINK("#INDEX('Frequencies'!A:A,MATCH(A" &amp; ROW() &amp; ",'Frequencies'!A:A,0))","Frequencies"))</f>
        <v>Frequencies</v>
      </c>
      <c r="G126" s="2">
        <v>16</v>
      </c>
      <c r="H126" s="2"/>
      <c r="I126" s="2"/>
      <c r="J126" s="2"/>
      <c r="K126" s="2"/>
      <c r="L126" s="2"/>
    </row>
    <row r="127" spans="1:12" ht="49.95" customHeight="1" x14ac:dyDescent="0.3">
      <c r="A127" s="3" t="s">
        <v>305</v>
      </c>
      <c r="B127" s="2" t="s">
        <v>306</v>
      </c>
      <c r="C127" s="2" t="s">
        <v>307</v>
      </c>
      <c r="D127" s="2" t="s">
        <v>15</v>
      </c>
      <c r="E127" s="4" t="str">
        <f>IF(ISERROR("LANG"),"",HYPERLINK("#INDEX('Value Lookup'!A:A,MATCH(A" &amp; ROW() &amp; ",'Value Lookup'!A:A,0))","Value Lookup"))</f>
        <v>Value Lookup</v>
      </c>
      <c r="F127" s="4" t="str">
        <f>IF(ISERROR("LANG"),"",HYPERLINK("#INDEX('Frequencies'!A:A,MATCH(A" &amp; ROW() &amp; ",'Frequencies'!A:A,0))","Frequencies"))</f>
        <v>Frequencies</v>
      </c>
      <c r="G127" s="2">
        <v>6</v>
      </c>
      <c r="H127" s="2"/>
      <c r="I127" s="2"/>
      <c r="J127" s="2"/>
      <c r="K127" s="2"/>
      <c r="L127" s="2"/>
    </row>
    <row r="128" spans="1:12" ht="49.95" customHeight="1" x14ac:dyDescent="0.3">
      <c r="A128" s="3" t="s">
        <v>308</v>
      </c>
      <c r="B128" s="2" t="s">
        <v>309</v>
      </c>
      <c r="C128" s="2"/>
      <c r="D128" s="2" t="s">
        <v>15</v>
      </c>
      <c r="E128" s="2" t="str">
        <f>IF(ISERROR("LATITUDE"),"","NA")</f>
        <v>NA</v>
      </c>
      <c r="F128" s="4" t="str">
        <f>IF(ISERROR("LATITUDE"),"",HYPERLINK("#INDEX('Frequencies'!A:A,MATCH(A" &amp; ROW() &amp; ",'Frequencies'!A:A,0))","Frequencies"))</f>
        <v>Frequencies</v>
      </c>
      <c r="G128" s="2"/>
      <c r="H128" s="2"/>
      <c r="I128" s="2"/>
      <c r="J128" s="2"/>
      <c r="K128" s="2">
        <v>6</v>
      </c>
      <c r="L128" s="2"/>
    </row>
    <row r="129" spans="1:12" ht="49.95" customHeight="1" x14ac:dyDescent="0.3">
      <c r="A129" s="3" t="s">
        <v>310</v>
      </c>
      <c r="B129" s="2" t="s">
        <v>311</v>
      </c>
      <c r="C129" s="2"/>
      <c r="D129" s="2" t="s">
        <v>41</v>
      </c>
      <c r="E129" s="4" t="str">
        <f>IF(ISERROR("LD_DIST"),"",HYPERLINK("#INDEX('Value Lookup'!A:A,MATCH(A" &amp; ROW() &amp; ",'Value Lookup'!A:A,0))","Value Lookup"))</f>
        <v>Value Lookup</v>
      </c>
      <c r="F129" s="4" t="str">
        <f>IF(ISERROR("LD_DIST"),"",HYPERLINK("#INDEX('Frequencies'!A:A,MATCH(A" &amp; ROW() &amp; ",'Frequencies'!A:A,0))","Frequencies"))</f>
        <v>Frequencies</v>
      </c>
      <c r="G129" s="2">
        <v>54</v>
      </c>
      <c r="H129" s="2"/>
      <c r="I129" s="2"/>
      <c r="J129" s="2"/>
      <c r="K129" s="2"/>
      <c r="L129" s="2"/>
    </row>
    <row r="130" spans="1:12" ht="49.95" customHeight="1" x14ac:dyDescent="0.3">
      <c r="A130" s="3" t="s">
        <v>312</v>
      </c>
      <c r="B130" s="2" t="s">
        <v>313</v>
      </c>
      <c r="C130" s="2"/>
      <c r="D130" s="2" t="s">
        <v>15</v>
      </c>
      <c r="E130" s="4" t="str">
        <f>IF(ISERROR("LIF_CYC"),"",HYPERLINK("#INDEX('Value Lookup'!A:A,MATCH(A" &amp; ROW() &amp; ",'Value Lookup'!A:A,0))","Value Lookup"))</f>
        <v>Value Lookup</v>
      </c>
      <c r="F130" s="4" t="str">
        <f>IF(ISERROR("LIF_CYC"),"",HYPERLINK("#INDEX('Frequencies'!A:A,MATCH(A" &amp; ROW() &amp; ",'Frequencies'!A:A,0))","Frequencies"))</f>
        <v>Frequencies</v>
      </c>
      <c r="G130" s="2">
        <v>46</v>
      </c>
      <c r="H130" s="2"/>
      <c r="I130" s="2"/>
      <c r="J130" s="2"/>
      <c r="K130" s="2"/>
      <c r="L130" s="2"/>
    </row>
    <row r="131" spans="1:12" ht="49.95" customHeight="1" x14ac:dyDescent="0.3">
      <c r="A131" s="3" t="s">
        <v>314</v>
      </c>
      <c r="B131" s="2" t="s">
        <v>315</v>
      </c>
      <c r="C131" s="2" t="s">
        <v>316</v>
      </c>
      <c r="D131" s="2" t="s">
        <v>15</v>
      </c>
      <c r="E131" s="2" t="str">
        <f>IF(ISERROR("LOCNAME"),"","NA")</f>
        <v>NA</v>
      </c>
      <c r="F131" s="4" t="str">
        <f>IF(ISERROR("LOCNAME"),"",HYPERLINK("#INDEX('Frequencies'!A:A,MATCH(A" &amp; ROW() &amp; ",'Frequencies'!A:A,0))","Frequencies"))</f>
        <v>Frequencies</v>
      </c>
      <c r="G131" s="2"/>
      <c r="H131" s="2"/>
      <c r="I131" s="2"/>
      <c r="J131" s="2"/>
      <c r="K131" s="2">
        <v>7</v>
      </c>
      <c r="L131" s="2"/>
    </row>
    <row r="132" spans="1:12" ht="49.95" customHeight="1" x14ac:dyDescent="0.3">
      <c r="A132" s="3" t="s">
        <v>317</v>
      </c>
      <c r="B132" s="2" t="s">
        <v>318</v>
      </c>
      <c r="C132" s="2"/>
      <c r="D132" s="2" t="s">
        <v>15</v>
      </c>
      <c r="E132" s="2" t="str">
        <f>IF(ISERROR("LOCNO"),"","NA")</f>
        <v>NA</v>
      </c>
      <c r="F132" s="4" t="str">
        <f>IF(ISERROR("LOCNO"),"",HYPERLINK("#INDEX('Frequencies'!A:A,MATCH(A" &amp; ROW() &amp; ",'Frequencies'!A:A,0))","Frequencies"))</f>
        <v>Frequencies</v>
      </c>
      <c r="G132" s="2"/>
      <c r="H132" s="2"/>
      <c r="I132" s="2"/>
      <c r="J132" s="2">
        <v>5</v>
      </c>
      <c r="K132" s="2">
        <v>2</v>
      </c>
      <c r="L132" s="2"/>
    </row>
    <row r="133" spans="1:12" ht="49.95" customHeight="1" x14ac:dyDescent="0.3">
      <c r="A133" s="3" t="s">
        <v>319</v>
      </c>
      <c r="B133" s="2" t="s">
        <v>320</v>
      </c>
      <c r="C133" s="2"/>
      <c r="D133" s="2" t="s">
        <v>15</v>
      </c>
      <c r="E133" s="4" t="str">
        <f>IF(ISERROR("LOCTYPE"),"",HYPERLINK("#INDEX('Value Lookup'!A:A,MATCH(A" &amp; ROW() &amp; ",'Value Lookup'!A:A,0))","Value Lookup"))</f>
        <v>Value Lookup</v>
      </c>
      <c r="F133" s="4" t="str">
        <f>IF(ISERROR("LOCTYPE"),"",HYPERLINK("#INDEX('Frequencies'!A:A,MATCH(A" &amp; ROW() &amp; ",'Frequencies'!A:A,0))","Frequencies"))</f>
        <v>Frequencies</v>
      </c>
      <c r="G133" s="2"/>
      <c r="H133" s="2"/>
      <c r="I133" s="2"/>
      <c r="J133" s="2"/>
      <c r="K133" s="2">
        <v>4</v>
      </c>
      <c r="L133" s="2"/>
    </row>
    <row r="134" spans="1:12" ht="49.95" customHeight="1" x14ac:dyDescent="0.3">
      <c r="A134" s="3" t="s">
        <v>321</v>
      </c>
      <c r="B134" s="2" t="s">
        <v>322</v>
      </c>
      <c r="C134" s="2"/>
      <c r="D134" s="2" t="s">
        <v>15</v>
      </c>
      <c r="E134" s="2" t="str">
        <f>IF(ISERROR("LONGITUDE"),"","NA")</f>
        <v>NA</v>
      </c>
      <c r="F134" s="4" t="str">
        <f>IF(ISERROR("LONGITUDE"),"",HYPERLINK("#INDEX('Frequencies'!A:A,MATCH(A" &amp; ROW() &amp; ",'Frequencies'!A:A,0))","Frequencies"))</f>
        <v>Frequencies</v>
      </c>
      <c r="G134" s="2"/>
      <c r="H134" s="2"/>
      <c r="I134" s="2"/>
      <c r="J134" s="2"/>
      <c r="K134" s="2">
        <v>5</v>
      </c>
      <c r="L134" s="2"/>
    </row>
    <row r="135" spans="1:12" ht="49.95" customHeight="1" x14ac:dyDescent="0.3">
      <c r="A135" s="3" t="s">
        <v>323</v>
      </c>
      <c r="B135" s="2" t="s">
        <v>324</v>
      </c>
      <c r="C135" s="2"/>
      <c r="D135" s="2" t="s">
        <v>15</v>
      </c>
      <c r="E135" s="2" t="str">
        <f>IF(ISERROR("LOOP_TRIP"),"","NA")</f>
        <v>NA</v>
      </c>
      <c r="F135" s="4" t="str">
        <f>IF(ISERROR("LOOP_TRIP"),"",HYPERLINK("#INDEX('Frequencies'!A:A,MATCH(A" &amp; ROW() &amp; ",'Frequencies'!A:A,0))","Frequencies"))</f>
        <v>Frequencies</v>
      </c>
      <c r="G135" s="2"/>
      <c r="H135" s="2"/>
      <c r="I135" s="2"/>
      <c r="J135" s="2">
        <v>38</v>
      </c>
      <c r="K135" s="2"/>
      <c r="L135" s="2"/>
    </row>
    <row r="136" spans="1:12" ht="49.95" customHeight="1" x14ac:dyDescent="0.3">
      <c r="A136" s="3" t="s">
        <v>325</v>
      </c>
      <c r="B136" s="2" t="s">
        <v>326</v>
      </c>
      <c r="C136" s="2" t="s">
        <v>327</v>
      </c>
      <c r="D136" s="2" t="s">
        <v>41</v>
      </c>
      <c r="E136" s="2" t="str">
        <f>IF(ISERROR("LPACT"),"","Range: 0 - 21")</f>
        <v>Range: 0 - 21</v>
      </c>
      <c r="F136" s="4" t="str">
        <f>IF(ISERROR("LPACT"),"",HYPERLINK("#INDEX('Frequencies'!A:A,MATCH(A" &amp; ROW() &amp; ",'Frequencies'!A:A,0))","Frequencies"))</f>
        <v>Frequencies</v>
      </c>
      <c r="G136" s="2"/>
      <c r="H136" s="2">
        <v>73</v>
      </c>
      <c r="I136" s="2"/>
      <c r="J136" s="2"/>
      <c r="K136" s="2"/>
      <c r="L136" s="2"/>
    </row>
    <row r="137" spans="1:12" ht="49.95" customHeight="1" x14ac:dyDescent="0.3">
      <c r="A137" s="3" t="s">
        <v>328</v>
      </c>
      <c r="B137" s="2" t="s">
        <v>329</v>
      </c>
      <c r="C137" s="2" t="s">
        <v>330</v>
      </c>
      <c r="D137" s="2" t="s">
        <v>15</v>
      </c>
      <c r="E137" s="4" t="str">
        <f>IF(ISERROR("LSTTRDAY17"),"",HYPERLINK("#INDEX('Value Lookup'!A:A,MATCH(A" &amp; ROW() &amp; ",'Value Lookup'!A:A,0))","Value Lookup"))</f>
        <v>Value Lookup</v>
      </c>
      <c r="F137" s="4" t="str">
        <f>IF(ISERROR("LSTTRDAY17"),"",HYPERLINK("#INDEX('Frequencies'!A:A,MATCH(A" &amp; ROW() &amp; ",'Frequencies'!A:A,0))","Frequencies"))</f>
        <v>Frequencies</v>
      </c>
      <c r="G137" s="2"/>
      <c r="H137" s="2">
        <v>19</v>
      </c>
      <c r="I137" s="2"/>
      <c r="J137" s="2"/>
      <c r="K137" s="2"/>
      <c r="L137" s="2"/>
    </row>
    <row r="138" spans="1:12" ht="49.95" customHeight="1" x14ac:dyDescent="0.3">
      <c r="A138" s="3" t="s">
        <v>331</v>
      </c>
      <c r="B138" s="2" t="s">
        <v>332</v>
      </c>
      <c r="C138" s="2" t="s">
        <v>333</v>
      </c>
      <c r="D138" s="2" t="s">
        <v>15</v>
      </c>
      <c r="E138" s="4" t="str">
        <f>IF(ISERROR("MAKE"),"",HYPERLINK("#INDEX('Value Lookup'!A:A,MATCH(A" &amp; ROW() &amp; ",'Value Lookup'!A:A,0))","Value Lookup"))</f>
        <v>Value Lookup</v>
      </c>
      <c r="F138" s="4" t="str">
        <f>IF(ISERROR("MAKE"),"",HYPERLINK("#INDEX('Frequencies'!A:A,MATCH(A" &amp; ROW() &amp; ",'Frequencies'!A:A,0))","Frequencies"))</f>
        <v>Frequencies</v>
      </c>
      <c r="G138" s="2"/>
      <c r="H138" s="2"/>
      <c r="I138" s="2">
        <v>5</v>
      </c>
      <c r="J138" s="2"/>
      <c r="K138" s="2"/>
      <c r="L138" s="2"/>
    </row>
    <row r="139" spans="1:12" ht="49.95" customHeight="1" x14ac:dyDescent="0.3">
      <c r="A139" s="3" t="s">
        <v>334</v>
      </c>
      <c r="B139" s="2" t="s">
        <v>335</v>
      </c>
      <c r="C139" s="2" t="s">
        <v>336</v>
      </c>
      <c r="D139" s="2" t="s">
        <v>15</v>
      </c>
      <c r="E139" s="4" t="str">
        <f>IF(ISERROR("MAKE_O"),"",HYPERLINK("#INDEX('Value Lookup'!A:A,MATCH(A" &amp; ROW() &amp; ",'Value Lookup'!A:A,0))","Value Lookup"))</f>
        <v>Value Lookup</v>
      </c>
      <c r="F139" s="4" t="str">
        <f>IF(ISERROR("MAKE_O"),"",HYPERLINK("#INDEX('Frequencies'!A:A,MATCH(A" &amp; ROW() &amp; ",'Frequencies'!A:A,0))","Frequencies"))</f>
        <v>Frequencies</v>
      </c>
      <c r="G139" s="2"/>
      <c r="H139" s="2"/>
      <c r="I139" s="2">
        <v>6</v>
      </c>
      <c r="J139" s="2"/>
      <c r="K139" s="2"/>
      <c r="L139" s="2"/>
    </row>
    <row r="140" spans="1:12" ht="49.95" customHeight="1" x14ac:dyDescent="0.3">
      <c r="A140" s="3" t="s">
        <v>337</v>
      </c>
      <c r="B140" s="2" t="s">
        <v>338</v>
      </c>
      <c r="C140" s="2" t="s">
        <v>339</v>
      </c>
      <c r="D140" s="2" t="s">
        <v>15</v>
      </c>
      <c r="E140" s="4" t="str">
        <f>IF(ISERROR("MCA8_OS"),"",HYPERLINK("#INDEX('Value Lookup'!A:A,MATCH(A" &amp; ROW() &amp; ",'Value Lookup'!A:A,0))","Value Lookup"))</f>
        <v>Value Lookup</v>
      </c>
      <c r="F140" s="4" t="str">
        <f>IF(ISERROR("MCA8_OS"),"",HYPERLINK("#INDEX('Frequencies'!A:A,MATCH(A" &amp; ROW() &amp; ",'Frequencies'!A:A,0))","Frequencies"))</f>
        <v>Frequencies</v>
      </c>
      <c r="G140" s="2"/>
      <c r="H140" s="2">
        <v>115</v>
      </c>
      <c r="I140" s="2"/>
      <c r="J140" s="2"/>
      <c r="K140" s="2"/>
      <c r="L140" s="2"/>
    </row>
    <row r="141" spans="1:12" ht="49.95" customHeight="1" x14ac:dyDescent="0.3">
      <c r="A141" s="3" t="s">
        <v>340</v>
      </c>
      <c r="B141" s="2" t="s">
        <v>341</v>
      </c>
      <c r="C141" s="2" t="s">
        <v>342</v>
      </c>
      <c r="D141" s="2" t="s">
        <v>15</v>
      </c>
      <c r="E141" s="4" t="str">
        <f>IF(ISERROR("MCA8_OTH"),"",HYPERLINK("#INDEX('Value Lookup'!A:A,MATCH(A" &amp; ROW() &amp; ",'Value Lookup'!A:A,0))","Value Lookup"))</f>
        <v>Value Lookup</v>
      </c>
      <c r="F141" s="4" t="str">
        <f>IF(ISERROR("MCA8_OTH"),"",HYPERLINK("#INDEX('Frequencies'!A:A,MATCH(A" &amp; ROW() &amp; ",'Frequencies'!A:A,0))","Frequencies"))</f>
        <v>Frequencies</v>
      </c>
      <c r="G141" s="2"/>
      <c r="H141" s="2">
        <v>116</v>
      </c>
      <c r="I141" s="2"/>
      <c r="J141" s="2"/>
      <c r="K141" s="2"/>
      <c r="L141" s="2"/>
    </row>
    <row r="142" spans="1:12" ht="49.95" customHeight="1" x14ac:dyDescent="0.3">
      <c r="A142" s="3" t="s">
        <v>343</v>
      </c>
      <c r="B142" s="2" t="s">
        <v>344</v>
      </c>
      <c r="C142" s="2" t="s">
        <v>345</v>
      </c>
      <c r="D142" s="2" t="s">
        <v>41</v>
      </c>
      <c r="E142" s="2" t="str">
        <f>IF(ISERROR("MCUSED"),"","Range: 0 - 99")</f>
        <v>Range: 0 - 99</v>
      </c>
      <c r="F142" s="4" t="str">
        <f>IF(ISERROR("MCUSED"),"",HYPERLINK("#INDEX('Frequencies'!A:A,MATCH(A" &amp; ROW() &amp; ",'Frequencies'!A:A,0))","Frequencies"))</f>
        <v>Frequencies</v>
      </c>
      <c r="G142" s="2"/>
      <c r="H142" s="2">
        <v>47</v>
      </c>
      <c r="I142" s="2"/>
      <c r="J142" s="2"/>
      <c r="K142" s="2"/>
      <c r="L142" s="2"/>
    </row>
    <row r="143" spans="1:12" ht="49.95" customHeight="1" x14ac:dyDescent="0.3">
      <c r="A143" s="3" t="s">
        <v>346</v>
      </c>
      <c r="B143" s="2" t="s">
        <v>347</v>
      </c>
      <c r="C143" s="2" t="s">
        <v>348</v>
      </c>
      <c r="D143" s="2" t="s">
        <v>15</v>
      </c>
      <c r="E143" s="4" t="str">
        <f>IF(ISERROR("MEDCOND"),"",HYPERLINK("#INDEX('Value Lookup'!A:A,MATCH(A" &amp; ROW() &amp; ",'Value Lookup'!A:A,0))","Value Lookup"))</f>
        <v>Value Lookup</v>
      </c>
      <c r="F143" s="4" t="str">
        <f>IF(ISERROR("MEDCOND"),"",HYPERLINK("#INDEX('Frequencies'!A:A,MATCH(A" &amp; ROW() &amp; ",'Frequencies'!A:A,0))","Frequencies"))</f>
        <v>Frequencies</v>
      </c>
      <c r="G143" s="2"/>
      <c r="H143" s="2">
        <v>68</v>
      </c>
      <c r="I143" s="2"/>
      <c r="J143" s="2"/>
      <c r="K143" s="2"/>
      <c r="L143" s="2"/>
    </row>
    <row r="144" spans="1:12" ht="49.95" customHeight="1" x14ac:dyDescent="0.3">
      <c r="A144" s="3" t="s">
        <v>349</v>
      </c>
      <c r="B144" s="2" t="s">
        <v>350</v>
      </c>
      <c r="C144" s="2" t="s">
        <v>351</v>
      </c>
      <c r="D144" s="2" t="s">
        <v>15</v>
      </c>
      <c r="E144" s="4" t="str">
        <f>IF(ISERROR("MEDCOND6"),"",HYPERLINK("#INDEX('Value Lookup'!A:A,MATCH(A" &amp; ROW() &amp; ",'Value Lookup'!A:A,0))","Value Lookup"))</f>
        <v>Value Lookup</v>
      </c>
      <c r="F144" s="4" t="str">
        <f>IF(ISERROR("MEDCOND6"),"",HYPERLINK("#INDEX('Frequencies'!A:A,MATCH(A" &amp; ROW() &amp; ",'Frequencies'!A:A,0))","Frequencies"))</f>
        <v>Frequencies</v>
      </c>
      <c r="G144" s="2"/>
      <c r="H144" s="2">
        <v>69</v>
      </c>
      <c r="I144" s="2"/>
      <c r="J144" s="2"/>
      <c r="K144" s="2"/>
      <c r="L144" s="2"/>
    </row>
    <row r="145" spans="1:12" ht="49.95" customHeight="1" x14ac:dyDescent="0.3">
      <c r="A145" s="3" t="s">
        <v>352</v>
      </c>
      <c r="B145" s="2" t="s">
        <v>353</v>
      </c>
      <c r="C145" s="2" t="s">
        <v>354</v>
      </c>
      <c r="D145" s="2" t="s">
        <v>15</v>
      </c>
      <c r="E145" s="4" t="str">
        <f>IF(ISERROR("MODEL"),"",HYPERLINK("#INDEX('Value Lookup'!A:A,MATCH(A" &amp; ROW() &amp; ",'Value Lookup'!A:A,0))","Value Lookup"))</f>
        <v>Value Lookup</v>
      </c>
      <c r="F145" s="4" t="str">
        <f>IF(ISERROR("MODEL"),"",HYPERLINK("#INDEX('Frequencies'!A:A,MATCH(A" &amp; ROW() &amp; ",'Frequencies'!A:A,0))","Frequencies"))</f>
        <v>Frequencies</v>
      </c>
      <c r="G145" s="2"/>
      <c r="H145" s="2"/>
      <c r="I145" s="2">
        <v>7</v>
      </c>
      <c r="J145" s="2"/>
      <c r="K145" s="2"/>
      <c r="L145" s="2"/>
    </row>
    <row r="146" spans="1:12" ht="49.95" customHeight="1" x14ac:dyDescent="0.3">
      <c r="A146" s="3" t="s">
        <v>355</v>
      </c>
      <c r="B146" s="2" t="s">
        <v>356</v>
      </c>
      <c r="C146" s="2" t="s">
        <v>357</v>
      </c>
      <c r="D146" s="2" t="s">
        <v>15</v>
      </c>
      <c r="E146" s="4" t="str">
        <f>IF(ISERROR("MODEL_O"),"",HYPERLINK("#INDEX('Value Lookup'!A:A,MATCH(A" &amp; ROW() &amp; ",'Value Lookup'!A:A,0))","Value Lookup"))</f>
        <v>Value Lookup</v>
      </c>
      <c r="F146" s="4" t="str">
        <f>IF(ISERROR("MODEL_O"),"",HYPERLINK("#INDEX('Frequencies'!A:A,MATCH(A" &amp; ROW() &amp; ",'Frequencies'!A:A,0))","Frequencies"))</f>
        <v>Frequencies</v>
      </c>
      <c r="G146" s="2"/>
      <c r="H146" s="2"/>
      <c r="I146" s="2">
        <v>8</v>
      </c>
      <c r="J146" s="2"/>
      <c r="K146" s="2"/>
      <c r="L146" s="2"/>
    </row>
    <row r="147" spans="1:12" ht="49.95" customHeight="1" x14ac:dyDescent="0.3">
      <c r="A147" s="3" t="s">
        <v>358</v>
      </c>
      <c r="B147" s="2" t="s">
        <v>359</v>
      </c>
      <c r="C147" s="2"/>
      <c r="D147" s="2" t="s">
        <v>15</v>
      </c>
      <c r="E147" s="4" t="str">
        <f>IF(ISERROR("MSACAT"),"",HYPERLINK("#INDEX('Value Lookup'!A:A,MATCH(A" &amp; ROW() &amp; ",'Value Lookup'!A:A,0))","Value Lookup"))</f>
        <v>Value Lookup</v>
      </c>
      <c r="F147" s="4" t="str">
        <f>IF(ISERROR("MSACAT"),"",HYPERLINK("#INDEX('Frequencies'!A:A,MATCH(A" &amp; ROW() &amp; ",'Frequencies'!A:A,0))","Frequencies"))</f>
        <v>Frequencies</v>
      </c>
      <c r="G147" s="2">
        <v>47</v>
      </c>
      <c r="H147" s="2"/>
      <c r="I147" s="2"/>
      <c r="J147" s="2"/>
      <c r="K147" s="2"/>
      <c r="L147" s="2"/>
    </row>
    <row r="148" spans="1:12" ht="49.95" customHeight="1" x14ac:dyDescent="0.3">
      <c r="A148" s="3" t="s">
        <v>360</v>
      </c>
      <c r="B148" s="2" t="s">
        <v>361</v>
      </c>
      <c r="C148" s="2"/>
      <c r="D148" s="2" t="s">
        <v>15</v>
      </c>
      <c r="E148" s="4" t="str">
        <f>IF(ISERROR("MSASIZE"),"",HYPERLINK("#INDEX('Value Lookup'!A:A,MATCH(A" &amp; ROW() &amp; ",'Value Lookup'!A:A,0))","Value Lookup"))</f>
        <v>Value Lookup</v>
      </c>
      <c r="F148" s="4" t="str">
        <f>IF(ISERROR("MSASIZE"),"",HYPERLINK("#INDEX('Frequencies'!A:A,MATCH(A" &amp; ROW() &amp; ",'Frequencies'!A:A,0))","Frequencies"))</f>
        <v>Frequencies</v>
      </c>
      <c r="G148" s="2">
        <v>48</v>
      </c>
      <c r="H148" s="2"/>
      <c r="I148" s="2"/>
      <c r="J148" s="2"/>
      <c r="K148" s="2"/>
      <c r="L148" s="2"/>
    </row>
    <row r="149" spans="1:12" ht="49.95" customHeight="1" x14ac:dyDescent="0.3">
      <c r="A149" s="3" t="s">
        <v>362</v>
      </c>
      <c r="B149" s="2" t="s">
        <v>363</v>
      </c>
      <c r="C149" s="2" t="s">
        <v>364</v>
      </c>
      <c r="D149" s="2" t="s">
        <v>41</v>
      </c>
      <c r="E149" s="2" t="str">
        <f>IF(ISERROR("NBIKETRP"),"","Range: 0 - 99")</f>
        <v>Range: 0 - 99</v>
      </c>
      <c r="F149" s="4" t="str">
        <f>IF(ISERROR("NBIKETRP"),"",HYPERLINK("#INDEX('Frequencies'!A:A,MATCH(A" &amp; ROW() &amp; ",'Frequencies'!A:A,0))","Frequencies"))</f>
        <v>Frequencies</v>
      </c>
      <c r="G149" s="2"/>
      <c r="H149" s="2">
        <v>25</v>
      </c>
      <c r="I149" s="2"/>
      <c r="J149" s="2"/>
      <c r="K149" s="2"/>
      <c r="L149" s="2"/>
    </row>
    <row r="150" spans="1:12" ht="49.95" customHeight="1" x14ac:dyDescent="0.3">
      <c r="A150" s="3" t="s">
        <v>365</v>
      </c>
      <c r="B150" s="2" t="s">
        <v>366</v>
      </c>
      <c r="C150" s="2" t="s">
        <v>367</v>
      </c>
      <c r="D150" s="2" t="s">
        <v>41</v>
      </c>
      <c r="E150" s="2" t="str">
        <f>IF(ISERROR("NOCONG"),"","Range: 0 - 180")</f>
        <v>Range: 0 - 180</v>
      </c>
      <c r="F150" s="4" t="str">
        <f>IF(ISERROR("NOCONG"),"",HYPERLINK("#INDEX('Frequencies'!A:A,MATCH(A" &amp; ROW() &amp; ",'Frequencies'!A:A,0))","Frequencies"))</f>
        <v>Frequencies</v>
      </c>
      <c r="G150" s="2"/>
      <c r="H150" s="2">
        <v>52</v>
      </c>
      <c r="I150" s="2"/>
      <c r="J150" s="2"/>
      <c r="K150" s="2"/>
      <c r="L150" s="2"/>
    </row>
    <row r="151" spans="1:12" ht="49.95" customHeight="1" x14ac:dyDescent="0.3">
      <c r="A151" s="3" t="s">
        <v>368</v>
      </c>
      <c r="B151" s="2" t="s">
        <v>369</v>
      </c>
      <c r="C151" s="2"/>
      <c r="D151" s="2" t="s">
        <v>15</v>
      </c>
      <c r="E151" s="4" t="str">
        <f>IF(ISERROR("NONHHCNT"),"",HYPERLINK("#INDEX('Value Lookup'!A:A,MATCH(A" &amp; ROW() &amp; ",'Value Lookup'!A:A,0))","Value Lookup"))</f>
        <v>Value Lookup</v>
      </c>
      <c r="F151" s="4" t="str">
        <f>IF(ISERROR("NONHHCNT"),"",HYPERLINK("#INDEX('Frequencies'!A:A,MATCH(A" &amp; ROW() &amp; ",'Frequencies'!A:A,0))","Frequencies"))</f>
        <v>Frequencies</v>
      </c>
      <c r="G151" s="2"/>
      <c r="H151" s="2"/>
      <c r="I151" s="2"/>
      <c r="J151" s="2">
        <v>42</v>
      </c>
      <c r="K151" s="2"/>
      <c r="L151" s="2"/>
    </row>
    <row r="152" spans="1:12" ht="49.95" customHeight="1" x14ac:dyDescent="0.3">
      <c r="A152" s="3" t="s">
        <v>370</v>
      </c>
      <c r="B152" s="2" t="s">
        <v>371</v>
      </c>
      <c r="C152" s="2"/>
      <c r="D152" s="2" t="s">
        <v>41</v>
      </c>
      <c r="E152" s="2" t="str">
        <f>IF(ISERROR("NUMADLT"),"","NA")</f>
        <v>NA</v>
      </c>
      <c r="F152" s="4" t="str">
        <f>IF(ISERROR("NUMADLT"),"",HYPERLINK("#INDEX('Frequencies'!A:A,MATCH(A" &amp; ROW() &amp; ",'Frequencies'!A:A,0))","Frequencies"))</f>
        <v>Frequencies</v>
      </c>
      <c r="G152" s="2">
        <v>41</v>
      </c>
      <c r="H152" s="2"/>
      <c r="I152" s="2"/>
      <c r="J152" s="2"/>
      <c r="K152" s="2"/>
      <c r="L152" s="2"/>
    </row>
    <row r="153" spans="1:12" ht="49.95" customHeight="1" x14ac:dyDescent="0.3">
      <c r="A153" s="3" t="s">
        <v>372</v>
      </c>
      <c r="B153" s="2" t="s">
        <v>373</v>
      </c>
      <c r="C153" s="2"/>
      <c r="D153" s="2" t="s">
        <v>41</v>
      </c>
      <c r="E153" s="4" t="str">
        <f>IF(ISERROR("NUMONTRP"),"",HYPERLINK("#INDEX('Value Lookup'!A:A,MATCH(A" &amp; ROW() &amp; ",'Value Lookup'!A:A,0))","Value Lookup"))</f>
        <v>Value Lookup</v>
      </c>
      <c r="F153" s="4" t="str">
        <f>IF(ISERROR("NUMONTRP"),"",HYPERLINK("#INDEX('Frequencies'!A:A,MATCH(A" &amp; ROW() &amp; ",'Frequencies'!A:A,0))","Frequencies"))</f>
        <v>Frequencies</v>
      </c>
      <c r="G153" s="2"/>
      <c r="H153" s="2"/>
      <c r="I153" s="2"/>
      <c r="J153" s="2">
        <v>43</v>
      </c>
      <c r="K153" s="2"/>
      <c r="L153" s="2"/>
    </row>
    <row r="154" spans="1:12" ht="49.95" customHeight="1" x14ac:dyDescent="0.3">
      <c r="A154" s="3" t="s">
        <v>374</v>
      </c>
      <c r="B154" s="2" t="s">
        <v>375</v>
      </c>
      <c r="C154" s="2" t="s">
        <v>376</v>
      </c>
      <c r="D154" s="2" t="s">
        <v>41</v>
      </c>
      <c r="E154" s="2" t="str">
        <f>IF(ISERROR("NUMTRANS"),"","Range: 0 - 10")</f>
        <v>Range: 0 - 10</v>
      </c>
      <c r="F154" s="4" t="str">
        <f>IF(ISERROR("NUMTRANS"),"",HYPERLINK("#INDEX('Frequencies'!A:A,MATCH(A" &amp; ROW() &amp; ",'Frequencies'!A:A,0))","Frequencies"))</f>
        <v>Frequencies</v>
      </c>
      <c r="G154" s="2"/>
      <c r="H154" s="2"/>
      <c r="I154" s="2"/>
      <c r="J154" s="2">
        <v>29</v>
      </c>
      <c r="K154" s="2"/>
      <c r="L154" s="2"/>
    </row>
    <row r="155" spans="1:12" ht="49.95" customHeight="1" x14ac:dyDescent="0.3">
      <c r="A155" s="3" t="s">
        <v>377</v>
      </c>
      <c r="B155" s="2" t="s">
        <v>378</v>
      </c>
      <c r="C155" s="2" t="s">
        <v>379</v>
      </c>
      <c r="D155" s="2" t="s">
        <v>41</v>
      </c>
      <c r="E155" s="2" t="str">
        <f>IF(ISERROR("NWALKTRP"),"","Range: 0 - 99")</f>
        <v>Range: 0 - 99</v>
      </c>
      <c r="F155" s="4" t="str">
        <f>IF(ISERROR("NWALKTRP"),"",HYPERLINK("#INDEX('Frequencies'!A:A,MATCH(A" &amp; ROW() &amp; ",'Frequencies'!A:A,0))","Frequencies"))</f>
        <v>Frequencies</v>
      </c>
      <c r="G155" s="2"/>
      <c r="H155" s="2">
        <v>23</v>
      </c>
      <c r="I155" s="2"/>
      <c r="J155" s="2"/>
      <c r="K155" s="2"/>
      <c r="L155" s="2"/>
    </row>
    <row r="156" spans="1:12" ht="49.95" customHeight="1" x14ac:dyDescent="0.3">
      <c r="A156" s="3" t="s">
        <v>380</v>
      </c>
      <c r="B156" s="2" t="s">
        <v>381</v>
      </c>
      <c r="C156" s="2" t="s">
        <v>382</v>
      </c>
      <c r="D156" s="2" t="s">
        <v>15</v>
      </c>
      <c r="E156" s="4" t="str">
        <f>IF(ISERROR("OCCAT"),"",HYPERLINK("#INDEX('Value Lookup'!A:A,MATCH(A" &amp; ROW() &amp; ",'Value Lookup'!A:A,0))","Value Lookup"))</f>
        <v>Value Lookup</v>
      </c>
      <c r="F156" s="4" t="str">
        <f>IF(ISERROR("OCCAT"),"",HYPERLINK("#INDEX('Frequencies'!A:A,MATCH(A" &amp; ROW() &amp; ",'Frequencies'!A:A,0))","Frequencies"))</f>
        <v>Frequencies</v>
      </c>
      <c r="G156" s="2"/>
      <c r="H156" s="2">
        <v>20</v>
      </c>
      <c r="I156" s="2"/>
      <c r="J156" s="2"/>
      <c r="K156" s="2"/>
      <c r="L156" s="2"/>
    </row>
    <row r="157" spans="1:12" ht="49.95" customHeight="1" x14ac:dyDescent="0.3">
      <c r="A157" s="3" t="s">
        <v>383</v>
      </c>
      <c r="B157" s="2" t="s">
        <v>384</v>
      </c>
      <c r="C157" s="2" t="s">
        <v>385</v>
      </c>
      <c r="D157" s="2" t="s">
        <v>15</v>
      </c>
      <c r="E157" s="4" t="str">
        <f>IF(ISERROR("OD_DATE"),"",HYPERLINK("#INDEX('Value Lookup'!A:A,MATCH(A" &amp; ROW() &amp; ",'Value Lookup'!A:A,0))","Value Lookup"))</f>
        <v>Value Lookup</v>
      </c>
      <c r="F157" s="4" t="str">
        <f>IF(ISERROR("OD_DATE"),"",HYPERLINK("#INDEX('Frequencies'!A:A,MATCH(A" &amp; ROW() &amp; ",'Frequencies'!A:A,0))","Frequencies"))</f>
        <v>Frequencies</v>
      </c>
      <c r="G157" s="2"/>
      <c r="H157" s="2"/>
      <c r="I157" s="2">
        <v>15</v>
      </c>
      <c r="J157" s="2"/>
      <c r="K157" s="2"/>
      <c r="L157" s="2"/>
    </row>
    <row r="158" spans="1:12" ht="49.95" customHeight="1" x14ac:dyDescent="0.3">
      <c r="A158" s="3" t="s">
        <v>386</v>
      </c>
      <c r="B158" s="2" t="s">
        <v>387</v>
      </c>
      <c r="C158" s="2"/>
      <c r="D158" s="2" t="s">
        <v>15</v>
      </c>
      <c r="E158" s="4" t="str">
        <f>IF(ISERROR("OD_DAY"),"",HYPERLINK("#INDEX('Value Lookup'!A:A,MATCH(A" &amp; ROW() &amp; ",'Value Lookup'!A:A,0))","Value Lookup"))</f>
        <v>Value Lookup</v>
      </c>
      <c r="F158" s="4" t="str">
        <f>IF(ISERROR("OD_DAY"),"",HYPERLINK("#INDEX('Frequencies'!A:A,MATCH(A" &amp; ROW() &amp; ",'Frequencies'!A:A,0))","Frequencies"))</f>
        <v>Frequencies</v>
      </c>
      <c r="G158" s="2"/>
      <c r="H158" s="2"/>
      <c r="I158" s="2">
        <v>18</v>
      </c>
      <c r="J158" s="2"/>
      <c r="K158" s="2"/>
      <c r="L158" s="2"/>
    </row>
    <row r="159" spans="1:12" ht="49.95" customHeight="1" x14ac:dyDescent="0.3">
      <c r="A159" s="3" t="s">
        <v>388</v>
      </c>
      <c r="B159" s="2" t="s">
        <v>389</v>
      </c>
      <c r="C159" s="2" t="s">
        <v>390</v>
      </c>
      <c r="D159" s="2" t="s">
        <v>15</v>
      </c>
      <c r="E159" s="4" t="str">
        <f>IF(ISERROR("ODEVICE"),"",HYPERLINK("#INDEX('Value Lookup'!A:A,MATCH(A" &amp; ROW() &amp; ",'Value Lookup'!A:A,0))","Value Lookup"))</f>
        <v>Value Lookup</v>
      </c>
      <c r="F159" s="4" t="str">
        <f>IF(ISERROR("ODEVICE"),"",HYPERLINK("#INDEX('Frequencies'!A:A,MATCH(A" &amp; ROW() &amp; ",'Frequencies'!A:A,0))","Frequencies"))</f>
        <v>Frequencies</v>
      </c>
      <c r="G159" s="2">
        <v>20</v>
      </c>
      <c r="H159" s="2"/>
      <c r="I159" s="2"/>
      <c r="J159" s="2"/>
      <c r="K159" s="2"/>
      <c r="L159" s="2"/>
    </row>
    <row r="160" spans="1:12" ht="49.95" customHeight="1" x14ac:dyDescent="0.3">
      <c r="A160" s="3" t="s">
        <v>391</v>
      </c>
      <c r="B160" s="2" t="s">
        <v>392</v>
      </c>
      <c r="C160" s="2" t="s">
        <v>342</v>
      </c>
      <c r="D160" s="2" t="s">
        <v>15</v>
      </c>
      <c r="E160" s="4" t="str">
        <f>IF(ISERROR("ODEVICE_O"),"",HYPERLINK("#INDEX('Value Lookup'!A:A,MATCH(A" &amp; ROW() &amp; ",'Value Lookup'!A:A,0))","Value Lookup"))</f>
        <v>Value Lookup</v>
      </c>
      <c r="F160" s="4" t="str">
        <f>IF(ISERROR("ODEVICE_O"),"",HYPERLINK("#INDEX('Frequencies'!A:A,MATCH(A" &amp; ROW() &amp; ",'Frequencies'!A:A,0))","Frequencies"))</f>
        <v>Frequencies</v>
      </c>
      <c r="G160" s="2">
        <v>21</v>
      </c>
      <c r="H160" s="2"/>
      <c r="I160" s="2"/>
      <c r="J160" s="2"/>
      <c r="K160" s="2"/>
      <c r="L160" s="2"/>
    </row>
    <row r="161" spans="1:12" ht="49.95" customHeight="1" x14ac:dyDescent="0.3">
      <c r="A161" s="3" t="s">
        <v>393</v>
      </c>
      <c r="B161" s="2" t="s">
        <v>394</v>
      </c>
      <c r="C161" s="2"/>
      <c r="D161" s="2" t="s">
        <v>15</v>
      </c>
      <c r="E161" s="4" t="str">
        <f>IF(ISERROR("OD_MONTH"),"",HYPERLINK("#INDEX('Value Lookup'!A:A,MATCH(A" &amp; ROW() &amp; ",'Value Lookup'!A:A,0))","Value Lookup"))</f>
        <v>Value Lookup</v>
      </c>
      <c r="F161" s="4" t="str">
        <f>IF(ISERROR("OD_MONTH"),"",HYPERLINK("#INDEX('Frequencies'!A:A,MATCH(A" &amp; ROW() &amp; ",'Frequencies'!A:A,0))","Frequencies"))</f>
        <v>Frequencies</v>
      </c>
      <c r="G161" s="2"/>
      <c r="H161" s="2"/>
      <c r="I161" s="2">
        <v>17</v>
      </c>
      <c r="J161" s="2"/>
      <c r="K161" s="2"/>
      <c r="L161" s="2"/>
    </row>
    <row r="162" spans="1:12" ht="49.95" customHeight="1" x14ac:dyDescent="0.3">
      <c r="A162" s="3" t="s">
        <v>395</v>
      </c>
      <c r="B162" s="2" t="s">
        <v>396</v>
      </c>
      <c r="C162" s="2" t="s">
        <v>397</v>
      </c>
      <c r="D162" s="2" t="s">
        <v>41</v>
      </c>
      <c r="E162" s="2" t="str">
        <f>IF(ISERROR("OD_READ"),"","Range: 0 - 999999")</f>
        <v>Range: 0 - 999999</v>
      </c>
      <c r="F162" s="4" t="str">
        <f>IF(ISERROR("OD_READ"),"",HYPERLINK("#INDEX('Frequencies'!A:A,MATCH(A" &amp; ROW() &amp; ",'Frequencies'!A:A,0))","Frequencies"))</f>
        <v>Frequencies</v>
      </c>
      <c r="G162" s="2"/>
      <c r="H162" s="2"/>
      <c r="I162" s="2">
        <v>14</v>
      </c>
      <c r="J162" s="2"/>
      <c r="K162" s="2"/>
      <c r="L162" s="2"/>
    </row>
    <row r="163" spans="1:12" ht="49.95" customHeight="1" x14ac:dyDescent="0.3">
      <c r="A163" s="3" t="s">
        <v>398</v>
      </c>
      <c r="B163" s="2" t="s">
        <v>399</v>
      </c>
      <c r="C163" s="2"/>
      <c r="D163" s="2" t="s">
        <v>41</v>
      </c>
      <c r="E163" s="4" t="str">
        <f>IF(ISERROR("OD_YEAR"),"",HYPERLINK("#INDEX('Value Lookup'!A:A,MATCH(A" &amp; ROW() &amp; ",'Value Lookup'!A:A,0))","Value Lookup"))</f>
        <v>Value Lookup</v>
      </c>
      <c r="F163" s="4" t="str">
        <f>IF(ISERROR("OD_YEAR"),"",HYPERLINK("#INDEX('Frequencies'!A:A,MATCH(A" &amp; ROW() &amp; ",'Frequencies'!A:A,0))","Frequencies"))</f>
        <v>Frequencies</v>
      </c>
      <c r="G163" s="2"/>
      <c r="H163" s="2"/>
      <c r="I163" s="2">
        <v>16</v>
      </c>
      <c r="J163" s="2"/>
      <c r="K163" s="2"/>
      <c r="L163" s="2"/>
    </row>
    <row r="164" spans="1:12" ht="49.95" customHeight="1" x14ac:dyDescent="0.3">
      <c r="A164" s="3" t="s">
        <v>400</v>
      </c>
      <c r="B164" s="2" t="s">
        <v>401</v>
      </c>
      <c r="C164" s="2"/>
      <c r="D164" s="2" t="s">
        <v>15</v>
      </c>
      <c r="E164" s="2" t="str">
        <f>IF(ISERROR("O_LOCNO"),"","NA")</f>
        <v>NA</v>
      </c>
      <c r="F164" s="4" t="str">
        <f>IF(ISERROR("O_LOCNO"),"",HYPERLINK("#INDEX('Frequencies'!A:A,MATCH(A" &amp; ROW() &amp; ",'Frequencies'!A:A,0))","Frequencies"))</f>
        <v>Frequencies</v>
      </c>
      <c r="G164" s="2"/>
      <c r="H164" s="2"/>
      <c r="I164" s="2"/>
      <c r="J164" s="2">
        <v>4</v>
      </c>
      <c r="K164" s="2"/>
      <c r="L164" s="2"/>
    </row>
    <row r="165" spans="1:12" ht="49.95" customHeight="1" x14ac:dyDescent="0.3">
      <c r="A165" s="3" t="s">
        <v>402</v>
      </c>
      <c r="B165" s="2" t="s">
        <v>403</v>
      </c>
      <c r="C165" s="2"/>
      <c r="D165" s="2" t="s">
        <v>15</v>
      </c>
      <c r="E165" s="4" t="str">
        <f>IF(ISERROR("ONTD_P1"),"",HYPERLINK("#INDEX('Value Lookup'!A:A,MATCH(A" &amp; ROW() &amp; ",'Value Lookup'!A:A,0))","Value Lookup"))</f>
        <v>Value Lookup</v>
      </c>
      <c r="F165" s="4" t="str">
        <f>IF(ISERROR("ONTD_P1"),"",HYPERLINK("#INDEX('Frequencies'!A:A,MATCH(A" &amp; ROW() &amp; ",'Frequencies'!A:A,0))","Frequencies"))</f>
        <v>Frequencies</v>
      </c>
      <c r="G165" s="2"/>
      <c r="H165" s="2"/>
      <c r="I165" s="2"/>
      <c r="J165" s="2">
        <v>102</v>
      </c>
      <c r="K165" s="2"/>
      <c r="L165" s="2"/>
    </row>
    <row r="166" spans="1:12" ht="49.95" customHeight="1" x14ac:dyDescent="0.3">
      <c r="A166" s="3" t="s">
        <v>404</v>
      </c>
      <c r="B166" s="2" t="s">
        <v>405</v>
      </c>
      <c r="C166" s="2"/>
      <c r="D166" s="2" t="s">
        <v>15</v>
      </c>
      <c r="E166" s="4" t="str">
        <f>IF(ISERROR("ONTD_P10"),"",HYPERLINK("#INDEX('Value Lookup'!A:A,MATCH(A" &amp; ROW() &amp; ",'Value Lookup'!A:A,0))","Value Lookup"))</f>
        <v>Value Lookup</v>
      </c>
      <c r="F166" s="4" t="str">
        <f>IF(ISERROR("ONTD_P10"),"",HYPERLINK("#INDEX('Frequencies'!A:A,MATCH(A" &amp; ROW() &amp; ",'Frequencies'!A:A,0))","Frequencies"))</f>
        <v>Frequencies</v>
      </c>
      <c r="G166" s="2"/>
      <c r="H166" s="2"/>
      <c r="I166" s="2"/>
      <c r="J166" s="2">
        <v>111</v>
      </c>
      <c r="K166" s="2"/>
      <c r="L166" s="2"/>
    </row>
    <row r="167" spans="1:12" ht="49.95" customHeight="1" x14ac:dyDescent="0.3">
      <c r="A167" s="3" t="s">
        <v>406</v>
      </c>
      <c r="B167" s="2" t="s">
        <v>407</v>
      </c>
      <c r="C167" s="2"/>
      <c r="D167" s="2" t="s">
        <v>15</v>
      </c>
      <c r="E167" s="4" t="str">
        <f>IF(ISERROR("ONTD_P11"),"",HYPERLINK("#INDEX('Value Lookup'!A:A,MATCH(A" &amp; ROW() &amp; ",'Value Lookup'!A:A,0))","Value Lookup"))</f>
        <v>Value Lookup</v>
      </c>
      <c r="F167" s="4" t="str">
        <f>IF(ISERROR("ONTD_P11"),"",HYPERLINK("#INDEX('Frequencies'!A:A,MATCH(A" &amp; ROW() &amp; ",'Frequencies'!A:A,0))","Frequencies"))</f>
        <v>Frequencies</v>
      </c>
      <c r="G167" s="2"/>
      <c r="H167" s="2"/>
      <c r="I167" s="2"/>
      <c r="J167" s="2">
        <v>112</v>
      </c>
      <c r="K167" s="2"/>
      <c r="L167" s="2"/>
    </row>
    <row r="168" spans="1:12" ht="49.95" customHeight="1" x14ac:dyDescent="0.3">
      <c r="A168" s="3" t="s">
        <v>408</v>
      </c>
      <c r="B168" s="2" t="s">
        <v>409</v>
      </c>
      <c r="C168" s="2"/>
      <c r="D168" s="2" t="s">
        <v>15</v>
      </c>
      <c r="E168" s="4" t="str">
        <f>IF(ISERROR("ONTD_P12"),"",HYPERLINK("#INDEX('Value Lookup'!A:A,MATCH(A" &amp; ROW() &amp; ",'Value Lookup'!A:A,0))","Value Lookup"))</f>
        <v>Value Lookup</v>
      </c>
      <c r="F168" s="4" t="str">
        <f>IF(ISERROR("ONTD_P12"),"",HYPERLINK("#INDEX('Frequencies'!A:A,MATCH(A" &amp; ROW() &amp; ",'Frequencies'!A:A,0))","Frequencies"))</f>
        <v>Frequencies</v>
      </c>
      <c r="G168" s="2"/>
      <c r="H168" s="2"/>
      <c r="I168" s="2"/>
      <c r="J168" s="2">
        <v>113</v>
      </c>
      <c r="K168" s="2"/>
      <c r="L168" s="2"/>
    </row>
    <row r="169" spans="1:12" ht="49.95" customHeight="1" x14ac:dyDescent="0.3">
      <c r="A169" s="3" t="s">
        <v>410</v>
      </c>
      <c r="B169" s="2" t="s">
        <v>411</v>
      </c>
      <c r="C169" s="2"/>
      <c r="D169" s="2" t="s">
        <v>15</v>
      </c>
      <c r="E169" s="4" t="str">
        <f>IF(ISERROR("ONTD_P13"),"",HYPERLINK("#INDEX('Value Lookup'!A:A,MATCH(A" &amp; ROW() &amp; ",'Value Lookup'!A:A,0))","Value Lookup"))</f>
        <v>Value Lookup</v>
      </c>
      <c r="F169" s="4" t="str">
        <f>IF(ISERROR("ONTD_P13"),"",HYPERLINK("#INDEX('Frequencies'!A:A,MATCH(A" &amp; ROW() &amp; ",'Frequencies'!A:A,0))","Frequencies"))</f>
        <v>Frequencies</v>
      </c>
      <c r="G169" s="2"/>
      <c r="H169" s="2"/>
      <c r="I169" s="2"/>
      <c r="J169" s="2">
        <v>114</v>
      </c>
      <c r="K169" s="2"/>
      <c r="L169" s="2"/>
    </row>
    <row r="170" spans="1:12" ht="49.95" customHeight="1" x14ac:dyDescent="0.3">
      <c r="A170" s="3" t="s">
        <v>412</v>
      </c>
      <c r="B170" s="2" t="s">
        <v>413</v>
      </c>
      <c r="C170" s="2"/>
      <c r="D170" s="2" t="s">
        <v>15</v>
      </c>
      <c r="E170" s="4" t="str">
        <f>IF(ISERROR("ONTD_P14"),"",HYPERLINK("#INDEX('Value Lookup'!A:A,MATCH(A" &amp; ROW() &amp; ",'Value Lookup'!A:A,0))","Value Lookup"))</f>
        <v>Value Lookup</v>
      </c>
      <c r="F170" s="4" t="str">
        <f>IF(ISERROR("ONTD_P14"),"",HYPERLINK("#INDEX('Frequencies'!A:A,MATCH(A" &amp; ROW() &amp; ",'Frequencies'!A:A,0))","Frequencies"))</f>
        <v>Frequencies</v>
      </c>
      <c r="G170" s="2"/>
      <c r="H170" s="2"/>
      <c r="I170" s="2"/>
      <c r="J170" s="2">
        <v>115</v>
      </c>
      <c r="K170" s="2"/>
      <c r="L170" s="2"/>
    </row>
    <row r="171" spans="1:12" ht="49.95" customHeight="1" x14ac:dyDescent="0.3">
      <c r="A171" s="3" t="s">
        <v>414</v>
      </c>
      <c r="B171" s="2" t="s">
        <v>415</v>
      </c>
      <c r="C171" s="2"/>
      <c r="D171" s="2" t="s">
        <v>15</v>
      </c>
      <c r="E171" s="4" t="str">
        <f>IF(ISERROR("ONTD_P15"),"",HYPERLINK("#INDEX('Value Lookup'!A:A,MATCH(A" &amp; ROW() &amp; ",'Value Lookup'!A:A,0))","Value Lookup"))</f>
        <v>Value Lookup</v>
      </c>
      <c r="F171" s="4" t="str">
        <f>IF(ISERROR("ONTD_P15"),"",HYPERLINK("#INDEX('Frequencies'!A:A,MATCH(A" &amp; ROW() &amp; ",'Frequencies'!A:A,0))","Frequencies"))</f>
        <v>Frequencies</v>
      </c>
      <c r="G171" s="2"/>
      <c r="H171" s="2"/>
      <c r="I171" s="2"/>
      <c r="J171" s="2">
        <v>116</v>
      </c>
      <c r="K171" s="2"/>
      <c r="L171" s="2"/>
    </row>
    <row r="172" spans="1:12" ht="49.95" customHeight="1" x14ac:dyDescent="0.3">
      <c r="A172" s="3" t="s">
        <v>416</v>
      </c>
      <c r="B172" s="2" t="s">
        <v>417</v>
      </c>
      <c r="C172" s="2"/>
      <c r="D172" s="2" t="s">
        <v>15</v>
      </c>
      <c r="E172" s="4" t="str">
        <f>IF(ISERROR("ONTD_P2"),"",HYPERLINK("#INDEX('Value Lookup'!A:A,MATCH(A" &amp; ROW() &amp; ",'Value Lookup'!A:A,0))","Value Lookup"))</f>
        <v>Value Lookup</v>
      </c>
      <c r="F172" s="4" t="str">
        <f>IF(ISERROR("ONTD_P2"),"",HYPERLINK("#INDEX('Frequencies'!A:A,MATCH(A" &amp; ROW() &amp; ",'Frequencies'!A:A,0))","Frequencies"))</f>
        <v>Frequencies</v>
      </c>
      <c r="G172" s="2"/>
      <c r="H172" s="2"/>
      <c r="I172" s="2"/>
      <c r="J172" s="2">
        <v>103</v>
      </c>
      <c r="K172" s="2"/>
      <c r="L172" s="2"/>
    </row>
    <row r="173" spans="1:12" ht="49.95" customHeight="1" x14ac:dyDescent="0.3">
      <c r="A173" s="3" t="s">
        <v>418</v>
      </c>
      <c r="B173" s="2" t="s">
        <v>419</v>
      </c>
      <c r="C173" s="2"/>
      <c r="D173" s="2" t="s">
        <v>15</v>
      </c>
      <c r="E173" s="4" t="str">
        <f>IF(ISERROR("ONTD_P3"),"",HYPERLINK("#INDEX('Value Lookup'!A:A,MATCH(A" &amp; ROW() &amp; ",'Value Lookup'!A:A,0))","Value Lookup"))</f>
        <v>Value Lookup</v>
      </c>
      <c r="F173" s="4" t="str">
        <f>IF(ISERROR("ONTD_P3"),"",HYPERLINK("#INDEX('Frequencies'!A:A,MATCH(A" &amp; ROW() &amp; ",'Frequencies'!A:A,0))","Frequencies"))</f>
        <v>Frequencies</v>
      </c>
      <c r="G173" s="2"/>
      <c r="H173" s="2"/>
      <c r="I173" s="2"/>
      <c r="J173" s="2">
        <v>104</v>
      </c>
      <c r="K173" s="2"/>
      <c r="L173" s="2"/>
    </row>
    <row r="174" spans="1:12" ht="49.95" customHeight="1" x14ac:dyDescent="0.3">
      <c r="A174" s="3" t="s">
        <v>420</v>
      </c>
      <c r="B174" s="2" t="s">
        <v>421</v>
      </c>
      <c r="C174" s="2"/>
      <c r="D174" s="2" t="s">
        <v>15</v>
      </c>
      <c r="E174" s="4" t="str">
        <f>IF(ISERROR("ONTD_P4"),"",HYPERLINK("#INDEX('Value Lookup'!A:A,MATCH(A" &amp; ROW() &amp; ",'Value Lookup'!A:A,0))","Value Lookup"))</f>
        <v>Value Lookup</v>
      </c>
      <c r="F174" s="4" t="str">
        <f>IF(ISERROR("ONTD_P4"),"",HYPERLINK("#INDEX('Frequencies'!A:A,MATCH(A" &amp; ROW() &amp; ",'Frequencies'!A:A,0))","Frequencies"))</f>
        <v>Frequencies</v>
      </c>
      <c r="G174" s="2"/>
      <c r="H174" s="2"/>
      <c r="I174" s="2"/>
      <c r="J174" s="2">
        <v>105</v>
      </c>
      <c r="K174" s="2"/>
      <c r="L174" s="2"/>
    </row>
    <row r="175" spans="1:12" ht="49.95" customHeight="1" x14ac:dyDescent="0.3">
      <c r="A175" s="3" t="s">
        <v>422</v>
      </c>
      <c r="B175" s="2" t="s">
        <v>423</v>
      </c>
      <c r="C175" s="2"/>
      <c r="D175" s="2" t="s">
        <v>15</v>
      </c>
      <c r="E175" s="4" t="str">
        <f>IF(ISERROR("ONTD_P5"),"",HYPERLINK("#INDEX('Value Lookup'!A:A,MATCH(A" &amp; ROW() &amp; ",'Value Lookup'!A:A,0))","Value Lookup"))</f>
        <v>Value Lookup</v>
      </c>
      <c r="F175" s="4" t="str">
        <f>IF(ISERROR("ONTD_P5"),"",HYPERLINK("#INDEX('Frequencies'!A:A,MATCH(A" &amp; ROW() &amp; ",'Frequencies'!A:A,0))","Frequencies"))</f>
        <v>Frequencies</v>
      </c>
      <c r="G175" s="2"/>
      <c r="H175" s="2"/>
      <c r="I175" s="2"/>
      <c r="J175" s="2">
        <v>106</v>
      </c>
      <c r="K175" s="2"/>
      <c r="L175" s="2"/>
    </row>
    <row r="176" spans="1:12" ht="49.95" customHeight="1" x14ac:dyDescent="0.3">
      <c r="A176" s="3" t="s">
        <v>424</v>
      </c>
      <c r="B176" s="2" t="s">
        <v>425</v>
      </c>
      <c r="C176" s="2"/>
      <c r="D176" s="2" t="s">
        <v>15</v>
      </c>
      <c r="E176" s="4" t="str">
        <f>IF(ISERROR("ONTD_P6"),"",HYPERLINK("#INDEX('Value Lookup'!A:A,MATCH(A" &amp; ROW() &amp; ",'Value Lookup'!A:A,0))","Value Lookup"))</f>
        <v>Value Lookup</v>
      </c>
      <c r="F176" s="4" t="str">
        <f>IF(ISERROR("ONTD_P6"),"",HYPERLINK("#INDEX('Frequencies'!A:A,MATCH(A" &amp; ROW() &amp; ",'Frequencies'!A:A,0))","Frequencies"))</f>
        <v>Frequencies</v>
      </c>
      <c r="G176" s="2"/>
      <c r="H176" s="2"/>
      <c r="I176" s="2"/>
      <c r="J176" s="2">
        <v>107</v>
      </c>
      <c r="K176" s="2"/>
      <c r="L176" s="2"/>
    </row>
    <row r="177" spans="1:12" ht="49.95" customHeight="1" x14ac:dyDescent="0.3">
      <c r="A177" s="3" t="s">
        <v>426</v>
      </c>
      <c r="B177" s="2" t="s">
        <v>427</v>
      </c>
      <c r="C177" s="2"/>
      <c r="D177" s="2" t="s">
        <v>15</v>
      </c>
      <c r="E177" s="4" t="str">
        <f>IF(ISERROR("ONTD_P7"),"",HYPERLINK("#INDEX('Value Lookup'!A:A,MATCH(A" &amp; ROW() &amp; ",'Value Lookup'!A:A,0))","Value Lookup"))</f>
        <v>Value Lookup</v>
      </c>
      <c r="F177" s="4" t="str">
        <f>IF(ISERROR("ONTD_P7"),"",HYPERLINK("#INDEX('Frequencies'!A:A,MATCH(A" &amp; ROW() &amp; ",'Frequencies'!A:A,0))","Frequencies"))</f>
        <v>Frequencies</v>
      </c>
      <c r="G177" s="2"/>
      <c r="H177" s="2"/>
      <c r="I177" s="2"/>
      <c r="J177" s="2">
        <v>108</v>
      </c>
      <c r="K177" s="2"/>
      <c r="L177" s="2"/>
    </row>
    <row r="178" spans="1:12" ht="49.95" customHeight="1" x14ac:dyDescent="0.3">
      <c r="A178" s="3" t="s">
        <v>428</v>
      </c>
      <c r="B178" s="2" t="s">
        <v>429</v>
      </c>
      <c r="C178" s="2"/>
      <c r="D178" s="2" t="s">
        <v>15</v>
      </c>
      <c r="E178" s="4" t="str">
        <f>IF(ISERROR("ONTD_P8"),"",HYPERLINK("#INDEX('Value Lookup'!A:A,MATCH(A" &amp; ROW() &amp; ",'Value Lookup'!A:A,0))","Value Lookup"))</f>
        <v>Value Lookup</v>
      </c>
      <c r="F178" s="4" t="str">
        <f>IF(ISERROR("ONTD_P8"),"",HYPERLINK("#INDEX('Frequencies'!A:A,MATCH(A" &amp; ROW() &amp; ",'Frequencies'!A:A,0))","Frequencies"))</f>
        <v>Frequencies</v>
      </c>
      <c r="G178" s="2"/>
      <c r="H178" s="2"/>
      <c r="I178" s="2"/>
      <c r="J178" s="2">
        <v>109</v>
      </c>
      <c r="K178" s="2"/>
      <c r="L178" s="2"/>
    </row>
    <row r="179" spans="1:12" ht="49.95" customHeight="1" x14ac:dyDescent="0.3">
      <c r="A179" s="3" t="s">
        <v>430</v>
      </c>
      <c r="B179" s="2" t="s">
        <v>431</v>
      </c>
      <c r="C179" s="2"/>
      <c r="D179" s="2" t="s">
        <v>15</v>
      </c>
      <c r="E179" s="4" t="str">
        <f>IF(ISERROR("ONTD_P9"),"",HYPERLINK("#INDEX('Value Lookup'!A:A,MATCH(A" &amp; ROW() &amp; ",'Value Lookup'!A:A,0))","Value Lookup"))</f>
        <v>Value Lookup</v>
      </c>
      <c r="F179" s="4" t="str">
        <f>IF(ISERROR("ONTD_P9"),"",HYPERLINK("#INDEX('Frequencies'!A:A,MATCH(A" &amp; ROW() &amp; ",'Frequencies'!A:A,0))","Frequencies"))</f>
        <v>Frequencies</v>
      </c>
      <c r="G179" s="2"/>
      <c r="H179" s="2"/>
      <c r="I179" s="2"/>
      <c r="J179" s="2">
        <v>110</v>
      </c>
      <c r="K179" s="2"/>
      <c r="L179" s="2"/>
    </row>
    <row r="180" spans="1:12" ht="49.95" customHeight="1" x14ac:dyDescent="0.3">
      <c r="A180" s="3" t="s">
        <v>432</v>
      </c>
      <c r="B180" s="2" t="s">
        <v>433</v>
      </c>
      <c r="C180" s="2"/>
      <c r="D180" s="2" t="s">
        <v>15</v>
      </c>
      <c r="E180" s="4" t="str">
        <f>IF(ISERROR("OUTCNTRY"),"",HYPERLINK("#INDEX('Value Lookup'!A:A,MATCH(A" &amp; ROW() &amp; ",'Value Lookup'!A:A,0))","Value Lookup"))</f>
        <v>Value Lookup</v>
      </c>
      <c r="F180" s="4" t="str">
        <f>IF(ISERROR("OUTCNTRY"),"",HYPERLINK("#INDEX('Frequencies'!A:A,MATCH(A" &amp; ROW() &amp; ",'Frequencies'!A:A,0))","Frequencies"))</f>
        <v>Frequencies</v>
      </c>
      <c r="G180" s="2"/>
      <c r="H180" s="2">
        <v>145</v>
      </c>
      <c r="I180" s="2"/>
      <c r="J180" s="2"/>
      <c r="K180" s="2"/>
      <c r="L180" s="2"/>
    </row>
    <row r="181" spans="1:12" ht="49.95" customHeight="1" x14ac:dyDescent="0.3">
      <c r="A181" s="3" t="s">
        <v>434</v>
      </c>
      <c r="B181" s="2" t="s">
        <v>435</v>
      </c>
      <c r="C181" s="2"/>
      <c r="D181" s="2" t="s">
        <v>15</v>
      </c>
      <c r="E181" s="4" t="str">
        <f>IF(ISERROR("OUTOFTWN"),"",HYPERLINK("#INDEX('Value Lookup'!A:A,MATCH(A" &amp; ROW() &amp; ",'Value Lookup'!A:A,0))","Value Lookup"))</f>
        <v>Value Lookup</v>
      </c>
      <c r="F181" s="4" t="str">
        <f>IF(ISERROR("OUTOFTWN"),"",HYPERLINK("#INDEX('Frequencies'!A:A,MATCH(A" &amp; ROW() &amp; ",'Frequencies'!A:A,0))","Frequencies"))</f>
        <v>Frequencies</v>
      </c>
      <c r="G181" s="2"/>
      <c r="H181" s="2">
        <v>155</v>
      </c>
      <c r="I181" s="2"/>
      <c r="J181" s="2"/>
      <c r="K181" s="2"/>
      <c r="L181" s="2"/>
    </row>
    <row r="182" spans="1:12" ht="49.95" customHeight="1" x14ac:dyDescent="0.3">
      <c r="A182" s="3" t="s">
        <v>436</v>
      </c>
      <c r="B182" s="2" t="s">
        <v>437</v>
      </c>
      <c r="C182" s="2" t="s">
        <v>438</v>
      </c>
      <c r="D182" s="2" t="s">
        <v>15</v>
      </c>
      <c r="E182" s="4" t="str">
        <f>IF(ISERROR("PARA"),"",HYPERLINK("#INDEX('Value Lookup'!A:A,MATCH(A" &amp; ROW() &amp; ",'Value Lookup'!A:A,0))","Value Lookup"))</f>
        <v>Value Lookup</v>
      </c>
      <c r="F182" s="4" t="str">
        <f>IF(ISERROR("PARA"),"",HYPERLINK("#INDEX('Frequencies'!A:A,MATCH(A" &amp; ROW() &amp; ",'Frequencies'!A:A,0))","Frequencies"))</f>
        <v>Frequencies</v>
      </c>
      <c r="G182" s="2">
        <v>28</v>
      </c>
      <c r="H182" s="2"/>
      <c r="I182" s="2"/>
      <c r="J182" s="2"/>
      <c r="K182" s="2"/>
      <c r="L182" s="2"/>
    </row>
    <row r="183" spans="1:12" ht="49.95" customHeight="1" x14ac:dyDescent="0.3">
      <c r="A183" s="3" t="s">
        <v>439</v>
      </c>
      <c r="B183" s="2" t="s">
        <v>440</v>
      </c>
      <c r="C183" s="2" t="s">
        <v>441</v>
      </c>
      <c r="D183" s="2" t="s">
        <v>15</v>
      </c>
      <c r="E183" s="4" t="str">
        <f>IF(ISERROR("PAYPROF"),"",HYPERLINK("#INDEX('Value Lookup'!A:A,MATCH(A" &amp; ROW() &amp; ",'Value Lookup'!A:A,0))","Value Lookup"))</f>
        <v>Value Lookup</v>
      </c>
      <c r="F183" s="4" t="str">
        <f>IF(ISERROR("PAYPROF"),"",HYPERLINK("#INDEX('Frequencies'!A:A,MATCH(A" &amp; ROW() &amp; ",'Frequencies'!A:A,0))","Frequencies"))</f>
        <v>Frequencies</v>
      </c>
      <c r="G183" s="2"/>
      <c r="H183" s="2">
        <v>13</v>
      </c>
      <c r="I183" s="2"/>
      <c r="J183" s="2"/>
      <c r="K183" s="2"/>
      <c r="L183" s="2"/>
    </row>
    <row r="184" spans="1:12" ht="49.95" customHeight="1" x14ac:dyDescent="0.3">
      <c r="A184" s="3" t="s">
        <v>442</v>
      </c>
      <c r="B184" s="2" t="s">
        <v>443</v>
      </c>
      <c r="C184" s="2" t="s">
        <v>444</v>
      </c>
      <c r="D184" s="2" t="s">
        <v>15</v>
      </c>
      <c r="E184" s="4" t="str">
        <f>IF(ISERROR("PC"),"",HYPERLINK("#INDEX('Value Lookup'!A:A,MATCH(A" &amp; ROW() &amp; ",'Value Lookup'!A:A,0))","Value Lookup"))</f>
        <v>Value Lookup</v>
      </c>
      <c r="F184" s="4" t="str">
        <f>IF(ISERROR("PC"),"",HYPERLINK("#INDEX('Frequencies'!A:A,MATCH(A" &amp; ROW() &amp; ",'Frequencies'!A:A,0))","Frequencies"))</f>
        <v>Frequencies</v>
      </c>
      <c r="G184" s="2">
        <v>17</v>
      </c>
      <c r="H184" s="2"/>
      <c r="I184" s="2"/>
      <c r="J184" s="2"/>
      <c r="K184" s="2"/>
      <c r="L184" s="2"/>
    </row>
    <row r="185" spans="1:12" ht="49.95" customHeight="1" x14ac:dyDescent="0.3">
      <c r="A185" s="3" t="s">
        <v>445</v>
      </c>
      <c r="B185" s="2" t="s">
        <v>446</v>
      </c>
      <c r="C185" s="2"/>
      <c r="D185" s="2" t="s">
        <v>15</v>
      </c>
      <c r="E185" s="2" t="str">
        <f>IF(ISERROR("PERINDT2"),"","NA")</f>
        <v>NA</v>
      </c>
      <c r="F185" s="4" t="str">
        <f>IF(ISERROR("PERINDT2"),"",HYPERLINK("#INDEX('Frequencies'!A:A,MATCH(A" &amp; ROW() &amp; ",'Frequencies'!A:A,0))","Frequencies"))</f>
        <v>Frequencies</v>
      </c>
      <c r="G185" s="2"/>
      <c r="H185" s="2">
        <v>3</v>
      </c>
      <c r="I185" s="2"/>
      <c r="J185" s="2"/>
      <c r="K185" s="2"/>
      <c r="L185" s="2"/>
    </row>
    <row r="186" spans="1:12" ht="49.95" customHeight="1" x14ac:dyDescent="0.3">
      <c r="A186" s="3" t="s">
        <v>447</v>
      </c>
      <c r="B186" s="2" t="s">
        <v>448</v>
      </c>
      <c r="C186" s="2"/>
      <c r="D186" s="2" t="s">
        <v>15</v>
      </c>
      <c r="E186" s="2" t="str">
        <f>IF(ISERROR("PERSONID"),"","NA")</f>
        <v>NA</v>
      </c>
      <c r="F186" s="4" t="str">
        <f>IF(ISERROR("PERSONID"),"",HYPERLINK("#INDEX('Frequencies'!A:A,MATCH(A" &amp; ROW() &amp; ",'Frequencies'!A:A,0))","Frequencies"))</f>
        <v>Frequencies</v>
      </c>
      <c r="G186" s="2"/>
      <c r="H186" s="2">
        <v>2</v>
      </c>
      <c r="I186" s="2"/>
      <c r="J186" s="2">
        <v>2</v>
      </c>
      <c r="K186" s="2">
        <v>3</v>
      </c>
      <c r="L186" s="2"/>
    </row>
    <row r="187" spans="1:12" ht="49.95" customHeight="1" x14ac:dyDescent="0.3">
      <c r="A187" s="3" t="s">
        <v>449</v>
      </c>
      <c r="B187" s="2" t="s">
        <v>450</v>
      </c>
      <c r="C187" s="2" t="s">
        <v>451</v>
      </c>
      <c r="D187" s="2" t="s">
        <v>15</v>
      </c>
      <c r="E187" s="4" t="str">
        <f>IF(ISERROR("PHYACT"),"",HYPERLINK("#INDEX('Value Lookup'!A:A,MATCH(A" &amp; ROW() &amp; ",'Value Lookup'!A:A,0))","Value Lookup"))</f>
        <v>Value Lookup</v>
      </c>
      <c r="F187" s="4" t="str">
        <f>IF(ISERROR("PHYACT"),"",HYPERLINK("#INDEX('Frequencies'!A:A,MATCH(A" &amp; ROW() &amp; ",'Frequencies'!A:A,0))","Frequencies"))</f>
        <v>Frequencies</v>
      </c>
      <c r="G187" s="2"/>
      <c r="H187" s="2">
        <v>71</v>
      </c>
      <c r="I187" s="2"/>
      <c r="J187" s="2"/>
      <c r="K187" s="2"/>
      <c r="L187" s="2"/>
    </row>
    <row r="188" spans="1:12" ht="49.95" customHeight="1" x14ac:dyDescent="0.3">
      <c r="A188" s="3" t="s">
        <v>452</v>
      </c>
      <c r="B188" s="2" t="s">
        <v>453</v>
      </c>
      <c r="C188" s="2" t="s">
        <v>454</v>
      </c>
      <c r="D188" s="2" t="s">
        <v>15</v>
      </c>
      <c r="E188" s="4" t="str">
        <f>IF(ISERROR("PLACE"),"",HYPERLINK("#INDEX('Value Lookup'!A:A,MATCH(A" &amp; ROW() &amp; ",'Value Lookup'!A:A,0))","Value Lookup"))</f>
        <v>Value Lookup</v>
      </c>
      <c r="F188" s="4" t="str">
        <f>IF(ISERROR("PLACE"),"",HYPERLINK("#INDEX('Frequencies'!A:A,MATCH(A" &amp; ROW() &amp; ",'Frequencies'!A:A,0))","Frequencies"))</f>
        <v>Frequencies</v>
      </c>
      <c r="G188" s="2">
        <v>30</v>
      </c>
      <c r="H188" s="2"/>
      <c r="I188" s="2"/>
      <c r="J188" s="2"/>
      <c r="K188" s="2"/>
      <c r="L188" s="2"/>
    </row>
    <row r="189" spans="1:12" ht="49.95" customHeight="1" x14ac:dyDescent="0.3">
      <c r="A189" s="3" t="s">
        <v>455</v>
      </c>
      <c r="B189" s="2" t="s">
        <v>456</v>
      </c>
      <c r="C189" s="2" t="s">
        <v>457</v>
      </c>
      <c r="D189" s="2" t="s">
        <v>15</v>
      </c>
      <c r="E189" s="4" t="str">
        <f>IF(ISERROR("PRICE"),"",HYPERLINK("#INDEX('Value Lookup'!A:A,MATCH(A" &amp; ROW() &amp; ",'Value Lookup'!A:A,0))","Value Lookup"))</f>
        <v>Value Lookup</v>
      </c>
      <c r="F189" s="4" t="str">
        <f>IF(ISERROR("PRICE"),"",HYPERLINK("#INDEX('Frequencies'!A:A,MATCH(A" &amp; ROW() &amp; ",'Frequencies'!A:A,0))","Frequencies"))</f>
        <v>Frequencies</v>
      </c>
      <c r="G189" s="2">
        <v>29</v>
      </c>
      <c r="H189" s="2"/>
      <c r="I189" s="2"/>
      <c r="J189" s="2"/>
      <c r="K189" s="2"/>
      <c r="L189" s="2"/>
    </row>
    <row r="190" spans="1:12" ht="49.95" customHeight="1" x14ac:dyDescent="0.3">
      <c r="A190" s="3" t="s">
        <v>458</v>
      </c>
      <c r="B190" s="2" t="s">
        <v>459</v>
      </c>
      <c r="C190" s="2" t="s">
        <v>460</v>
      </c>
      <c r="D190" s="2" t="s">
        <v>15</v>
      </c>
      <c r="E190" s="4" t="str">
        <f>IF(ISERROR("PRMACT"),"",HYPERLINK("#INDEX('Value Lookup'!A:A,MATCH(A" &amp; ROW() &amp; ",'Value Lookup'!A:A,0))","Value Lookup"))</f>
        <v>Value Lookup</v>
      </c>
      <c r="F190" s="4" t="str">
        <f>IF(ISERROR("PRMACT"),"",HYPERLINK("#INDEX('Frequencies'!A:A,MATCH(A" &amp; ROW() &amp; ",'Frequencies'!A:A,0))","Frequencies"))</f>
        <v>Frequencies</v>
      </c>
      <c r="G190" s="2"/>
      <c r="H190" s="2">
        <v>12</v>
      </c>
      <c r="I190" s="2"/>
      <c r="J190" s="2"/>
      <c r="K190" s="2"/>
      <c r="L190" s="2"/>
    </row>
    <row r="191" spans="1:12" ht="49.95" customHeight="1" x14ac:dyDescent="0.3">
      <c r="A191" s="3" t="s">
        <v>461</v>
      </c>
      <c r="B191" s="2" t="s">
        <v>462</v>
      </c>
      <c r="C191" s="2"/>
      <c r="D191" s="2" t="s">
        <v>15</v>
      </c>
      <c r="E191" s="4" t="str">
        <f>IF(ISERROR("PROXY"),"",HYPERLINK("#INDEX('Value Lookup'!A:A,MATCH(A" &amp; ROW() &amp; ",'Value Lookup'!A:A,0))","Value Lookup"))</f>
        <v>Value Lookup</v>
      </c>
      <c r="F191" s="4" t="str">
        <f>IF(ISERROR("PROXY"),"",HYPERLINK("#INDEX('Frequencies'!A:A,MATCH(A" &amp; ROW() &amp; ",'Frequencies'!A:A,0))","Frequencies"))</f>
        <v>Frequencies</v>
      </c>
      <c r="G191" s="2"/>
      <c r="H191" s="2">
        <v>80</v>
      </c>
      <c r="I191" s="2"/>
      <c r="J191" s="2"/>
      <c r="K191" s="2"/>
      <c r="L191" s="2"/>
    </row>
    <row r="192" spans="1:12" ht="49.95" customHeight="1" x14ac:dyDescent="0.3">
      <c r="A192" s="3" t="s">
        <v>463</v>
      </c>
      <c r="B192" s="2" t="s">
        <v>464</v>
      </c>
      <c r="C192" s="2"/>
      <c r="D192" s="2" t="s">
        <v>15</v>
      </c>
      <c r="E192" s="4" t="str">
        <f>IF(ISERROR("PSGR_FLG"),"",HYPERLINK("#INDEX('Value Lookup'!A:A,MATCH(A" &amp; ROW() &amp; ",'Value Lookup'!A:A,0))","Value Lookup"))</f>
        <v>Value Lookup</v>
      </c>
      <c r="F192" s="4" t="str">
        <f>IF(ISERROR("PSGR_FLG"),"",HYPERLINK("#INDEX('Frequencies'!A:A,MATCH(A" &amp; ROW() &amp; ",'Frequencies'!A:A,0))","Frequencies"))</f>
        <v>Frequencies</v>
      </c>
      <c r="G192" s="2"/>
      <c r="H192" s="2"/>
      <c r="I192" s="2"/>
      <c r="J192" s="2">
        <v>44</v>
      </c>
      <c r="K192" s="2"/>
      <c r="L192" s="2"/>
    </row>
    <row r="193" spans="1:12" ht="49.95" customHeight="1" x14ac:dyDescent="0.3">
      <c r="A193" s="3" t="s">
        <v>465</v>
      </c>
      <c r="B193" s="2" t="s">
        <v>466</v>
      </c>
      <c r="C193" s="2" t="s">
        <v>467</v>
      </c>
      <c r="D193" s="2" t="s">
        <v>15</v>
      </c>
      <c r="E193" s="4" t="str">
        <f>IF(ISERROR("PTRANS"),"",HYPERLINK("#INDEX('Value Lookup'!A:A,MATCH(A" &amp; ROW() &amp; ",'Value Lookup'!A:A,0))","Value Lookup"))</f>
        <v>Value Lookup</v>
      </c>
      <c r="F193" s="4" t="str">
        <f>IF(ISERROR("PTRANS"),"",HYPERLINK("#INDEX('Frequencies'!A:A,MATCH(A" &amp; ROW() &amp; ",'Frequencies'!A:A,0))","Frequencies"))</f>
        <v>Frequencies</v>
      </c>
      <c r="G193" s="2">
        <v>33</v>
      </c>
      <c r="H193" s="2"/>
      <c r="I193" s="2"/>
      <c r="J193" s="2"/>
      <c r="K193" s="2"/>
      <c r="L193" s="2"/>
    </row>
    <row r="194" spans="1:12" ht="49.95" customHeight="1" x14ac:dyDescent="0.3">
      <c r="A194" s="3" t="s">
        <v>468</v>
      </c>
      <c r="B194" s="2" t="s">
        <v>469</v>
      </c>
      <c r="C194" s="2" t="s">
        <v>470</v>
      </c>
      <c r="D194" s="2" t="s">
        <v>41</v>
      </c>
      <c r="E194" s="2" t="str">
        <f>IF(ISERROR("PTUSED"),"","Range: 0 - 240")</f>
        <v>Range: 0 - 240</v>
      </c>
      <c r="F194" s="4" t="str">
        <f>IF(ISERROR("PTUSED"),"",HYPERLINK("#INDEX('Frequencies'!A:A,MATCH(A" &amp; ROW() &amp; ",'Frequencies'!A:A,0))","Frequencies"))</f>
        <v>Frequencies</v>
      </c>
      <c r="G194" s="2"/>
      <c r="H194" s="2">
        <v>46</v>
      </c>
      <c r="I194" s="2"/>
      <c r="J194" s="2"/>
      <c r="K194" s="2"/>
      <c r="L194" s="2"/>
    </row>
    <row r="195" spans="1:12" ht="49.95" customHeight="1" x14ac:dyDescent="0.3">
      <c r="A195" s="3" t="s">
        <v>471</v>
      </c>
      <c r="B195" s="2" t="s">
        <v>472</v>
      </c>
      <c r="C195" s="2" t="s">
        <v>473</v>
      </c>
      <c r="D195" s="2" t="s">
        <v>41</v>
      </c>
      <c r="E195" s="2" t="str">
        <f>IF(ISERROR("PUBTIME"),"","Range: 0 - 60")</f>
        <v>Range: 0 - 60</v>
      </c>
      <c r="F195" s="4" t="str">
        <f>IF(ISERROR("PUBTIME"),"",HYPERLINK("#INDEX('Frequencies'!A:A,MATCH(A" &amp; ROW() &amp; ",'Frequencies'!A:A,0))","Frequencies"))</f>
        <v>Frequencies</v>
      </c>
      <c r="G195" s="2"/>
      <c r="H195" s="2">
        <v>53</v>
      </c>
      <c r="I195" s="2"/>
      <c r="J195" s="2"/>
      <c r="K195" s="2"/>
      <c r="L195" s="2"/>
    </row>
    <row r="196" spans="1:12" ht="49.95" customHeight="1" x14ac:dyDescent="0.3">
      <c r="A196" s="3" t="s">
        <v>474</v>
      </c>
      <c r="B196" s="2" t="s">
        <v>475</v>
      </c>
      <c r="C196" s="2"/>
      <c r="D196" s="2" t="s">
        <v>15</v>
      </c>
      <c r="E196" s="4" t="str">
        <f>IF(ISERROR("PUBTRANS"),"",HYPERLINK("#INDEX('Value Lookup'!A:A,MATCH(A" &amp; ROW() &amp; ",'Value Lookup'!A:A,0))","Value Lookup"))</f>
        <v>Value Lookup</v>
      </c>
      <c r="F196" s="4" t="str">
        <f>IF(ISERROR("PUBTRANS"),"",HYPERLINK("#INDEX('Frequencies'!A:A,MATCH(A" &amp; ROW() &amp; ",'Frequencies'!A:A,0))","Frequencies"))</f>
        <v>Frequencies</v>
      </c>
      <c r="G196" s="2"/>
      <c r="H196" s="2"/>
      <c r="I196" s="2"/>
      <c r="J196" s="2">
        <v>45</v>
      </c>
      <c r="K196" s="2"/>
      <c r="L196" s="2"/>
    </row>
    <row r="197" spans="1:12" ht="49.95" customHeight="1" x14ac:dyDescent="0.3">
      <c r="A197" s="3" t="s">
        <v>476</v>
      </c>
      <c r="B197" s="2" t="s">
        <v>477</v>
      </c>
      <c r="C197" s="2"/>
      <c r="D197" s="2" t="s">
        <v>15</v>
      </c>
      <c r="E197" s="4" t="str">
        <f>IF(ISERROR("QC_DAY"),"",HYPERLINK("#INDEX('Value Lookup'!A:A,MATCH(A" &amp; ROW() &amp; ",'Value Lookup'!A:A,0))","Value Lookup"))</f>
        <v>Value Lookup</v>
      </c>
      <c r="F197" s="4" t="str">
        <f>IF(ISERROR("QC_DAY"),"",HYPERLINK("#INDEX('Frequencies'!A:A,MATCH(A" &amp; ROW() &amp; ",'Frequencies'!A:A,0))","Frequencies"))</f>
        <v>Frequencies</v>
      </c>
      <c r="G197" s="2"/>
      <c r="H197" s="2">
        <v>131</v>
      </c>
      <c r="I197" s="2"/>
      <c r="J197" s="2"/>
      <c r="K197" s="2"/>
      <c r="L197" s="2"/>
    </row>
    <row r="198" spans="1:12" ht="49.95" customHeight="1" x14ac:dyDescent="0.3">
      <c r="A198" s="3" t="s">
        <v>478</v>
      </c>
      <c r="B198" s="2" t="s">
        <v>479</v>
      </c>
      <c r="C198" s="2"/>
      <c r="D198" s="2" t="s">
        <v>15</v>
      </c>
      <c r="E198" s="4" t="str">
        <f>IF(ISERROR("QC_JOINT"),"",HYPERLINK("#INDEX('Value Lookup'!A:A,MATCH(A" &amp; ROW() &amp; ",'Value Lookup'!A:A,0))","Value Lookup"))</f>
        <v>Value Lookup</v>
      </c>
      <c r="F198" s="4" t="str">
        <f>IF(ISERROR("QC_JOINT"),"",HYPERLINK("#INDEX('Frequencies'!A:A,MATCH(A" &amp; ROW() &amp; ",'Frequencies'!A:A,0))","Frequencies"))</f>
        <v>Frequencies</v>
      </c>
      <c r="G198" s="2"/>
      <c r="H198" s="2">
        <v>128</v>
      </c>
      <c r="I198" s="2"/>
      <c r="J198" s="2"/>
      <c r="K198" s="2"/>
      <c r="L198" s="2"/>
    </row>
    <row r="199" spans="1:12" ht="49.95" customHeight="1" x14ac:dyDescent="0.3">
      <c r="A199" s="3" t="s">
        <v>480</v>
      </c>
      <c r="B199" s="2" t="s">
        <v>481</v>
      </c>
      <c r="C199" s="2"/>
      <c r="D199" s="2" t="s">
        <v>15</v>
      </c>
      <c r="E199" s="4" t="str">
        <f>IF(ISERROR("QC_LOC"),"",HYPERLINK("#INDEX('Value Lookup'!A:A,MATCH(A" &amp; ROW() &amp; ",'Value Lookup'!A:A,0))","Value Lookup"))</f>
        <v>Value Lookup</v>
      </c>
      <c r="F199" s="4" t="str">
        <f>IF(ISERROR("QC_LOC"),"",HYPERLINK("#INDEX('Frequencies'!A:A,MATCH(A" &amp; ROW() &amp; ",'Frequencies'!A:A,0))","Frequencies"))</f>
        <v>Frequencies</v>
      </c>
      <c r="G199" s="2"/>
      <c r="H199" s="2">
        <v>127</v>
      </c>
      <c r="I199" s="2"/>
      <c r="J199" s="2"/>
      <c r="K199" s="2"/>
      <c r="L199" s="2"/>
    </row>
    <row r="200" spans="1:12" ht="49.95" customHeight="1" x14ac:dyDescent="0.3">
      <c r="A200" s="3" t="s">
        <v>482</v>
      </c>
      <c r="B200" s="2" t="s">
        <v>483</v>
      </c>
      <c r="C200" s="2"/>
      <c r="D200" s="2" t="s">
        <v>15</v>
      </c>
      <c r="E200" s="4" t="str">
        <f>IF(ISERROR("QC_LOOP"),"",HYPERLINK("#INDEX('Value Lookup'!A:A,MATCH(A" &amp; ROW() &amp; ",'Value Lookup'!A:A,0))","Value Lookup"))</f>
        <v>Value Lookup</v>
      </c>
      <c r="F200" s="4" t="str">
        <f>IF(ISERROR("QC_LOOP"),"",HYPERLINK("#INDEX('Frequencies'!A:A,MATCH(A" &amp; ROW() &amp; ",'Frequencies'!A:A,0))","Frequencies"))</f>
        <v>Frequencies</v>
      </c>
      <c r="G200" s="2"/>
      <c r="H200" s="2">
        <v>130</v>
      </c>
      <c r="I200" s="2"/>
      <c r="J200" s="2"/>
      <c r="K200" s="2"/>
      <c r="L200" s="2"/>
    </row>
    <row r="201" spans="1:12" ht="49.95" customHeight="1" x14ac:dyDescent="0.3">
      <c r="A201" s="3" t="s">
        <v>484</v>
      </c>
      <c r="B201" s="2" t="s">
        <v>485</v>
      </c>
      <c r="C201" s="2"/>
      <c r="D201" s="2" t="s">
        <v>15</v>
      </c>
      <c r="E201" s="4" t="str">
        <f>IF(ISERROR("QC_TIME"),"",HYPERLINK("#INDEX('Value Lookup'!A:A,MATCH(A" &amp; ROW() &amp; ",'Value Lookup'!A:A,0))","Value Lookup"))</f>
        <v>Value Lookup</v>
      </c>
      <c r="F201" s="4" t="str">
        <f>IF(ISERROR("QC_TIME"),"",HYPERLINK("#INDEX('Frequencies'!A:A,MATCH(A" &amp; ROW() &amp; ",'Frequencies'!A:A,0))","Frequencies"))</f>
        <v>Frequencies</v>
      </c>
      <c r="G201" s="2"/>
      <c r="H201" s="2">
        <v>129</v>
      </c>
      <c r="I201" s="2"/>
      <c r="J201" s="2"/>
      <c r="K201" s="2"/>
      <c r="L201" s="2"/>
    </row>
    <row r="202" spans="1:12" ht="49.95" customHeight="1" x14ac:dyDescent="0.3">
      <c r="A202" s="3" t="s">
        <v>486</v>
      </c>
      <c r="B202" s="2" t="s">
        <v>487</v>
      </c>
      <c r="C202" s="2" t="s">
        <v>488</v>
      </c>
      <c r="D202" s="2" t="s">
        <v>15</v>
      </c>
      <c r="E202" s="4" t="str">
        <f>IF(ISERROR("RACE_1"),"",HYPERLINK("#INDEX('Value Lookup'!A:A,MATCH(A" &amp; ROW() &amp; ",'Value Lookup'!A:A,0))","Value Lookup"))</f>
        <v>Value Lookup</v>
      </c>
      <c r="F202" s="4" t="str">
        <f>IF(ISERROR("RACE_1"),"",HYPERLINK("#INDEX('Frequencies'!A:A,MATCH(A" &amp; ROW() &amp; ",'Frequencies'!A:A,0))","Frequencies"))</f>
        <v>Frequencies</v>
      </c>
      <c r="G202" s="2"/>
      <c r="H202" s="2">
        <v>86</v>
      </c>
      <c r="I202" s="2"/>
      <c r="J202" s="2"/>
      <c r="K202" s="2"/>
      <c r="L202" s="2"/>
    </row>
    <row r="203" spans="1:12" ht="49.95" customHeight="1" x14ac:dyDescent="0.3">
      <c r="A203" s="3" t="s">
        <v>489</v>
      </c>
      <c r="B203" s="2" t="s">
        <v>490</v>
      </c>
      <c r="C203" s="2" t="s">
        <v>488</v>
      </c>
      <c r="D203" s="2" t="s">
        <v>15</v>
      </c>
      <c r="E203" s="4" t="str">
        <f>IF(ISERROR("RACE_2"),"",HYPERLINK("#INDEX('Value Lookup'!A:A,MATCH(A" &amp; ROW() &amp; ",'Value Lookup'!A:A,0))","Value Lookup"))</f>
        <v>Value Lookup</v>
      </c>
      <c r="F203" s="4" t="str">
        <f>IF(ISERROR("RACE_2"),"",HYPERLINK("#INDEX('Frequencies'!A:A,MATCH(A" &amp; ROW() &amp; ",'Frequencies'!A:A,0))","Frequencies"))</f>
        <v>Frequencies</v>
      </c>
      <c r="G203" s="2"/>
      <c r="H203" s="2">
        <v>87</v>
      </c>
      <c r="I203" s="2"/>
      <c r="J203" s="2"/>
      <c r="K203" s="2"/>
      <c r="L203" s="2"/>
    </row>
    <row r="204" spans="1:12" ht="49.95" customHeight="1" x14ac:dyDescent="0.3">
      <c r="A204" s="3" t="s">
        <v>491</v>
      </c>
      <c r="B204" s="2" t="s">
        <v>492</v>
      </c>
      <c r="C204" s="2" t="s">
        <v>488</v>
      </c>
      <c r="D204" s="2" t="s">
        <v>15</v>
      </c>
      <c r="E204" s="4" t="str">
        <f>IF(ISERROR("RACE_3"),"",HYPERLINK("#INDEX('Value Lookup'!A:A,MATCH(A" &amp; ROW() &amp; ",'Value Lookup'!A:A,0))","Value Lookup"))</f>
        <v>Value Lookup</v>
      </c>
      <c r="F204" s="4" t="str">
        <f>IF(ISERROR("RACE_3"),"",HYPERLINK("#INDEX('Frequencies'!A:A,MATCH(A" &amp; ROW() &amp; ",'Frequencies'!A:A,0))","Frequencies"))</f>
        <v>Frequencies</v>
      </c>
      <c r="G204" s="2"/>
      <c r="H204" s="2">
        <v>88</v>
      </c>
      <c r="I204" s="2"/>
      <c r="J204" s="2"/>
      <c r="K204" s="2"/>
      <c r="L204" s="2"/>
    </row>
    <row r="205" spans="1:12" ht="49.95" customHeight="1" x14ac:dyDescent="0.3">
      <c r="A205" s="3" t="s">
        <v>493</v>
      </c>
      <c r="B205" s="2" t="s">
        <v>494</v>
      </c>
      <c r="C205" s="2" t="s">
        <v>488</v>
      </c>
      <c r="D205" s="2" t="s">
        <v>15</v>
      </c>
      <c r="E205" s="4" t="str">
        <f>IF(ISERROR("RACE_4"),"",HYPERLINK("#INDEX('Value Lookup'!A:A,MATCH(A" &amp; ROW() &amp; ",'Value Lookup'!A:A,0))","Value Lookup"))</f>
        <v>Value Lookup</v>
      </c>
      <c r="F205" s="4" t="str">
        <f>IF(ISERROR("RACE_4"),"",HYPERLINK("#INDEX('Frequencies'!A:A,MATCH(A" &amp; ROW() &amp; ",'Frequencies'!A:A,0))","Frequencies"))</f>
        <v>Frequencies</v>
      </c>
      <c r="G205" s="2"/>
      <c r="H205" s="2">
        <v>89</v>
      </c>
      <c r="I205" s="2"/>
      <c r="J205" s="2"/>
      <c r="K205" s="2"/>
      <c r="L205" s="2"/>
    </row>
    <row r="206" spans="1:12" ht="49.95" customHeight="1" x14ac:dyDescent="0.3">
      <c r="A206" s="3" t="s">
        <v>495</v>
      </c>
      <c r="B206" s="2" t="s">
        <v>496</v>
      </c>
      <c r="C206" s="2" t="s">
        <v>488</v>
      </c>
      <c r="D206" s="2" t="s">
        <v>15</v>
      </c>
      <c r="E206" s="4" t="str">
        <f>IF(ISERROR("RACE_5"),"",HYPERLINK("#INDEX('Value Lookup'!A:A,MATCH(A" &amp; ROW() &amp; ",'Value Lookup'!A:A,0))","Value Lookup"))</f>
        <v>Value Lookup</v>
      </c>
      <c r="F206" s="4" t="str">
        <f>IF(ISERROR("RACE_5"),"",HYPERLINK("#INDEX('Frequencies'!A:A,MATCH(A" &amp; ROW() &amp; ",'Frequencies'!A:A,0))","Frequencies"))</f>
        <v>Frequencies</v>
      </c>
      <c r="G206" s="2"/>
      <c r="H206" s="2">
        <v>90</v>
      </c>
      <c r="I206" s="2"/>
      <c r="J206" s="2"/>
      <c r="K206" s="2"/>
      <c r="L206" s="2"/>
    </row>
    <row r="207" spans="1:12" ht="49.95" customHeight="1" x14ac:dyDescent="0.3">
      <c r="A207" s="3" t="s">
        <v>497</v>
      </c>
      <c r="B207" s="2" t="s">
        <v>498</v>
      </c>
      <c r="C207" s="2" t="s">
        <v>488</v>
      </c>
      <c r="D207" s="2" t="s">
        <v>15</v>
      </c>
      <c r="E207" s="4" t="str">
        <f>IF(ISERROR("RACE_DK"),"",HYPERLINK("#INDEX('Value Lookup'!A:A,MATCH(A" &amp; ROW() &amp; ",'Value Lookup'!A:A,0))","Value Lookup"))</f>
        <v>Value Lookup</v>
      </c>
      <c r="F207" s="4" t="str">
        <f>IF(ISERROR("RACE_DK"),"",HYPERLINK("#INDEX('Frequencies'!A:A,MATCH(A" &amp; ROW() &amp; ",'Frequencies'!A:A,0))","Frequencies"))</f>
        <v>Frequencies</v>
      </c>
      <c r="G207" s="2"/>
      <c r="H207" s="2">
        <v>91</v>
      </c>
      <c r="I207" s="2"/>
      <c r="J207" s="2"/>
      <c r="K207" s="2"/>
      <c r="L207" s="2"/>
    </row>
    <row r="208" spans="1:12" ht="49.95" customHeight="1" x14ac:dyDescent="0.3">
      <c r="A208" s="3" t="s">
        <v>499</v>
      </c>
      <c r="B208" s="2" t="s">
        <v>500</v>
      </c>
      <c r="C208" s="2" t="s">
        <v>501</v>
      </c>
      <c r="D208" s="2" t="s">
        <v>15</v>
      </c>
      <c r="E208" s="4" t="str">
        <f>IF(ISERROR("RACE_O"),"",HYPERLINK("#INDEX('Value Lookup'!A:A,MATCH(A" &amp; ROW() &amp; ",'Value Lookup'!A:A,0))","Value Lookup"))</f>
        <v>Value Lookup</v>
      </c>
      <c r="F208" s="4" t="str">
        <f>IF(ISERROR("RACE_O"),"",HYPERLINK("#INDEX('Frequencies'!A:A,MATCH(A" &amp; ROW() &amp; ",'Frequencies'!A:A,0))","Frequencies"))</f>
        <v>Frequencies</v>
      </c>
      <c r="G208" s="2"/>
      <c r="H208" s="2">
        <v>94</v>
      </c>
      <c r="I208" s="2"/>
      <c r="J208" s="2"/>
      <c r="K208" s="2"/>
      <c r="L208" s="2"/>
    </row>
    <row r="209" spans="1:12" ht="49.95" customHeight="1" x14ac:dyDescent="0.3">
      <c r="A209" s="3" t="s">
        <v>502</v>
      </c>
      <c r="B209" s="2" t="s">
        <v>503</v>
      </c>
      <c r="C209" s="2" t="s">
        <v>488</v>
      </c>
      <c r="D209" s="2" t="s">
        <v>15</v>
      </c>
      <c r="E209" s="4" t="str">
        <f>IF(ISERROR("RACE_RF"),"",HYPERLINK("#INDEX('Value Lookup'!A:A,MATCH(A" &amp; ROW() &amp; ",'Value Lookup'!A:A,0))","Value Lookup"))</f>
        <v>Value Lookup</v>
      </c>
      <c r="F209" s="4" t="str">
        <f>IF(ISERROR("RACE_RF"),"",HYPERLINK("#INDEX('Frequencies'!A:A,MATCH(A" &amp; ROW() &amp; ",'Frequencies'!A:A,0))","Frequencies"))</f>
        <v>Frequencies</v>
      </c>
      <c r="G209" s="2"/>
      <c r="H209" s="2">
        <v>92</v>
      </c>
      <c r="I209" s="2"/>
      <c r="J209" s="2"/>
      <c r="K209" s="2"/>
      <c r="L209" s="2"/>
    </row>
    <row r="210" spans="1:12" ht="49.95" customHeight="1" x14ac:dyDescent="0.3">
      <c r="A210" s="3" t="s">
        <v>504</v>
      </c>
      <c r="B210" s="2" t="s">
        <v>505</v>
      </c>
      <c r="C210" s="2" t="s">
        <v>488</v>
      </c>
      <c r="D210" s="2" t="s">
        <v>15</v>
      </c>
      <c r="E210" s="4" t="str">
        <f>IF(ISERROR("RACE_SE"),"",HYPERLINK("#INDEX('Value Lookup'!A:A,MATCH(A" &amp; ROW() &amp; ",'Value Lookup'!A:A,0))","Value Lookup"))</f>
        <v>Value Lookup</v>
      </c>
      <c r="F210" s="4" t="str">
        <f>IF(ISERROR("RACE_SE"),"",HYPERLINK("#INDEX('Frequencies'!A:A,MATCH(A" &amp; ROW() &amp; ",'Frequencies'!A:A,0))","Frequencies"))</f>
        <v>Frequencies</v>
      </c>
      <c r="G210" s="2"/>
      <c r="H210" s="2">
        <v>93</v>
      </c>
      <c r="I210" s="2"/>
      <c r="J210" s="2"/>
      <c r="K210" s="2"/>
      <c r="L210" s="2"/>
    </row>
    <row r="211" spans="1:12" ht="49.95" customHeight="1" x14ac:dyDescent="0.3">
      <c r="A211" s="3" t="s">
        <v>506</v>
      </c>
      <c r="B211" s="2" t="s">
        <v>507</v>
      </c>
      <c r="C211" s="2" t="s">
        <v>508</v>
      </c>
      <c r="D211" s="2" t="s">
        <v>41</v>
      </c>
      <c r="E211" s="2" t="str">
        <f>IF(ISERROR("R_AGE"),"","Range: 0 - 110")</f>
        <v>Range: 0 - 110</v>
      </c>
      <c r="F211" s="4" t="str">
        <f>IF(ISERROR("R_AGE"),"",HYPERLINK("#INDEX('Frequencies'!A:A,MATCH(A" &amp; ROW() &amp; ",'Frequencies'!A:A,0))","Frequencies"))</f>
        <v>Frequencies</v>
      </c>
      <c r="G211" s="2"/>
      <c r="H211" s="2">
        <v>4</v>
      </c>
      <c r="I211" s="2"/>
      <c r="J211" s="2"/>
      <c r="K211" s="2"/>
      <c r="L211" s="2"/>
    </row>
    <row r="212" spans="1:12" ht="49.95" customHeight="1" x14ac:dyDescent="0.3">
      <c r="A212" s="3" t="s">
        <v>509</v>
      </c>
      <c r="B212" s="2" t="s">
        <v>510</v>
      </c>
      <c r="C212" s="2"/>
      <c r="D212" s="2" t="s">
        <v>41</v>
      </c>
      <c r="E212" s="2" t="str">
        <f>IF(ISERROR("R_AGE_IMP"),"","NA")</f>
        <v>NA</v>
      </c>
      <c r="F212" s="4" t="str">
        <f>IF(ISERROR("R_AGE_IMP"),"",HYPERLINK("#INDEX('Frequencies'!A:A,MATCH(A" &amp; ROW() &amp; ",'Frequencies'!A:A,0))","Frequencies"))</f>
        <v>Frequencies</v>
      </c>
      <c r="G212" s="2"/>
      <c r="H212" s="2">
        <v>159</v>
      </c>
      <c r="I212" s="2"/>
      <c r="J212" s="2"/>
      <c r="K212" s="2"/>
      <c r="L212" s="2"/>
    </row>
    <row r="213" spans="1:12" ht="49.95" customHeight="1" x14ac:dyDescent="0.3">
      <c r="A213" s="3" t="s">
        <v>511</v>
      </c>
      <c r="B213" s="2" t="s">
        <v>512</v>
      </c>
      <c r="C213" s="2"/>
      <c r="D213" s="2" t="s">
        <v>15</v>
      </c>
      <c r="E213" s="4" t="str">
        <f>IF(ISERROR("RAIL"),"",HYPERLINK("#INDEX('Value Lookup'!A:A,MATCH(A" &amp; ROW() &amp; ",'Value Lookup'!A:A,0))","Value Lookup"))</f>
        <v>Value Lookup</v>
      </c>
      <c r="F213" s="4" t="str">
        <f>IF(ISERROR("RAIL"),"",HYPERLINK("#INDEX('Frequencies'!A:A,MATCH(A" &amp; ROW() &amp; ",'Frequencies'!A:A,0))","Frequencies"))</f>
        <v>Frequencies</v>
      </c>
      <c r="G213" s="2">
        <v>49</v>
      </c>
      <c r="H213" s="2"/>
      <c r="I213" s="2"/>
      <c r="J213" s="2"/>
      <c r="K213" s="2"/>
      <c r="L213" s="2"/>
    </row>
    <row r="214" spans="1:12" ht="49.95" customHeight="1" x14ac:dyDescent="0.3">
      <c r="A214" s="3" t="s">
        <v>513</v>
      </c>
      <c r="B214" s="2" t="s">
        <v>514</v>
      </c>
      <c r="C214" s="2"/>
      <c r="D214" s="2" t="s">
        <v>15</v>
      </c>
      <c r="E214" s="4" t="str">
        <f>IF(ISERROR("RECMODE"),"",HYPERLINK("#INDEX('Value Lookup'!A:A,MATCH(A" &amp; ROW() &amp; ",'Value Lookup'!A:A,0))","Value Lookup"))</f>
        <v>Value Lookup</v>
      </c>
      <c r="F214" s="4" t="str">
        <f>IF(ISERROR("RECMODE"),"",HYPERLINK("#INDEX('Frequencies'!A:A,MATCH(A" &amp; ROW() &amp; ",'Frequencies'!A:A,0))","Frequencies"))</f>
        <v>Frequencies</v>
      </c>
      <c r="G214" s="2">
        <v>9</v>
      </c>
      <c r="H214" s="2"/>
      <c r="I214" s="2"/>
      <c r="J214" s="2"/>
      <c r="K214" s="2"/>
      <c r="L214" s="2"/>
    </row>
    <row r="215" spans="1:12" ht="49.95" customHeight="1" x14ac:dyDescent="0.3">
      <c r="A215" s="3" t="s">
        <v>515</v>
      </c>
      <c r="B215" s="2" t="s">
        <v>516</v>
      </c>
      <c r="C215" s="2"/>
      <c r="D215" s="2" t="s">
        <v>41</v>
      </c>
      <c r="E215" s="2" t="str">
        <f>IF(ISERROR("RESP_CNT"),"","NA")</f>
        <v>NA</v>
      </c>
      <c r="F215" s="4" t="str">
        <f>IF(ISERROR("RESP_CNT"),"",HYPERLINK("#INDEX('Frequencies'!A:A,MATCH(A" &amp; ROW() &amp; ",'Frequencies'!A:A,0))","Frequencies"))</f>
        <v>Frequencies</v>
      </c>
      <c r="G215" s="2">
        <v>62</v>
      </c>
      <c r="H215" s="2"/>
      <c r="I215" s="2"/>
      <c r="J215" s="2"/>
      <c r="K215" s="2"/>
      <c r="L215" s="2"/>
    </row>
    <row r="216" spans="1:12" ht="49.95" customHeight="1" x14ac:dyDescent="0.3">
      <c r="A216" s="3" t="s">
        <v>517</v>
      </c>
      <c r="B216" s="2" t="s">
        <v>518</v>
      </c>
      <c r="C216" s="2"/>
      <c r="D216" s="2" t="s">
        <v>15</v>
      </c>
      <c r="E216" s="4" t="str">
        <f>IF(ISERROR("RETMODE"),"",HYPERLINK("#INDEX('Value Lookup'!A:A,MATCH(A" &amp; ROW() &amp; ",'Value Lookup'!A:A,0))","Value Lookup"))</f>
        <v>Value Lookup</v>
      </c>
      <c r="F216" s="4" t="str">
        <f>IF(ISERROR("RETMODE"),"",HYPERLINK("#INDEX('Frequencies'!A:A,MATCH(A" &amp; ROW() &amp; ",'Frequencies'!A:A,0))","Frequencies"))</f>
        <v>Frequencies</v>
      </c>
      <c r="G216" s="2">
        <v>10</v>
      </c>
      <c r="H216" s="2"/>
      <c r="I216" s="2"/>
      <c r="J216" s="2"/>
      <c r="K216" s="2"/>
      <c r="L216" s="2"/>
    </row>
    <row r="217" spans="1:12" ht="49.95" customHeight="1" x14ac:dyDescent="0.3">
      <c r="A217" s="3" t="s">
        <v>519</v>
      </c>
      <c r="B217" s="2" t="s">
        <v>520</v>
      </c>
      <c r="C217" s="2" t="s">
        <v>521</v>
      </c>
      <c r="D217" s="2" t="s">
        <v>15</v>
      </c>
      <c r="E217" s="4" t="str">
        <f>IF(ISERROR("R_HISP"),"",HYPERLINK("#INDEX('Value Lookup'!A:A,MATCH(A" &amp; ROW() &amp; ",'Value Lookup'!A:A,0))","Value Lookup"))</f>
        <v>Value Lookup</v>
      </c>
      <c r="F217" s="4" t="str">
        <f>IF(ISERROR("R_HISP"),"",HYPERLINK("#INDEX('Frequencies'!A:A,MATCH(A" &amp; ROW() &amp; ",'Frequencies'!A:A,0))","Frequencies"))</f>
        <v>Frequencies</v>
      </c>
      <c r="G217" s="2"/>
      <c r="H217" s="2">
        <v>8</v>
      </c>
      <c r="I217" s="2"/>
      <c r="J217" s="2"/>
      <c r="K217" s="2"/>
      <c r="L217" s="2"/>
    </row>
    <row r="218" spans="1:12" ht="49.95" customHeight="1" x14ac:dyDescent="0.3">
      <c r="A218" s="3" t="s">
        <v>522</v>
      </c>
      <c r="B218" s="2" t="s">
        <v>523</v>
      </c>
      <c r="C218" s="2"/>
      <c r="D218" s="2" t="s">
        <v>15</v>
      </c>
      <c r="E218" s="2" t="str">
        <f>IF(ISERROR("R_HISP_IMP"),"","NA")</f>
        <v>NA</v>
      </c>
      <c r="F218" s="4" t="str">
        <f>IF(ISERROR("R_HISP_IMP"),"",HYPERLINK("#INDEX('Frequencies'!A:A,MATCH(A" &amp; ROW() &amp; ",'Frequencies'!A:A,0))","Frequencies"))</f>
        <v>Frequencies</v>
      </c>
      <c r="G218" s="2"/>
      <c r="H218" s="2">
        <v>161</v>
      </c>
      <c r="I218" s="2"/>
      <c r="J218" s="2"/>
      <c r="K218" s="2"/>
      <c r="L218" s="2"/>
    </row>
    <row r="219" spans="1:12" ht="49.95" customHeight="1" x14ac:dyDescent="0.3">
      <c r="A219" s="3" t="s">
        <v>524</v>
      </c>
      <c r="B219" s="2" t="s">
        <v>525</v>
      </c>
      <c r="C219" s="2" t="s">
        <v>526</v>
      </c>
      <c r="D219" s="2" t="s">
        <v>41</v>
      </c>
      <c r="E219" s="2" t="str">
        <f>IF(ISERROR("RIDESHARE"),"","Range: 0 - 99")</f>
        <v>Range: 0 - 99</v>
      </c>
      <c r="F219" s="4" t="str">
        <f>IF(ISERROR("RIDESHARE"),"",HYPERLINK("#INDEX('Frequencies'!A:A,MATCH(A" &amp; ROW() &amp; ",'Frequencies'!A:A,0))","Frequencies"))</f>
        <v>Frequencies</v>
      </c>
      <c r="G219" s="2"/>
      <c r="H219" s="2">
        <v>49</v>
      </c>
      <c r="I219" s="2"/>
      <c r="J219" s="2"/>
      <c r="K219" s="2"/>
      <c r="L219" s="2"/>
    </row>
    <row r="220" spans="1:12" ht="49.95" customHeight="1" x14ac:dyDescent="0.3">
      <c r="A220" s="3" t="s">
        <v>527</v>
      </c>
      <c r="B220" s="2" t="s">
        <v>528</v>
      </c>
      <c r="C220" s="2"/>
      <c r="D220" s="2" t="s">
        <v>15</v>
      </c>
      <c r="E220" s="4" t="str">
        <f>IF(ISERROR("R_RACE"),"",HYPERLINK("#INDEX('Value Lookup'!A:A,MATCH(A" &amp; ROW() &amp; ",'Value Lookup'!A:A,0))","Value Lookup"))</f>
        <v>Value Lookup</v>
      </c>
      <c r="F220" s="4" t="str">
        <f>IF(ISERROR("R_RACE"),"",HYPERLINK("#INDEX('Frequencies'!A:A,MATCH(A" &amp; ROW() &amp; ",'Frequencies'!A:A,0))","Frequencies"))</f>
        <v>Frequencies</v>
      </c>
      <c r="G220" s="2"/>
      <c r="H220" s="2">
        <v>11</v>
      </c>
      <c r="I220" s="2"/>
      <c r="J220" s="2"/>
      <c r="K220" s="2"/>
      <c r="L220" s="2"/>
    </row>
    <row r="221" spans="1:12" ht="49.95" customHeight="1" x14ac:dyDescent="0.3">
      <c r="A221" s="3" t="s">
        <v>529</v>
      </c>
      <c r="B221" s="2" t="s">
        <v>530</v>
      </c>
      <c r="C221" s="2"/>
      <c r="D221" s="2" t="s">
        <v>15</v>
      </c>
      <c r="E221" s="2" t="str">
        <f>IF(ISERROR("R_RACE_IMP"),"","NA")</f>
        <v>NA</v>
      </c>
      <c r="F221" s="4" t="str">
        <f>IF(ISERROR("R_RACE_IMP"),"",HYPERLINK("#INDEX('Frequencies'!A:A,MATCH(A" &amp; ROW() &amp; ",'Frequencies'!A:A,0))","Frequencies"))</f>
        <v>Frequencies</v>
      </c>
      <c r="G221" s="2"/>
      <c r="H221" s="2">
        <v>162</v>
      </c>
      <c r="I221" s="2"/>
      <c r="J221" s="2"/>
      <c r="K221" s="2"/>
      <c r="L221" s="2"/>
    </row>
    <row r="222" spans="1:12" ht="49.95" customHeight="1" x14ac:dyDescent="0.3">
      <c r="A222" s="3" t="s">
        <v>531</v>
      </c>
      <c r="B222" s="2" t="s">
        <v>532</v>
      </c>
      <c r="C222" s="2" t="s">
        <v>533</v>
      </c>
      <c r="D222" s="2" t="s">
        <v>15</v>
      </c>
      <c r="E222" s="4" t="str">
        <f>IF(ISERROR("R_RELAT"),"",HYPERLINK("#INDEX('Value Lookup'!A:A,MATCH(A" &amp; ROW() &amp; ",'Value Lookup'!A:A,0))","Value Lookup"))</f>
        <v>Value Lookup</v>
      </c>
      <c r="F222" s="4" t="str">
        <f>IF(ISERROR("R_RELAT"),"",HYPERLINK("#INDEX('Frequencies'!A:A,MATCH(A" &amp; ROW() &amp; ",'Frequencies'!A:A,0))","Frequencies"))</f>
        <v>Frequencies</v>
      </c>
      <c r="G222" s="2"/>
      <c r="H222" s="2">
        <v>9</v>
      </c>
      <c r="I222" s="2"/>
      <c r="J222" s="2"/>
      <c r="K222" s="2"/>
      <c r="L222" s="2"/>
    </row>
    <row r="223" spans="1:12" ht="49.95" customHeight="1" x14ac:dyDescent="0.3">
      <c r="A223" s="3" t="s">
        <v>534</v>
      </c>
      <c r="B223" s="2" t="s">
        <v>518</v>
      </c>
      <c r="C223" s="2"/>
      <c r="D223" s="2" t="s">
        <v>15</v>
      </c>
      <c r="E223" s="4" t="str">
        <f>IF(ISERROR("R_RETMODE"),"",HYPERLINK("#INDEX('Value Lookup'!A:A,MATCH(A" &amp; ROW() &amp; ",'Value Lookup'!A:A,0))","Value Lookup"))</f>
        <v>Value Lookup</v>
      </c>
      <c r="F223" s="4" t="str">
        <f>IF(ISERROR("R_RETMODE"),"",HYPERLINK("#INDEX('Frequencies'!A:A,MATCH(A" &amp; ROW() &amp; ",'Frequencies'!A:A,0))","Frequencies"))</f>
        <v>Frequencies</v>
      </c>
      <c r="G223" s="2"/>
      <c r="H223" s="2">
        <v>158</v>
      </c>
      <c r="I223" s="2"/>
      <c r="J223" s="2"/>
      <c r="K223" s="2"/>
      <c r="L223" s="2"/>
    </row>
    <row r="224" spans="1:12" ht="49.95" customHeight="1" x14ac:dyDescent="0.3">
      <c r="A224" s="3" t="s">
        <v>535</v>
      </c>
      <c r="B224" s="2" t="s">
        <v>536</v>
      </c>
      <c r="C224" s="2" t="s">
        <v>537</v>
      </c>
      <c r="D224" s="2" t="s">
        <v>15</v>
      </c>
      <c r="E224" s="4" t="str">
        <f>IF(ISERROR("R_SEX"),"",HYPERLINK("#INDEX('Value Lookup'!A:A,MATCH(A" &amp; ROW() &amp; ",'Value Lookup'!A:A,0))","Value Lookup"))</f>
        <v>Value Lookup</v>
      </c>
      <c r="F224" s="4" t="str">
        <f>IF(ISERROR("R_SEX"),"",HYPERLINK("#INDEX('Frequencies'!A:A,MATCH(A" &amp; ROW() &amp; ",'Frequencies'!A:A,0))","Frequencies"))</f>
        <v>Frequencies</v>
      </c>
      <c r="G224" s="2"/>
      <c r="H224" s="2">
        <v>10</v>
      </c>
      <c r="I224" s="2"/>
      <c r="J224" s="2"/>
      <c r="K224" s="2"/>
      <c r="L224" s="2"/>
    </row>
    <row r="225" spans="1:12" ht="49.95" customHeight="1" x14ac:dyDescent="0.3">
      <c r="A225" s="3" t="s">
        <v>538</v>
      </c>
      <c r="B225" s="2" t="s">
        <v>539</v>
      </c>
      <c r="C225" s="2"/>
      <c r="D225" s="2" t="s">
        <v>15</v>
      </c>
      <c r="E225" s="2" t="str">
        <f>IF(ISERROR("R_SEX_IMP"),"","NA")</f>
        <v>NA</v>
      </c>
      <c r="F225" s="4" t="str">
        <f>IF(ISERROR("R_SEX_IMP"),"",HYPERLINK("#INDEX('Frequencies'!A:A,MATCH(A" &amp; ROW() &amp; ",'Frequencies'!A:A,0))","Frequencies"))</f>
        <v>Frequencies</v>
      </c>
      <c r="G225" s="2"/>
      <c r="H225" s="2">
        <v>160</v>
      </c>
      <c r="I225" s="2"/>
      <c r="J225" s="2"/>
      <c r="K225" s="2"/>
      <c r="L225" s="2"/>
    </row>
    <row r="226" spans="1:12" ht="49.95" customHeight="1" x14ac:dyDescent="0.3">
      <c r="A226" s="3" t="s">
        <v>540</v>
      </c>
      <c r="B226" s="2" t="s">
        <v>541</v>
      </c>
      <c r="C226" s="2" t="s">
        <v>542</v>
      </c>
      <c r="D226" s="2" t="s">
        <v>15</v>
      </c>
      <c r="E226" s="4" t="str">
        <f>IF(ISERROR("SAMEPLC"),"",HYPERLINK("#INDEX('Value Lookup'!A:A,MATCH(A" &amp; ROW() &amp; ",'Value Lookup'!A:A,0))","Value Lookup"))</f>
        <v>Value Lookup</v>
      </c>
      <c r="F226" s="4" t="str">
        <f>IF(ISERROR("SAMEPLC"),"",HYPERLINK("#INDEX('Frequencies'!A:A,MATCH(A" &amp; ROW() &amp; ",'Frequencies'!A:A,0))","Frequencies"))</f>
        <v>Frequencies</v>
      </c>
      <c r="G226" s="2"/>
      <c r="H226" s="2">
        <v>84</v>
      </c>
      <c r="I226" s="2"/>
      <c r="J226" s="2"/>
      <c r="K226" s="2"/>
      <c r="L226" s="2"/>
    </row>
    <row r="227" spans="1:12" ht="49.95" customHeight="1" x14ac:dyDescent="0.3">
      <c r="A227" s="3" t="s">
        <v>543</v>
      </c>
      <c r="B227" s="2" t="s">
        <v>544</v>
      </c>
      <c r="C227" s="2" t="s">
        <v>542</v>
      </c>
      <c r="D227" s="2" t="s">
        <v>15</v>
      </c>
      <c r="E227" s="4" t="str">
        <f>IF(ISERROR("SAMEPLC_O"),"",HYPERLINK("#INDEX('Value Lookup'!A:A,MATCH(A" &amp; ROW() &amp; ",'Value Lookup'!A:A,0))","Value Lookup"))</f>
        <v>Value Lookup</v>
      </c>
      <c r="F227" s="4" t="str">
        <f>IF(ISERROR("SAMEPLC_O"),"",HYPERLINK("#INDEX('Frequencies'!A:A,MATCH(A" &amp; ROW() &amp; ",'Frequencies'!A:A,0))","Frequencies"))</f>
        <v>Frequencies</v>
      </c>
      <c r="G227" s="2"/>
      <c r="H227" s="2">
        <v>85</v>
      </c>
      <c r="I227" s="2"/>
      <c r="J227" s="2"/>
      <c r="K227" s="2"/>
      <c r="L227" s="2"/>
    </row>
    <row r="228" spans="1:12" ht="49.95" customHeight="1" x14ac:dyDescent="0.3">
      <c r="A228" s="3" t="s">
        <v>545</v>
      </c>
      <c r="B228" s="2" t="s">
        <v>546</v>
      </c>
      <c r="C228" s="2"/>
      <c r="D228" s="2" t="s">
        <v>15</v>
      </c>
      <c r="E228" s="4" t="str">
        <f>IF(ISERROR("SAMPAREA"),"",HYPERLINK("#INDEX('Value Lookup'!A:A,MATCH(A" &amp; ROW() &amp; ",'Value Lookup'!A:A,0))","Value Lookup"))</f>
        <v>Value Lookup</v>
      </c>
      <c r="F228" s="4" t="str">
        <f>IF(ISERROR("SAMPAREA"),"",HYPERLINK("#INDEX('Frequencies'!A:A,MATCH(A" &amp; ROW() &amp; ",'Frequencies'!A:A,0))","Frequencies"))</f>
        <v>Frequencies</v>
      </c>
      <c r="G228" s="2">
        <v>7</v>
      </c>
      <c r="H228" s="2"/>
      <c r="I228" s="2"/>
      <c r="J228" s="2"/>
      <c r="K228" s="2"/>
      <c r="L228" s="2"/>
    </row>
    <row r="229" spans="1:12" ht="49.95" customHeight="1" x14ac:dyDescent="0.3">
      <c r="A229" s="3" t="s">
        <v>547</v>
      </c>
      <c r="B229" s="2" t="s">
        <v>548</v>
      </c>
      <c r="C229" s="2"/>
      <c r="D229" s="2" t="s">
        <v>15</v>
      </c>
      <c r="E229" s="4" t="str">
        <f>IF(ISERROR("SAMPSTRAT"),"",HYPERLINK("#INDEX('Value Lookup'!A:A,MATCH(A" &amp; ROW() &amp; ",'Value Lookup'!A:A,0))","Value Lookup"))</f>
        <v>Value Lookup</v>
      </c>
      <c r="F229" s="4" t="str">
        <f>IF(ISERROR("SAMPSTRAT"),"",HYPERLINK("#INDEX('Frequencies'!A:A,MATCH(A" &amp; ROW() &amp; ",'Frequencies'!A:A,0))","Frequencies"))</f>
        <v>Frequencies</v>
      </c>
      <c r="G229" s="2">
        <v>8</v>
      </c>
      <c r="H229" s="2"/>
      <c r="I229" s="2"/>
      <c r="J229" s="2"/>
      <c r="K229" s="2"/>
      <c r="L229" s="2"/>
    </row>
    <row r="230" spans="1:12" ht="49.95" customHeight="1" x14ac:dyDescent="0.3">
      <c r="A230" s="3" t="s">
        <v>549</v>
      </c>
      <c r="B230" s="2" t="s">
        <v>550</v>
      </c>
      <c r="C230" s="2" t="s">
        <v>551</v>
      </c>
      <c r="D230" s="2" t="s">
        <v>15</v>
      </c>
      <c r="E230" s="4" t="str">
        <f>IF(ISERROR("SCHTRN1"),"",HYPERLINK("#INDEX('Value Lookup'!A:A,MATCH(A" &amp; ROW() &amp; ",'Value Lookup'!A:A,0))","Value Lookup"))</f>
        <v>Value Lookup</v>
      </c>
      <c r="F230" s="4" t="str">
        <f>IF(ISERROR("SCHTRN1"),"",HYPERLINK("#INDEX('Frequencies'!A:A,MATCH(A" &amp; ROW() &amp; ",'Frequencies'!A:A,0))","Frequencies"))</f>
        <v>Frequencies</v>
      </c>
      <c r="G230" s="2"/>
      <c r="H230" s="2">
        <v>61</v>
      </c>
      <c r="I230" s="2"/>
      <c r="J230" s="2"/>
      <c r="K230" s="2"/>
      <c r="L230" s="2"/>
    </row>
    <row r="231" spans="1:12" ht="49.95" customHeight="1" x14ac:dyDescent="0.3">
      <c r="A231" s="3" t="s">
        <v>552</v>
      </c>
      <c r="B231" s="2" t="s">
        <v>553</v>
      </c>
      <c r="C231" s="2" t="s">
        <v>554</v>
      </c>
      <c r="D231" s="2" t="s">
        <v>15</v>
      </c>
      <c r="E231" s="4" t="str">
        <f>IF(ISERROR("SCHTRN1O"),"",HYPERLINK("#INDEX('Value Lookup'!A:A,MATCH(A" &amp; ROW() &amp; ",'Value Lookup'!A:A,0))","Value Lookup"))</f>
        <v>Value Lookup</v>
      </c>
      <c r="F231" s="4" t="str">
        <f>IF(ISERROR("SCHTRN1O"),"",HYPERLINK("#INDEX('Frequencies'!A:A,MATCH(A" &amp; ROW() &amp; ",'Frequencies'!A:A,0))","Frequencies"))</f>
        <v>Frequencies</v>
      </c>
      <c r="G231" s="2"/>
      <c r="H231" s="2">
        <v>62</v>
      </c>
      <c r="I231" s="2"/>
      <c r="J231" s="2"/>
      <c r="K231" s="2"/>
      <c r="L231" s="2"/>
    </row>
    <row r="232" spans="1:12" ht="49.95" customHeight="1" x14ac:dyDescent="0.3">
      <c r="A232" s="3" t="s">
        <v>555</v>
      </c>
      <c r="B232" s="2" t="s">
        <v>556</v>
      </c>
      <c r="C232" s="2" t="s">
        <v>557</v>
      </c>
      <c r="D232" s="2" t="s">
        <v>15</v>
      </c>
      <c r="E232" s="4" t="str">
        <f>IF(ISERROR("SCHTRN2"),"",HYPERLINK("#INDEX('Value Lookup'!A:A,MATCH(A" &amp; ROW() &amp; ",'Value Lookup'!A:A,0))","Value Lookup"))</f>
        <v>Value Lookup</v>
      </c>
      <c r="F232" s="4" t="str">
        <f>IF(ISERROR("SCHTRN2"),"",HYPERLINK("#INDEX('Frequencies'!A:A,MATCH(A" &amp; ROW() &amp; ",'Frequencies'!A:A,0))","Frequencies"))</f>
        <v>Frequencies</v>
      </c>
      <c r="G232" s="2"/>
      <c r="H232" s="2">
        <v>63</v>
      </c>
      <c r="I232" s="2"/>
      <c r="J232" s="2"/>
      <c r="K232" s="2"/>
      <c r="L232" s="2"/>
    </row>
    <row r="233" spans="1:12" ht="49.95" customHeight="1" x14ac:dyDescent="0.3">
      <c r="A233" s="3" t="s">
        <v>558</v>
      </c>
      <c r="B233" s="2" t="s">
        <v>559</v>
      </c>
      <c r="C233" s="2" t="s">
        <v>560</v>
      </c>
      <c r="D233" s="2" t="s">
        <v>15</v>
      </c>
      <c r="E233" s="4" t="str">
        <f>IF(ISERROR("SCHTRN2O"),"",HYPERLINK("#INDEX('Value Lookup'!A:A,MATCH(A" &amp; ROW() &amp; ",'Value Lookup'!A:A,0))","Value Lookup"))</f>
        <v>Value Lookup</v>
      </c>
      <c r="F233" s="4" t="str">
        <f>IF(ISERROR("SCHTRN2O"),"",HYPERLINK("#INDEX('Frequencies'!A:A,MATCH(A" &amp; ROW() &amp; ",'Frequencies'!A:A,0))","Frequencies"))</f>
        <v>Frequencies</v>
      </c>
      <c r="G233" s="2"/>
      <c r="H233" s="2">
        <v>64</v>
      </c>
      <c r="I233" s="2"/>
      <c r="J233" s="2"/>
      <c r="K233" s="2"/>
      <c r="L233" s="2"/>
    </row>
    <row r="234" spans="1:12" ht="49.95" customHeight="1" x14ac:dyDescent="0.3">
      <c r="A234" s="3" t="s">
        <v>561</v>
      </c>
      <c r="B234" s="2" t="s">
        <v>562</v>
      </c>
      <c r="C234" s="2" t="s">
        <v>563</v>
      </c>
      <c r="D234" s="2" t="s">
        <v>15</v>
      </c>
      <c r="E234" s="4" t="str">
        <f>IF(ISERROR("SCHTYP"),"",HYPERLINK("#INDEX('Value Lookup'!A:A,MATCH(A" &amp; ROW() &amp; ",'Value Lookup'!A:A,0))","Value Lookup"))</f>
        <v>Value Lookup</v>
      </c>
      <c r="F234" s="4" t="str">
        <f>IF(ISERROR("SCHTYP"),"",HYPERLINK("#INDEX('Frequencies'!A:A,MATCH(A" &amp; ROW() &amp; ",'Frequencies'!A:A,0))","Frequencies"))</f>
        <v>Frequencies</v>
      </c>
      <c r="G234" s="2"/>
      <c r="H234" s="2">
        <v>22</v>
      </c>
      <c r="I234" s="2"/>
      <c r="J234" s="2"/>
      <c r="K234" s="2"/>
      <c r="L234" s="2"/>
    </row>
    <row r="235" spans="1:12" ht="49.95" customHeight="1" x14ac:dyDescent="0.3">
      <c r="A235" s="3" t="s">
        <v>564</v>
      </c>
      <c r="B235" s="2" t="s">
        <v>565</v>
      </c>
      <c r="C235" s="2"/>
      <c r="D235" s="2" t="s">
        <v>15</v>
      </c>
      <c r="E235" s="4" t="str">
        <f>IF(ISERROR("SCRESP"),"",HYPERLINK("#INDEX('Value Lookup'!A:A,MATCH(A" &amp; ROW() &amp; ",'Value Lookup'!A:A,0))","Value Lookup"))</f>
        <v>Value Lookup</v>
      </c>
      <c r="F235" s="4" t="str">
        <f>IF(ISERROR("SCRESP"),"",HYPERLINK("#INDEX('Frequencies'!A:A,MATCH(A" &amp; ROW() &amp; ",'Frequencies'!A:A,0))","Frequencies"))</f>
        <v>Frequencies</v>
      </c>
      <c r="G235" s="2">
        <v>55</v>
      </c>
      <c r="H235" s="2"/>
      <c r="I235" s="2"/>
      <c r="J235" s="2"/>
      <c r="K235" s="2"/>
      <c r="L235" s="2"/>
    </row>
    <row r="236" spans="1:12" ht="49.95" customHeight="1" x14ac:dyDescent="0.3">
      <c r="A236" s="3" t="s">
        <v>566</v>
      </c>
      <c r="B236" s="2" t="s">
        <v>567</v>
      </c>
      <c r="C236" s="2" t="s">
        <v>568</v>
      </c>
      <c r="D236" s="2" t="s">
        <v>15</v>
      </c>
      <c r="E236" s="4" t="str">
        <f>IF(ISERROR("SPHONE"),"",HYPERLINK("#INDEX('Value Lookup'!A:A,MATCH(A" &amp; ROW() &amp; ",'Value Lookup'!A:A,0))","Value Lookup"))</f>
        <v>Value Lookup</v>
      </c>
      <c r="F236" s="4" t="str">
        <f>IF(ISERROR("SPHONE"),"",HYPERLINK("#INDEX('Frequencies'!A:A,MATCH(A" &amp; ROW() &amp; ",'Frequencies'!A:A,0))","Frequencies"))</f>
        <v>Frequencies</v>
      </c>
      <c r="G236" s="2">
        <v>18</v>
      </c>
      <c r="H236" s="2"/>
      <c r="I236" s="2"/>
      <c r="J236" s="2"/>
      <c r="K236" s="2"/>
      <c r="L236" s="2"/>
    </row>
    <row r="237" spans="1:12" ht="49.95" customHeight="1" x14ac:dyDescent="0.3">
      <c r="A237" s="3" t="s">
        <v>569</v>
      </c>
      <c r="B237" s="2" t="s">
        <v>570</v>
      </c>
      <c r="C237" s="2"/>
      <c r="D237" s="2" t="s">
        <v>15</v>
      </c>
      <c r="E237" s="4" t="str">
        <f>IF(ISERROR("SPONSCHG"),"",HYPERLINK("#INDEX('Value Lookup'!A:A,MATCH(A" &amp; ROW() &amp; ",'Value Lookup'!A:A,0))","Value Lookup"))</f>
        <v>Value Lookup</v>
      </c>
      <c r="F237" s="4" t="str">
        <f>IF(ISERROR("SPONSCHG"),"",HYPERLINK("#INDEX('Frequencies'!A:A,MATCH(A" &amp; ROW() &amp; ",'Frequencies'!A:A,0))","Frequencies"))</f>
        <v>Frequencies</v>
      </c>
      <c r="G237" s="2">
        <v>78</v>
      </c>
      <c r="H237" s="2"/>
      <c r="I237" s="2"/>
      <c r="J237" s="2"/>
      <c r="K237" s="2"/>
      <c r="L237" s="2"/>
    </row>
    <row r="238" spans="1:12" ht="49.95" customHeight="1" x14ac:dyDescent="0.3">
      <c r="A238" s="3" t="s">
        <v>571</v>
      </c>
      <c r="B238" s="2" t="s">
        <v>572</v>
      </c>
      <c r="C238" s="2"/>
      <c r="D238" s="2" t="s">
        <v>15</v>
      </c>
      <c r="E238" s="4" t="str">
        <f>IF(ISERROR("SPONSOR"),"",HYPERLINK("#INDEX('Value Lookup'!A:A,MATCH(A" &amp; ROW() &amp; ",'Value Lookup'!A:A,0))","Value Lookup"))</f>
        <v>Value Lookup</v>
      </c>
      <c r="F238" s="4" t="str">
        <f>IF(ISERROR("SPONSOR"),"",HYPERLINK("#INDEX('Frequencies'!A:A,MATCH(A" &amp; ROW() &amp; ",'Frequencies'!A:A,0))","Frequencies"))</f>
        <v>Frequencies</v>
      </c>
      <c r="G238" s="2">
        <v>80</v>
      </c>
      <c r="H238" s="2"/>
      <c r="I238" s="2"/>
      <c r="J238" s="2"/>
      <c r="K238" s="2"/>
      <c r="L238" s="2"/>
    </row>
    <row r="239" spans="1:12" ht="49.95" customHeight="1" x14ac:dyDescent="0.3">
      <c r="A239" s="3" t="s">
        <v>573</v>
      </c>
      <c r="B239" s="2" t="s">
        <v>574</v>
      </c>
      <c r="C239" s="2"/>
      <c r="D239" s="2" t="s">
        <v>15</v>
      </c>
      <c r="E239" s="4" t="str">
        <f>IF(ISERROR("STATE"),"",HYPERLINK("#INDEX('Value Lookup'!A:A,MATCH(A" &amp; ROW() &amp; ",'Value Lookup'!A:A,0))","Value Lookup"))</f>
        <v>Value Lookup</v>
      </c>
      <c r="F239" s="4" t="str">
        <f>IF(ISERROR("STATE"),"",HYPERLINK("#INDEX('Frequencies'!A:A,MATCH(A" &amp; ROW() &amp; ",'Frequencies'!A:A,0))","Frequencies"))</f>
        <v>Frequencies</v>
      </c>
      <c r="G239" s="2"/>
      <c r="H239" s="2"/>
      <c r="I239" s="2"/>
      <c r="J239" s="2"/>
      <c r="K239" s="2">
        <v>10</v>
      </c>
      <c r="L239" s="2"/>
    </row>
    <row r="240" spans="1:12" ht="49.95" customHeight="1" x14ac:dyDescent="0.3">
      <c r="A240" s="3" t="s">
        <v>575</v>
      </c>
      <c r="B240" s="2" t="s">
        <v>576</v>
      </c>
      <c r="C240" s="2"/>
      <c r="D240" s="2" t="s">
        <v>15</v>
      </c>
      <c r="E240" s="4" t="str">
        <f>IF(ISERROR("STATEFIPS"),"",HYPERLINK("#INDEX('Value Lookup'!A:A,MATCH(A" &amp; ROW() &amp; ",'Value Lookup'!A:A,0))","Value Lookup"))</f>
        <v>Value Lookup</v>
      </c>
      <c r="F240" s="4" t="str">
        <f>IF(ISERROR("STATEFIPS"),"",HYPERLINK("#INDEX('Frequencies'!A:A,MATCH(A" &amp; ROW() &amp; ",'Frequencies'!A:A,0))","Frequencies"))</f>
        <v>Frequencies</v>
      </c>
      <c r="G240" s="2"/>
      <c r="H240" s="2"/>
      <c r="I240" s="2"/>
      <c r="J240" s="2"/>
      <c r="K240" s="2">
        <v>15</v>
      </c>
      <c r="L240" s="2"/>
    </row>
    <row r="241" spans="1:12" ht="49.95" customHeight="1" x14ac:dyDescent="0.3">
      <c r="A241" s="3" t="s">
        <v>577</v>
      </c>
      <c r="B241" s="2" t="s">
        <v>578</v>
      </c>
      <c r="C241" s="2"/>
      <c r="D241" s="2" t="s">
        <v>15</v>
      </c>
      <c r="E241" s="2" t="str">
        <f>IF(ISERROR("STREETADDR"),"","NA")</f>
        <v>NA</v>
      </c>
      <c r="F241" s="4" t="str">
        <f>IF(ISERROR("STREETADDR"),"",HYPERLINK("#INDEX('Frequencies'!A:A,MATCH(A" &amp; ROW() &amp; ",'Frequencies'!A:A,0))","Frequencies"))</f>
        <v>Frequencies</v>
      </c>
      <c r="G241" s="2"/>
      <c r="H241" s="2"/>
      <c r="I241" s="2"/>
      <c r="J241" s="2"/>
      <c r="K241" s="2">
        <v>8</v>
      </c>
      <c r="L241" s="2"/>
    </row>
    <row r="242" spans="1:12" ht="49.95" customHeight="1" x14ac:dyDescent="0.3">
      <c r="A242" s="3" t="s">
        <v>579</v>
      </c>
      <c r="B242" s="2" t="s">
        <v>580</v>
      </c>
      <c r="C242" s="2" t="s">
        <v>581</v>
      </c>
      <c r="D242" s="2" t="s">
        <v>15</v>
      </c>
      <c r="E242" s="2" t="str">
        <f>IF(ISERROR("STRTAMPM"),"","NA")</f>
        <v>NA</v>
      </c>
      <c r="F242" s="4" t="str">
        <f>IF(ISERROR("STRTAMPM"),"",HYPERLINK("#INDEX('Frequencies'!A:A,MATCH(A" &amp; ROW() &amp; ",'Frequencies'!A:A,0))","Frequencies"))</f>
        <v>Frequencies</v>
      </c>
      <c r="G242" s="2"/>
      <c r="H242" s="2"/>
      <c r="I242" s="2"/>
      <c r="J242" s="2">
        <v>12</v>
      </c>
      <c r="K242" s="2"/>
      <c r="L242" s="2"/>
    </row>
    <row r="243" spans="1:12" ht="49.95" customHeight="1" x14ac:dyDescent="0.3">
      <c r="A243" s="3" t="s">
        <v>582</v>
      </c>
      <c r="B243" s="2" t="s">
        <v>583</v>
      </c>
      <c r="C243" s="2" t="s">
        <v>581</v>
      </c>
      <c r="D243" s="2" t="s">
        <v>15</v>
      </c>
      <c r="E243" s="2" t="str">
        <f>IF(ISERROR("STRTHR"),"","NA")</f>
        <v>NA</v>
      </c>
      <c r="F243" s="4" t="str">
        <f>IF(ISERROR("STRTHR"),"",HYPERLINK("#INDEX('Frequencies'!A:A,MATCH(A" &amp; ROW() &amp; ",'Frequencies'!A:A,0))","Frequencies"))</f>
        <v>Frequencies</v>
      </c>
      <c r="G243" s="2"/>
      <c r="H243" s="2"/>
      <c r="I243" s="2"/>
      <c r="J243" s="2">
        <v>10</v>
      </c>
      <c r="K243" s="2"/>
      <c r="L243" s="2"/>
    </row>
    <row r="244" spans="1:12" ht="49.95" customHeight="1" x14ac:dyDescent="0.3">
      <c r="A244" s="3" t="s">
        <v>584</v>
      </c>
      <c r="B244" s="2" t="s">
        <v>585</v>
      </c>
      <c r="C244" s="2" t="s">
        <v>581</v>
      </c>
      <c r="D244" s="2" t="s">
        <v>15</v>
      </c>
      <c r="E244" s="2" t="str">
        <f>IF(ISERROR("STRTMIN"),"","NA")</f>
        <v>NA</v>
      </c>
      <c r="F244" s="4" t="str">
        <f>IF(ISERROR("STRTMIN"),"",HYPERLINK("#INDEX('Frequencies'!A:A,MATCH(A" &amp; ROW() &amp; ",'Frequencies'!A:A,0))","Frequencies"))</f>
        <v>Frequencies</v>
      </c>
      <c r="G244" s="2"/>
      <c r="H244" s="2"/>
      <c r="I244" s="2"/>
      <c r="J244" s="2">
        <v>11</v>
      </c>
      <c r="K244" s="2"/>
      <c r="L244" s="2"/>
    </row>
    <row r="245" spans="1:12" ht="49.95" customHeight="1" x14ac:dyDescent="0.3">
      <c r="A245" s="3" t="s">
        <v>586</v>
      </c>
      <c r="B245" s="2" t="s">
        <v>587</v>
      </c>
      <c r="C245" s="2" t="s">
        <v>581</v>
      </c>
      <c r="D245" s="2" t="s">
        <v>15</v>
      </c>
      <c r="E245" s="2" t="str">
        <f>IF(ISERROR("STRTTIME"),"","NA")</f>
        <v>NA</v>
      </c>
      <c r="F245" s="4" t="str">
        <f>IF(ISERROR("STRTTIME"),"",HYPERLINK("#INDEX('Frequencies'!A:A,MATCH(A" &amp; ROW() &amp; ",'Frequencies'!A:A,0))","Frequencies"))</f>
        <v>Frequencies</v>
      </c>
      <c r="G245" s="2"/>
      <c r="H245" s="2"/>
      <c r="I245" s="2"/>
      <c r="J245" s="2">
        <v>6</v>
      </c>
      <c r="K245" s="2"/>
      <c r="L245" s="2"/>
    </row>
    <row r="246" spans="1:12" ht="49.95" customHeight="1" x14ac:dyDescent="0.3">
      <c r="A246" s="3" t="s">
        <v>588</v>
      </c>
      <c r="B246" s="2" t="s">
        <v>589</v>
      </c>
      <c r="C246" s="2" t="s">
        <v>581</v>
      </c>
      <c r="D246" s="2" t="s">
        <v>15</v>
      </c>
      <c r="E246" s="2" t="str">
        <f>IF(ISERROR("STRTTIME17"),"","NA")</f>
        <v>NA</v>
      </c>
      <c r="F246" s="4" t="str">
        <f>IF(ISERROR("STRTTIME17"),"",HYPERLINK("#INDEX('Frequencies'!A:A,MATCH(A" &amp; ROW() &amp; ",'Frequencies'!A:A,0))","Frequencies"))</f>
        <v>Frequencies</v>
      </c>
      <c r="G246" s="2"/>
      <c r="H246" s="2"/>
      <c r="I246" s="2"/>
      <c r="J246" s="2">
        <v>8</v>
      </c>
      <c r="K246" s="2"/>
      <c r="L246" s="2"/>
    </row>
    <row r="247" spans="1:12" ht="49.95" customHeight="1" x14ac:dyDescent="0.3">
      <c r="A247" s="3" t="s">
        <v>590</v>
      </c>
      <c r="B247" s="2" t="s">
        <v>591</v>
      </c>
      <c r="C247" s="2" t="s">
        <v>592</v>
      </c>
      <c r="D247" s="2" t="s">
        <v>15</v>
      </c>
      <c r="E247" s="4" t="str">
        <f>IF(ISERROR("TAB"),"",HYPERLINK("#INDEX('Value Lookup'!A:A,MATCH(A" &amp; ROW() &amp; ",'Value Lookup'!A:A,0))","Value Lookup"))</f>
        <v>Value Lookup</v>
      </c>
      <c r="F247" s="4" t="str">
        <f>IF(ISERROR("TAB"),"",HYPERLINK("#INDEX('Frequencies'!A:A,MATCH(A" &amp; ROW() &amp; ",'Frequencies'!A:A,0))","Frequencies"))</f>
        <v>Frequencies</v>
      </c>
      <c r="G247" s="2">
        <v>19</v>
      </c>
      <c r="H247" s="2"/>
      <c r="I247" s="2"/>
      <c r="J247" s="2"/>
      <c r="K247" s="2"/>
      <c r="L247" s="2"/>
    </row>
    <row r="248" spans="1:12" ht="49.95" customHeight="1" x14ac:dyDescent="0.3">
      <c r="A248" s="3" t="s">
        <v>593</v>
      </c>
      <c r="B248" s="2" t="s">
        <v>594</v>
      </c>
      <c r="C248" s="2" t="s">
        <v>595</v>
      </c>
      <c r="D248" s="2" t="s">
        <v>15</v>
      </c>
      <c r="E248" s="4" t="str">
        <f>IF(ISERROR("TAXI"),"",HYPERLINK("#INDEX('Value Lookup'!A:A,MATCH(A" &amp; ROW() &amp; ",'Value Lookup'!A:A,0))","Value Lookup"))</f>
        <v>Value Lookup</v>
      </c>
      <c r="F248" s="4" t="str">
        <f>IF(ISERROR("TAXI"),"",HYPERLINK("#INDEX('Frequencies'!A:A,MATCH(A" &amp; ROW() &amp; ",'Frequencies'!A:A,0))","Frequencies"))</f>
        <v>Frequencies</v>
      </c>
      <c r="G248" s="2">
        <v>25</v>
      </c>
      <c r="H248" s="2"/>
      <c r="I248" s="2"/>
      <c r="J248" s="2"/>
      <c r="K248" s="2"/>
      <c r="L248" s="2"/>
    </row>
    <row r="249" spans="1:12" ht="49.95" customHeight="1" x14ac:dyDescent="0.3">
      <c r="A249" s="3" t="s">
        <v>596</v>
      </c>
      <c r="B249" s="2" t="s">
        <v>597</v>
      </c>
      <c r="C249" s="2"/>
      <c r="D249" s="2" t="s">
        <v>15</v>
      </c>
      <c r="E249" s="2" t="str">
        <f>IF(ISERROR("TDAYDAT2"),"","NA")</f>
        <v>NA</v>
      </c>
      <c r="F249" s="4" t="str">
        <f>IF(ISERROR("TDAYDAT2"),"",HYPERLINK("#INDEX('Frequencies'!A:A,MATCH(A" &amp; ROW() &amp; ",'Frequencies'!A:A,0))","Frequencies"))</f>
        <v>Frequencies</v>
      </c>
      <c r="G249" s="2">
        <v>2</v>
      </c>
      <c r="H249" s="2"/>
      <c r="I249" s="2"/>
      <c r="J249" s="2"/>
      <c r="K249" s="2"/>
      <c r="L249" s="2"/>
    </row>
    <row r="250" spans="1:12" ht="49.95" customHeight="1" x14ac:dyDescent="0.3">
      <c r="A250" s="3" t="s">
        <v>598</v>
      </c>
      <c r="B250" s="2" t="s">
        <v>599</v>
      </c>
      <c r="C250" s="2"/>
      <c r="D250" s="2" t="s">
        <v>15</v>
      </c>
      <c r="E250" s="2" t="str">
        <f>IF(ISERROR("TDAYDATE"),"","NA")</f>
        <v>NA</v>
      </c>
      <c r="F250" s="4" t="str">
        <f>IF(ISERROR("TDAYDATE"),"",HYPERLINK("#INDEX('Frequencies'!A:A,MATCH(A" &amp; ROW() &amp; ",'Frequencies'!A:A,0))","Frequencies"))</f>
        <v>Frequencies</v>
      </c>
      <c r="G250" s="2">
        <v>44</v>
      </c>
      <c r="H250" s="2"/>
      <c r="I250" s="2"/>
      <c r="J250" s="2"/>
      <c r="K250" s="2"/>
      <c r="L250" s="2"/>
    </row>
    <row r="251" spans="1:12" ht="49.95" customHeight="1" x14ac:dyDescent="0.3">
      <c r="A251" s="3" t="s">
        <v>600</v>
      </c>
      <c r="B251" s="2" t="s">
        <v>601</v>
      </c>
      <c r="C251" s="2"/>
      <c r="D251" s="2" t="s">
        <v>15</v>
      </c>
      <c r="E251" s="2" t="str">
        <f>IF(ISERROR("TDCASEID"),"","NA")</f>
        <v>NA</v>
      </c>
      <c r="F251" s="4" t="str">
        <f>IF(ISERROR("TDCASEID"),"",HYPERLINK("#INDEX('Frequencies'!A:A,MATCH(A" &amp; ROW() &amp; ",'Frequencies'!A:A,0))","Frequencies"))</f>
        <v>Frequencies</v>
      </c>
      <c r="G251" s="2"/>
      <c r="H251" s="2"/>
      <c r="I251" s="2"/>
      <c r="J251" s="2">
        <v>117</v>
      </c>
      <c r="K251" s="2"/>
      <c r="L251" s="2"/>
    </row>
    <row r="252" spans="1:12" ht="49.95" customHeight="1" x14ac:dyDescent="0.3">
      <c r="A252" s="3" t="s">
        <v>602</v>
      </c>
      <c r="B252" s="2" t="s">
        <v>603</v>
      </c>
      <c r="C252" s="2"/>
      <c r="D252" s="2" t="s">
        <v>15</v>
      </c>
      <c r="E252" s="4" t="str">
        <f>IF(ISERROR("TDDRIVER"),"",HYPERLINK("#INDEX('Value Lookup'!A:A,MATCH(A" &amp; ROW() &amp; ",'Value Lookup'!A:A,0))","Value Lookup"))</f>
        <v>Value Lookup</v>
      </c>
      <c r="F252" s="4" t="str">
        <f>IF(ISERROR("TDDRIVER"),"",HYPERLINK("#INDEX('Frequencies'!A:A,MATCH(A" &amp; ROW() &amp; ",'Frequencies'!A:A,0))","Frequencies"))</f>
        <v>Frequencies</v>
      </c>
      <c r="G252" s="2"/>
      <c r="H252" s="2">
        <v>154</v>
      </c>
      <c r="I252" s="2"/>
      <c r="J252" s="2"/>
      <c r="K252" s="2"/>
      <c r="L252" s="2"/>
    </row>
    <row r="253" spans="1:12" ht="49.95" customHeight="1" x14ac:dyDescent="0.3">
      <c r="A253" s="3" t="s">
        <v>604</v>
      </c>
      <c r="B253" s="2" t="s">
        <v>605</v>
      </c>
      <c r="C253" s="2"/>
      <c r="D253" s="2" t="s">
        <v>15</v>
      </c>
      <c r="E253" s="2" t="str">
        <f>IF(ISERROR("TDTRPNUM"),"","NA")</f>
        <v>NA</v>
      </c>
      <c r="F253" s="4" t="str">
        <f>IF(ISERROR("TDTRPNUM"),"",HYPERLINK("#INDEX('Frequencies'!A:A,MATCH(A" &amp; ROW() &amp; ",'Frequencies'!A:A,0))","Frequencies"))</f>
        <v>Frequencies</v>
      </c>
      <c r="G253" s="2"/>
      <c r="H253" s="2"/>
      <c r="I253" s="2"/>
      <c r="J253" s="2">
        <v>3</v>
      </c>
      <c r="K253" s="2"/>
      <c r="L253" s="2"/>
    </row>
    <row r="254" spans="1:12" ht="49.95" customHeight="1" x14ac:dyDescent="0.3">
      <c r="A254" s="3" t="s">
        <v>606</v>
      </c>
      <c r="B254" s="2" t="s">
        <v>607</v>
      </c>
      <c r="C254" s="2"/>
      <c r="D254" s="2" t="s">
        <v>15</v>
      </c>
      <c r="E254" s="4" t="str">
        <f>IF(ISERROR("TDWKND"),"",HYPERLINK("#INDEX('Value Lookup'!A:A,MATCH(A" &amp; ROW() &amp; ",'Value Lookup'!A:A,0))","Value Lookup"))</f>
        <v>Value Lookup</v>
      </c>
      <c r="F254" s="4" t="str">
        <f>IF(ISERROR("TDWKND"),"",HYPERLINK("#INDEX('Frequencies'!A:A,MATCH(A" &amp; ROW() &amp; ",'Frequencies'!A:A,0))","Frequencies"))</f>
        <v>Frequencies</v>
      </c>
      <c r="G254" s="2"/>
      <c r="H254" s="2"/>
      <c r="I254" s="2"/>
      <c r="J254" s="2">
        <v>48</v>
      </c>
      <c r="K254" s="2"/>
      <c r="L254" s="2"/>
    </row>
    <row r="255" spans="1:12" ht="49.95" customHeight="1" x14ac:dyDescent="0.3">
      <c r="A255" s="3" t="s">
        <v>608</v>
      </c>
      <c r="B255" s="2" t="s">
        <v>609</v>
      </c>
      <c r="C255" s="2" t="s">
        <v>610</v>
      </c>
      <c r="D255" s="2" t="s">
        <v>41</v>
      </c>
      <c r="E255" s="2" t="str">
        <f>IF(ISERROR("TIMETOWK"),"","Range: 0 - 600")</f>
        <v>Range: 0 - 600</v>
      </c>
      <c r="F255" s="4" t="str">
        <f>IF(ISERROR("TIMETOWK"),"",HYPERLINK("#INDEX('Frequencies'!A:A,MATCH(A" &amp; ROW() &amp; ",'Frequencies'!A:A,0))","Frequencies"))</f>
        <v>Frequencies</v>
      </c>
      <c r="G255" s="2"/>
      <c r="H255" s="2">
        <v>51</v>
      </c>
      <c r="I255" s="2"/>
      <c r="J255" s="2"/>
      <c r="K255" s="2"/>
      <c r="L255" s="2"/>
    </row>
    <row r="256" spans="1:12" ht="49.95" customHeight="1" x14ac:dyDescent="0.3">
      <c r="A256" s="3" t="s">
        <v>611</v>
      </c>
      <c r="B256" s="2" t="s">
        <v>612</v>
      </c>
      <c r="C256" s="2"/>
      <c r="D256" s="2" t="s">
        <v>15</v>
      </c>
      <c r="E256" s="2" t="str">
        <f>IF(ISERROR("TIMEZONE"),"","NA")</f>
        <v>NA</v>
      </c>
      <c r="F256" s="4" t="str">
        <f>IF(ISERROR("TIMEZONE"),"",HYPERLINK("#INDEX('Frequencies'!A:A,MATCH(A" &amp; ROW() &amp; ",'Frequencies'!A:A,0))","Frequencies"))</f>
        <v>Frequencies</v>
      </c>
      <c r="G256" s="2">
        <v>5</v>
      </c>
      <c r="H256" s="2"/>
      <c r="I256" s="2"/>
      <c r="J256" s="2"/>
      <c r="K256" s="2"/>
      <c r="L256" s="2"/>
    </row>
    <row r="257" spans="1:12" ht="49.95" customHeight="1" x14ac:dyDescent="0.3">
      <c r="A257" s="3" t="s">
        <v>613</v>
      </c>
      <c r="B257" s="2" t="s">
        <v>614</v>
      </c>
      <c r="C257" s="2" t="s">
        <v>615</v>
      </c>
      <c r="D257" s="2" t="s">
        <v>15</v>
      </c>
      <c r="E257" s="4" t="str">
        <f>IF(ISERROR("TRACC1"),"",HYPERLINK("#INDEX('Value Lookup'!A:A,MATCH(A" &amp; ROW() &amp; ",'Value Lookup'!A:A,0))","Value Lookup"))</f>
        <v>Value Lookup</v>
      </c>
      <c r="F257" s="4" t="str">
        <f>IF(ISERROR("TRACC1"),"",HYPERLINK("#INDEX('Frequencies'!A:A,MATCH(A" &amp; ROW() &amp; ",'Frequencies'!A:A,0))","Frequencies"))</f>
        <v>Frequencies</v>
      </c>
      <c r="G257" s="2"/>
      <c r="H257" s="2"/>
      <c r="I257" s="2"/>
      <c r="J257" s="2">
        <v>54</v>
      </c>
      <c r="K257" s="2"/>
      <c r="L257" s="2"/>
    </row>
    <row r="258" spans="1:12" ht="49.95" customHeight="1" x14ac:dyDescent="0.3">
      <c r="A258" s="3" t="s">
        <v>616</v>
      </c>
      <c r="B258" s="2" t="s">
        <v>617</v>
      </c>
      <c r="C258" s="2" t="s">
        <v>615</v>
      </c>
      <c r="D258" s="2" t="s">
        <v>15</v>
      </c>
      <c r="E258" s="4" t="str">
        <f>IF(ISERROR("TRACC10"),"",HYPERLINK("#INDEX('Value Lookup'!A:A,MATCH(A" &amp; ROW() &amp; ",'Value Lookup'!A:A,0))","Value Lookup"))</f>
        <v>Value Lookup</v>
      </c>
      <c r="F258" s="4" t="str">
        <f>IF(ISERROR("TRACC10"),"",HYPERLINK("#INDEX('Frequencies'!A:A,MATCH(A" &amp; ROW() &amp; ",'Frequencies'!A:A,0))","Frequencies"))</f>
        <v>Frequencies</v>
      </c>
      <c r="G258" s="2"/>
      <c r="H258" s="2"/>
      <c r="I258" s="2"/>
      <c r="J258" s="2">
        <v>63</v>
      </c>
      <c r="K258" s="2"/>
      <c r="L258" s="2"/>
    </row>
    <row r="259" spans="1:12" ht="49.95" customHeight="1" x14ac:dyDescent="0.3">
      <c r="A259" s="3" t="s">
        <v>618</v>
      </c>
      <c r="B259" s="2" t="s">
        <v>619</v>
      </c>
      <c r="C259" s="2" t="s">
        <v>615</v>
      </c>
      <c r="D259" s="2" t="s">
        <v>15</v>
      </c>
      <c r="E259" s="4" t="str">
        <f>IF(ISERROR("TRACC11"),"",HYPERLINK("#INDEX('Value Lookup'!A:A,MATCH(A" &amp; ROW() &amp; ",'Value Lookup'!A:A,0))","Value Lookup"))</f>
        <v>Value Lookup</v>
      </c>
      <c r="F259" s="4" t="str">
        <f>IF(ISERROR("TRACC11"),"",HYPERLINK("#INDEX('Frequencies'!A:A,MATCH(A" &amp; ROW() &amp; ",'Frequencies'!A:A,0))","Frequencies"))</f>
        <v>Frequencies</v>
      </c>
      <c r="G259" s="2"/>
      <c r="H259" s="2"/>
      <c r="I259" s="2"/>
      <c r="J259" s="2">
        <v>64</v>
      </c>
      <c r="K259" s="2"/>
      <c r="L259" s="2"/>
    </row>
    <row r="260" spans="1:12" ht="49.95" customHeight="1" x14ac:dyDescent="0.3">
      <c r="A260" s="3" t="s">
        <v>620</v>
      </c>
      <c r="B260" s="2" t="s">
        <v>621</v>
      </c>
      <c r="C260" s="2" t="s">
        <v>615</v>
      </c>
      <c r="D260" s="2" t="s">
        <v>15</v>
      </c>
      <c r="E260" s="4" t="str">
        <f>IF(ISERROR("TRACC12"),"",HYPERLINK("#INDEX('Value Lookup'!A:A,MATCH(A" &amp; ROW() &amp; ",'Value Lookup'!A:A,0))","Value Lookup"))</f>
        <v>Value Lookup</v>
      </c>
      <c r="F260" s="4" t="str">
        <f>IF(ISERROR("TRACC12"),"",HYPERLINK("#INDEX('Frequencies'!A:A,MATCH(A" &amp; ROW() &amp; ",'Frequencies'!A:A,0))","Frequencies"))</f>
        <v>Frequencies</v>
      </c>
      <c r="G260" s="2"/>
      <c r="H260" s="2"/>
      <c r="I260" s="2"/>
      <c r="J260" s="2">
        <v>65</v>
      </c>
      <c r="K260" s="2"/>
      <c r="L260" s="2"/>
    </row>
    <row r="261" spans="1:12" ht="49.95" customHeight="1" x14ac:dyDescent="0.3">
      <c r="A261" s="3" t="s">
        <v>622</v>
      </c>
      <c r="B261" s="2" t="s">
        <v>623</v>
      </c>
      <c r="C261" s="2" t="s">
        <v>615</v>
      </c>
      <c r="D261" s="2" t="s">
        <v>15</v>
      </c>
      <c r="E261" s="4" t="str">
        <f>IF(ISERROR("TRACC13"),"",HYPERLINK("#INDEX('Value Lookup'!A:A,MATCH(A" &amp; ROW() &amp; ",'Value Lookup'!A:A,0))","Value Lookup"))</f>
        <v>Value Lookup</v>
      </c>
      <c r="F261" s="4" t="str">
        <f>IF(ISERROR("TRACC13"),"",HYPERLINK("#INDEX('Frequencies'!A:A,MATCH(A" &amp; ROW() &amp; ",'Frequencies'!A:A,0))","Frequencies"))</f>
        <v>Frequencies</v>
      </c>
      <c r="G261" s="2"/>
      <c r="H261" s="2"/>
      <c r="I261" s="2"/>
      <c r="J261" s="2">
        <v>66</v>
      </c>
      <c r="K261" s="2"/>
      <c r="L261" s="2"/>
    </row>
    <row r="262" spans="1:12" ht="49.95" customHeight="1" x14ac:dyDescent="0.3">
      <c r="A262" s="3" t="s">
        <v>624</v>
      </c>
      <c r="B262" s="2" t="s">
        <v>625</v>
      </c>
      <c r="C262" s="2" t="s">
        <v>615</v>
      </c>
      <c r="D262" s="2" t="s">
        <v>15</v>
      </c>
      <c r="E262" s="4" t="str">
        <f>IF(ISERROR("TRACC14"),"",HYPERLINK("#INDEX('Value Lookup'!A:A,MATCH(A" &amp; ROW() &amp; ",'Value Lookup'!A:A,0))","Value Lookup"))</f>
        <v>Value Lookup</v>
      </c>
      <c r="F262" s="4" t="str">
        <f>IF(ISERROR("TRACC14"),"",HYPERLINK("#INDEX('Frequencies'!A:A,MATCH(A" &amp; ROW() &amp; ",'Frequencies'!A:A,0))","Frequencies"))</f>
        <v>Frequencies</v>
      </c>
      <c r="G262" s="2"/>
      <c r="H262" s="2"/>
      <c r="I262" s="2"/>
      <c r="J262" s="2">
        <v>67</v>
      </c>
      <c r="K262" s="2"/>
      <c r="L262" s="2"/>
    </row>
    <row r="263" spans="1:12" ht="49.95" customHeight="1" x14ac:dyDescent="0.3">
      <c r="A263" s="3" t="s">
        <v>626</v>
      </c>
      <c r="B263" s="2" t="s">
        <v>627</v>
      </c>
      <c r="C263" s="2" t="s">
        <v>615</v>
      </c>
      <c r="D263" s="2" t="s">
        <v>15</v>
      </c>
      <c r="E263" s="4" t="str">
        <f>IF(ISERROR("TRACC15"),"",HYPERLINK("#INDEX('Value Lookup'!A:A,MATCH(A" &amp; ROW() &amp; ",'Value Lookup'!A:A,0))","Value Lookup"))</f>
        <v>Value Lookup</v>
      </c>
      <c r="F263" s="4" t="str">
        <f>IF(ISERROR("TRACC15"),"",HYPERLINK("#INDEX('Frequencies'!A:A,MATCH(A" &amp; ROW() &amp; ",'Frequencies'!A:A,0))","Frequencies"))</f>
        <v>Frequencies</v>
      </c>
      <c r="G263" s="2"/>
      <c r="H263" s="2"/>
      <c r="I263" s="2"/>
      <c r="J263" s="2">
        <v>68</v>
      </c>
      <c r="K263" s="2"/>
      <c r="L263" s="2"/>
    </row>
    <row r="264" spans="1:12" ht="49.95" customHeight="1" x14ac:dyDescent="0.3">
      <c r="A264" s="3" t="s">
        <v>628</v>
      </c>
      <c r="B264" s="2" t="s">
        <v>629</v>
      </c>
      <c r="C264" s="2" t="s">
        <v>615</v>
      </c>
      <c r="D264" s="2" t="s">
        <v>15</v>
      </c>
      <c r="E264" s="4" t="str">
        <f>IF(ISERROR("TRACC16"),"",HYPERLINK("#INDEX('Value Lookup'!A:A,MATCH(A" &amp; ROW() &amp; ",'Value Lookup'!A:A,0))","Value Lookup"))</f>
        <v>Value Lookup</v>
      </c>
      <c r="F264" s="4" t="str">
        <f>IF(ISERROR("TRACC16"),"",HYPERLINK("#INDEX('Frequencies'!A:A,MATCH(A" &amp; ROW() &amp; ",'Frequencies'!A:A,0))","Frequencies"))</f>
        <v>Frequencies</v>
      </c>
      <c r="G264" s="2"/>
      <c r="H264" s="2"/>
      <c r="I264" s="2"/>
      <c r="J264" s="2">
        <v>69</v>
      </c>
      <c r="K264" s="2"/>
      <c r="L264" s="2"/>
    </row>
    <row r="265" spans="1:12" ht="49.95" customHeight="1" x14ac:dyDescent="0.3">
      <c r="A265" s="3" t="s">
        <v>630</v>
      </c>
      <c r="B265" s="2" t="s">
        <v>631</v>
      </c>
      <c r="C265" s="2" t="s">
        <v>615</v>
      </c>
      <c r="D265" s="2" t="s">
        <v>15</v>
      </c>
      <c r="E265" s="4" t="str">
        <f>IF(ISERROR("TRACC17"),"",HYPERLINK("#INDEX('Value Lookup'!A:A,MATCH(A" &amp; ROW() &amp; ",'Value Lookup'!A:A,0))","Value Lookup"))</f>
        <v>Value Lookup</v>
      </c>
      <c r="F265" s="4" t="str">
        <f>IF(ISERROR("TRACC17"),"",HYPERLINK("#INDEX('Frequencies'!A:A,MATCH(A" &amp; ROW() &amp; ",'Frequencies'!A:A,0))","Frequencies"))</f>
        <v>Frequencies</v>
      </c>
      <c r="G265" s="2"/>
      <c r="H265" s="2"/>
      <c r="I265" s="2"/>
      <c r="J265" s="2">
        <v>70</v>
      </c>
      <c r="K265" s="2"/>
      <c r="L265" s="2"/>
    </row>
    <row r="266" spans="1:12" ht="49.95" customHeight="1" x14ac:dyDescent="0.3">
      <c r="A266" s="3" t="s">
        <v>632</v>
      </c>
      <c r="B266" s="2" t="s">
        <v>633</v>
      </c>
      <c r="C266" s="2" t="s">
        <v>615</v>
      </c>
      <c r="D266" s="2" t="s">
        <v>15</v>
      </c>
      <c r="E266" s="4" t="str">
        <f>IF(ISERROR("TRACC18"),"",HYPERLINK("#INDEX('Value Lookup'!A:A,MATCH(A" &amp; ROW() &amp; ",'Value Lookup'!A:A,0))","Value Lookup"))</f>
        <v>Value Lookup</v>
      </c>
      <c r="F266" s="4" t="str">
        <f>IF(ISERROR("TRACC18"),"",HYPERLINK("#INDEX('Frequencies'!A:A,MATCH(A" &amp; ROW() &amp; ",'Frequencies'!A:A,0))","Frequencies"))</f>
        <v>Frequencies</v>
      </c>
      <c r="G266" s="2"/>
      <c r="H266" s="2"/>
      <c r="I266" s="2"/>
      <c r="J266" s="2">
        <v>71</v>
      </c>
      <c r="K266" s="2"/>
      <c r="L266" s="2"/>
    </row>
    <row r="267" spans="1:12" ht="49.95" customHeight="1" x14ac:dyDescent="0.3">
      <c r="A267" s="3" t="s">
        <v>634</v>
      </c>
      <c r="B267" s="2" t="s">
        <v>635</v>
      </c>
      <c r="C267" s="2" t="s">
        <v>615</v>
      </c>
      <c r="D267" s="2" t="s">
        <v>15</v>
      </c>
      <c r="E267" s="4" t="str">
        <f>IF(ISERROR("TRACC19"),"",HYPERLINK("#INDEX('Value Lookup'!A:A,MATCH(A" &amp; ROW() &amp; ",'Value Lookup'!A:A,0))","Value Lookup"))</f>
        <v>Value Lookup</v>
      </c>
      <c r="F267" s="4" t="str">
        <f>IF(ISERROR("TRACC19"),"",HYPERLINK("#INDEX('Frequencies'!A:A,MATCH(A" &amp; ROW() &amp; ",'Frequencies'!A:A,0))","Frequencies"))</f>
        <v>Frequencies</v>
      </c>
      <c r="G267" s="2"/>
      <c r="H267" s="2"/>
      <c r="I267" s="2"/>
      <c r="J267" s="2">
        <v>72</v>
      </c>
      <c r="K267" s="2"/>
      <c r="L267" s="2"/>
    </row>
    <row r="268" spans="1:12" ht="49.95" customHeight="1" x14ac:dyDescent="0.3">
      <c r="A268" s="3" t="s">
        <v>636</v>
      </c>
      <c r="B268" s="2" t="s">
        <v>637</v>
      </c>
      <c r="C268" s="2" t="s">
        <v>615</v>
      </c>
      <c r="D268" s="2" t="s">
        <v>15</v>
      </c>
      <c r="E268" s="4" t="str">
        <f>IF(ISERROR("TRACC2"),"",HYPERLINK("#INDEX('Value Lookup'!A:A,MATCH(A" &amp; ROW() &amp; ",'Value Lookup'!A:A,0))","Value Lookup"))</f>
        <v>Value Lookup</v>
      </c>
      <c r="F268" s="4" t="str">
        <f>IF(ISERROR("TRACC2"),"",HYPERLINK("#INDEX('Frequencies'!A:A,MATCH(A" &amp; ROW() &amp; ",'Frequencies'!A:A,0))","Frequencies"))</f>
        <v>Frequencies</v>
      </c>
      <c r="G268" s="2"/>
      <c r="H268" s="2"/>
      <c r="I268" s="2"/>
      <c r="J268" s="2">
        <v>55</v>
      </c>
      <c r="K268" s="2"/>
      <c r="L268" s="2"/>
    </row>
    <row r="269" spans="1:12" ht="49.95" customHeight="1" x14ac:dyDescent="0.3">
      <c r="A269" s="3" t="s">
        <v>638</v>
      </c>
      <c r="B269" s="2" t="s">
        <v>639</v>
      </c>
      <c r="C269" s="2" t="s">
        <v>615</v>
      </c>
      <c r="D269" s="2" t="s">
        <v>15</v>
      </c>
      <c r="E269" s="4" t="str">
        <f>IF(ISERROR("TRACC20"),"",HYPERLINK("#INDEX('Value Lookup'!A:A,MATCH(A" &amp; ROW() &amp; ",'Value Lookup'!A:A,0))","Value Lookup"))</f>
        <v>Value Lookup</v>
      </c>
      <c r="F269" s="4" t="str">
        <f>IF(ISERROR("TRACC20"),"",HYPERLINK("#INDEX('Frequencies'!A:A,MATCH(A" &amp; ROW() &amp; ",'Frequencies'!A:A,0))","Frequencies"))</f>
        <v>Frequencies</v>
      </c>
      <c r="G269" s="2"/>
      <c r="H269" s="2"/>
      <c r="I269" s="2"/>
      <c r="J269" s="2">
        <v>73</v>
      </c>
      <c r="K269" s="2"/>
      <c r="L269" s="2"/>
    </row>
    <row r="270" spans="1:12" ht="49.95" customHeight="1" x14ac:dyDescent="0.3">
      <c r="A270" s="3" t="s">
        <v>640</v>
      </c>
      <c r="B270" s="2" t="s">
        <v>641</v>
      </c>
      <c r="C270" s="2" t="s">
        <v>615</v>
      </c>
      <c r="D270" s="2" t="s">
        <v>15</v>
      </c>
      <c r="E270" s="4" t="str">
        <f>IF(ISERROR("TRACC3"),"",HYPERLINK("#INDEX('Value Lookup'!A:A,MATCH(A" &amp; ROW() &amp; ",'Value Lookup'!A:A,0))","Value Lookup"))</f>
        <v>Value Lookup</v>
      </c>
      <c r="F270" s="4" t="str">
        <f>IF(ISERROR("TRACC3"),"",HYPERLINK("#INDEX('Frequencies'!A:A,MATCH(A" &amp; ROW() &amp; ",'Frequencies'!A:A,0))","Frequencies"))</f>
        <v>Frequencies</v>
      </c>
      <c r="G270" s="2"/>
      <c r="H270" s="2"/>
      <c r="I270" s="2"/>
      <c r="J270" s="2">
        <v>56</v>
      </c>
      <c r="K270" s="2"/>
      <c r="L270" s="2"/>
    </row>
    <row r="271" spans="1:12" ht="49.95" customHeight="1" x14ac:dyDescent="0.3">
      <c r="A271" s="3" t="s">
        <v>642</v>
      </c>
      <c r="B271" s="2" t="s">
        <v>643</v>
      </c>
      <c r="C271" s="2" t="s">
        <v>615</v>
      </c>
      <c r="D271" s="2" t="s">
        <v>15</v>
      </c>
      <c r="E271" s="4" t="str">
        <f>IF(ISERROR("TRACC4"),"",HYPERLINK("#INDEX('Value Lookup'!A:A,MATCH(A" &amp; ROW() &amp; ",'Value Lookup'!A:A,0))","Value Lookup"))</f>
        <v>Value Lookup</v>
      </c>
      <c r="F271" s="4" t="str">
        <f>IF(ISERROR("TRACC4"),"",HYPERLINK("#INDEX('Frequencies'!A:A,MATCH(A" &amp; ROW() &amp; ",'Frequencies'!A:A,0))","Frequencies"))</f>
        <v>Frequencies</v>
      </c>
      <c r="G271" s="2"/>
      <c r="H271" s="2"/>
      <c r="I271" s="2"/>
      <c r="J271" s="2">
        <v>57</v>
      </c>
      <c r="K271" s="2"/>
      <c r="L271" s="2"/>
    </row>
    <row r="272" spans="1:12" ht="49.95" customHeight="1" x14ac:dyDescent="0.3">
      <c r="A272" s="3" t="s">
        <v>644</v>
      </c>
      <c r="B272" s="2" t="s">
        <v>645</v>
      </c>
      <c r="C272" s="2" t="s">
        <v>615</v>
      </c>
      <c r="D272" s="2" t="s">
        <v>15</v>
      </c>
      <c r="E272" s="4" t="str">
        <f>IF(ISERROR("TRACC5"),"",HYPERLINK("#INDEX('Value Lookup'!A:A,MATCH(A" &amp; ROW() &amp; ",'Value Lookup'!A:A,0))","Value Lookup"))</f>
        <v>Value Lookup</v>
      </c>
      <c r="F272" s="4" t="str">
        <f>IF(ISERROR("TRACC5"),"",HYPERLINK("#INDEX('Frequencies'!A:A,MATCH(A" &amp; ROW() &amp; ",'Frequencies'!A:A,0))","Frequencies"))</f>
        <v>Frequencies</v>
      </c>
      <c r="G272" s="2"/>
      <c r="H272" s="2"/>
      <c r="I272" s="2"/>
      <c r="J272" s="2">
        <v>58</v>
      </c>
      <c r="K272" s="2"/>
      <c r="L272" s="2"/>
    </row>
    <row r="273" spans="1:12" ht="49.95" customHeight="1" x14ac:dyDescent="0.3">
      <c r="A273" s="3" t="s">
        <v>646</v>
      </c>
      <c r="B273" s="2" t="s">
        <v>647</v>
      </c>
      <c r="C273" s="2" t="s">
        <v>615</v>
      </c>
      <c r="D273" s="2" t="s">
        <v>15</v>
      </c>
      <c r="E273" s="4" t="str">
        <f>IF(ISERROR("TRACC6"),"",HYPERLINK("#INDEX('Value Lookup'!A:A,MATCH(A" &amp; ROW() &amp; ",'Value Lookup'!A:A,0))","Value Lookup"))</f>
        <v>Value Lookup</v>
      </c>
      <c r="F273" s="4" t="str">
        <f>IF(ISERROR("TRACC6"),"",HYPERLINK("#INDEX('Frequencies'!A:A,MATCH(A" &amp; ROW() &amp; ",'Frequencies'!A:A,0))","Frequencies"))</f>
        <v>Frequencies</v>
      </c>
      <c r="G273" s="2"/>
      <c r="H273" s="2"/>
      <c r="I273" s="2"/>
      <c r="J273" s="2">
        <v>59</v>
      </c>
      <c r="K273" s="2"/>
      <c r="L273" s="2"/>
    </row>
    <row r="274" spans="1:12" ht="49.95" customHeight="1" x14ac:dyDescent="0.3">
      <c r="A274" s="3" t="s">
        <v>648</v>
      </c>
      <c r="B274" s="2" t="s">
        <v>649</v>
      </c>
      <c r="C274" s="2" t="s">
        <v>615</v>
      </c>
      <c r="D274" s="2" t="s">
        <v>15</v>
      </c>
      <c r="E274" s="4" t="str">
        <f>IF(ISERROR("TRACC7"),"",HYPERLINK("#INDEX('Value Lookup'!A:A,MATCH(A" &amp; ROW() &amp; ",'Value Lookup'!A:A,0))","Value Lookup"))</f>
        <v>Value Lookup</v>
      </c>
      <c r="F274" s="4" t="str">
        <f>IF(ISERROR("TRACC7"),"",HYPERLINK("#INDEX('Frequencies'!A:A,MATCH(A" &amp; ROW() &amp; ",'Frequencies'!A:A,0))","Frequencies"))</f>
        <v>Frequencies</v>
      </c>
      <c r="G274" s="2"/>
      <c r="H274" s="2"/>
      <c r="I274" s="2"/>
      <c r="J274" s="2">
        <v>60</v>
      </c>
      <c r="K274" s="2"/>
      <c r="L274" s="2"/>
    </row>
    <row r="275" spans="1:12" ht="49.95" customHeight="1" x14ac:dyDescent="0.3">
      <c r="A275" s="3" t="s">
        <v>650</v>
      </c>
      <c r="B275" s="2" t="s">
        <v>651</v>
      </c>
      <c r="C275" s="2" t="s">
        <v>615</v>
      </c>
      <c r="D275" s="2" t="s">
        <v>15</v>
      </c>
      <c r="E275" s="4" t="str">
        <f>IF(ISERROR("TRACC8"),"",HYPERLINK("#INDEX('Value Lookup'!A:A,MATCH(A" &amp; ROW() &amp; ",'Value Lookup'!A:A,0))","Value Lookup"))</f>
        <v>Value Lookup</v>
      </c>
      <c r="F275" s="4" t="str">
        <f>IF(ISERROR("TRACC8"),"",HYPERLINK("#INDEX('Frequencies'!A:A,MATCH(A" &amp; ROW() &amp; ",'Frequencies'!A:A,0))","Frequencies"))</f>
        <v>Frequencies</v>
      </c>
      <c r="G275" s="2"/>
      <c r="H275" s="2"/>
      <c r="I275" s="2"/>
      <c r="J275" s="2">
        <v>61</v>
      </c>
      <c r="K275" s="2"/>
      <c r="L275" s="2"/>
    </row>
    <row r="276" spans="1:12" ht="49.95" customHeight="1" x14ac:dyDescent="0.3">
      <c r="A276" s="3" t="s">
        <v>652</v>
      </c>
      <c r="B276" s="2" t="s">
        <v>653</v>
      </c>
      <c r="C276" s="2" t="s">
        <v>615</v>
      </c>
      <c r="D276" s="2" t="s">
        <v>15</v>
      </c>
      <c r="E276" s="4" t="str">
        <f>IF(ISERROR("TRACC9"),"",HYPERLINK("#INDEX('Value Lookup'!A:A,MATCH(A" &amp; ROW() &amp; ",'Value Lookup'!A:A,0))","Value Lookup"))</f>
        <v>Value Lookup</v>
      </c>
      <c r="F276" s="4" t="str">
        <f>IF(ISERROR("TRACC9"),"",HYPERLINK("#INDEX('Frequencies'!A:A,MATCH(A" &amp; ROW() &amp; ",'Frequencies'!A:A,0))","Frequencies"))</f>
        <v>Frequencies</v>
      </c>
      <c r="G276" s="2"/>
      <c r="H276" s="2"/>
      <c r="I276" s="2"/>
      <c r="J276" s="2">
        <v>62</v>
      </c>
      <c r="K276" s="2"/>
      <c r="L276" s="2"/>
    </row>
    <row r="277" spans="1:12" ht="49.95" customHeight="1" x14ac:dyDescent="0.3">
      <c r="A277" s="3" t="s">
        <v>654</v>
      </c>
      <c r="B277" s="2" t="s">
        <v>655</v>
      </c>
      <c r="C277" s="2" t="s">
        <v>615</v>
      </c>
      <c r="D277" s="2" t="s">
        <v>15</v>
      </c>
      <c r="E277" s="4" t="str">
        <f>IF(ISERROR("TRACCDK"),"",HYPERLINK("#INDEX('Value Lookup'!A:A,MATCH(A" &amp; ROW() &amp; ",'Value Lookup'!A:A,0))","Value Lookup"))</f>
        <v>Value Lookup</v>
      </c>
      <c r="F277" s="4" t="str">
        <f>IF(ISERROR("TRACCDK"),"",HYPERLINK("#INDEX('Frequencies'!A:A,MATCH(A" &amp; ROW() &amp; ",'Frequencies'!A:A,0))","Frequencies"))</f>
        <v>Frequencies</v>
      </c>
      <c r="G277" s="2"/>
      <c r="H277" s="2"/>
      <c r="I277" s="2"/>
      <c r="J277" s="2">
        <v>75</v>
      </c>
      <c r="K277" s="2"/>
      <c r="L277" s="2"/>
    </row>
    <row r="278" spans="1:12" ht="49.95" customHeight="1" x14ac:dyDescent="0.3">
      <c r="A278" s="3" t="s">
        <v>656</v>
      </c>
      <c r="B278" s="2" t="s">
        <v>657</v>
      </c>
      <c r="C278" s="2" t="s">
        <v>615</v>
      </c>
      <c r="D278" s="2" t="s">
        <v>15</v>
      </c>
      <c r="E278" s="4" t="str">
        <f>IF(ISERROR("TRACC_O"),"",HYPERLINK("#INDEX('Value Lookup'!A:A,MATCH(A" &amp; ROW() &amp; ",'Value Lookup'!A:A,0))","Value Lookup"))</f>
        <v>Value Lookup</v>
      </c>
      <c r="F278" s="4" t="str">
        <f>IF(ISERROR("TRACC_O"),"",HYPERLINK("#INDEX('Frequencies'!A:A,MATCH(A" &amp; ROW() &amp; ",'Frequencies'!A:A,0))","Frequencies"))</f>
        <v>Frequencies</v>
      </c>
      <c r="G278" s="2"/>
      <c r="H278" s="2"/>
      <c r="I278" s="2"/>
      <c r="J278" s="2">
        <v>74</v>
      </c>
      <c r="K278" s="2"/>
      <c r="L278" s="2"/>
    </row>
    <row r="279" spans="1:12" ht="49.95" customHeight="1" x14ac:dyDescent="0.3">
      <c r="A279" s="3" t="s">
        <v>658</v>
      </c>
      <c r="B279" s="2" t="s">
        <v>659</v>
      </c>
      <c r="C279" s="2" t="s">
        <v>615</v>
      </c>
      <c r="D279" s="2" t="s">
        <v>15</v>
      </c>
      <c r="E279" s="4" t="str">
        <f>IF(ISERROR("TRACCRF"),"",HYPERLINK("#INDEX('Value Lookup'!A:A,MATCH(A" &amp; ROW() &amp; ",'Value Lookup'!A:A,0))","Value Lookup"))</f>
        <v>Value Lookup</v>
      </c>
      <c r="F279" s="4" t="str">
        <f>IF(ISERROR("TRACCRF"),"",HYPERLINK("#INDEX('Frequencies'!A:A,MATCH(A" &amp; ROW() &amp; ",'Frequencies'!A:A,0))","Frequencies"))</f>
        <v>Frequencies</v>
      </c>
      <c r="G279" s="2"/>
      <c r="H279" s="2"/>
      <c r="I279" s="2"/>
      <c r="J279" s="2">
        <v>76</v>
      </c>
      <c r="K279" s="2"/>
      <c r="L279" s="2"/>
    </row>
    <row r="280" spans="1:12" ht="49.95" customHeight="1" x14ac:dyDescent="0.3">
      <c r="A280" s="3" t="s">
        <v>660</v>
      </c>
      <c r="B280" s="2" t="s">
        <v>661</v>
      </c>
      <c r="C280" s="2" t="s">
        <v>662</v>
      </c>
      <c r="D280" s="2" t="s">
        <v>41</v>
      </c>
      <c r="E280" s="2" t="str">
        <f>IF(ISERROR("TRACCTM"),"","Range: 0 - 300")</f>
        <v>Range: 0 - 300</v>
      </c>
      <c r="F280" s="4" t="str">
        <f>IF(ISERROR("TRACCTM"),"",HYPERLINK("#INDEX('Frequencies'!A:A,MATCH(A" &amp; ROW() &amp; ",'Frequencies'!A:A,0))","Frequencies"))</f>
        <v>Frequencies</v>
      </c>
      <c r="G280" s="2"/>
      <c r="H280" s="2"/>
      <c r="I280" s="2"/>
      <c r="J280" s="2">
        <v>30</v>
      </c>
      <c r="K280" s="2"/>
      <c r="L280" s="2"/>
    </row>
    <row r="281" spans="1:12" ht="49.95" customHeight="1" x14ac:dyDescent="0.3">
      <c r="A281" s="3" t="s">
        <v>663</v>
      </c>
      <c r="B281" s="2" t="s">
        <v>664</v>
      </c>
      <c r="C281" s="2"/>
      <c r="D281" s="2" t="s">
        <v>15</v>
      </c>
      <c r="E281" s="4" t="str">
        <f>IF(ISERROR("TRACTFIPS"),"",HYPERLINK("#INDEX('Value Lookup'!A:A,MATCH(A" &amp; ROW() &amp; ",'Value Lookup'!A:A,0))","Value Lookup"))</f>
        <v>Value Lookup</v>
      </c>
      <c r="F281" s="4" t="str">
        <f>IF(ISERROR("TRACTFIPS"),"",HYPERLINK("#INDEX('Frequencies'!A:A,MATCH(A" &amp; ROW() &amp; ",'Frequencies'!A:A,0))","Frequencies"))</f>
        <v>Frequencies</v>
      </c>
      <c r="G281" s="2"/>
      <c r="H281" s="2"/>
      <c r="I281" s="2"/>
      <c r="J281" s="2"/>
      <c r="K281" s="2">
        <v>17</v>
      </c>
      <c r="L281" s="2"/>
    </row>
    <row r="282" spans="1:12" ht="49.95" customHeight="1" x14ac:dyDescent="0.3">
      <c r="A282" s="3" t="s">
        <v>665</v>
      </c>
      <c r="B282" s="2" t="s">
        <v>666</v>
      </c>
      <c r="C282" s="2" t="s">
        <v>667</v>
      </c>
      <c r="D282" s="2" t="s">
        <v>15</v>
      </c>
      <c r="E282" s="4" t="str">
        <f>IF(ISERROR("TRAIN"),"",HYPERLINK("#INDEX('Value Lookup'!A:A,MATCH(A" &amp; ROW() &amp; ",'Value Lookup'!A:A,0))","Value Lookup"))</f>
        <v>Value Lookup</v>
      </c>
      <c r="F282" s="4" t="str">
        <f>IF(ISERROR("TRAIN"),"",HYPERLINK("#INDEX('Frequencies'!A:A,MATCH(A" &amp; ROW() &amp; ",'Frequencies'!A:A,0))","Frequencies"))</f>
        <v>Frequencies</v>
      </c>
      <c r="G282" s="2">
        <v>27</v>
      </c>
      <c r="H282" s="2"/>
      <c r="I282" s="2"/>
      <c r="J282" s="2"/>
      <c r="K282" s="2"/>
      <c r="L282" s="2"/>
    </row>
    <row r="283" spans="1:12" ht="49.95" customHeight="1" x14ac:dyDescent="0.3">
      <c r="A283" s="3" t="s">
        <v>668</v>
      </c>
      <c r="B283" s="2" t="s">
        <v>669</v>
      </c>
      <c r="C283" s="2" t="s">
        <v>670</v>
      </c>
      <c r="D283" s="2" t="s">
        <v>15</v>
      </c>
      <c r="E283" s="4" t="str">
        <f>IF(ISERROR("TRANSCOMM_1"),"",HYPERLINK("#INDEX('Value Lookup'!A:A,MATCH(A" &amp; ROW() &amp; ",'Value Lookup'!A:A,0))","Value Lookup"))</f>
        <v>Value Lookup</v>
      </c>
      <c r="F283" s="4" t="str">
        <f>IF(ISERROR("TRANSCOMM_1"),"",HYPERLINK("#INDEX('Frequencies'!A:A,MATCH(A" &amp; ROW() &amp; ",'Frequencies'!A:A,0))","Frequencies"))</f>
        <v>Frequencies</v>
      </c>
      <c r="G283" s="2"/>
      <c r="H283" s="2">
        <v>133</v>
      </c>
      <c r="I283" s="2"/>
      <c r="J283" s="2"/>
      <c r="K283" s="2"/>
      <c r="L283" s="2" t="s">
        <v>671</v>
      </c>
    </row>
    <row r="284" spans="1:12" ht="49.95" customHeight="1" x14ac:dyDescent="0.3">
      <c r="A284" s="3" t="s">
        <v>672</v>
      </c>
      <c r="B284" s="2" t="s">
        <v>673</v>
      </c>
      <c r="C284" s="2" t="s">
        <v>670</v>
      </c>
      <c r="D284" s="2" t="s">
        <v>15</v>
      </c>
      <c r="E284" s="4" t="str">
        <f>IF(ISERROR("TRANSCOMM_2"),"",HYPERLINK("#INDEX('Value Lookup'!A:A,MATCH(A" &amp; ROW() &amp; ",'Value Lookup'!A:A,0))","Value Lookup"))</f>
        <v>Value Lookup</v>
      </c>
      <c r="F284" s="4" t="str">
        <f>IF(ISERROR("TRANSCOMM_2"),"",HYPERLINK("#INDEX('Frequencies'!A:A,MATCH(A" &amp; ROW() &amp; ",'Frequencies'!A:A,0))","Frequencies"))</f>
        <v>Frequencies</v>
      </c>
      <c r="G284" s="2"/>
      <c r="H284" s="2">
        <v>134</v>
      </c>
      <c r="I284" s="2"/>
      <c r="J284" s="2"/>
      <c r="K284" s="2"/>
      <c r="L284" s="2" t="s">
        <v>671</v>
      </c>
    </row>
    <row r="285" spans="1:12" ht="49.95" customHeight="1" x14ac:dyDescent="0.3">
      <c r="A285" s="3" t="s">
        <v>674</v>
      </c>
      <c r="B285" s="2" t="s">
        <v>675</v>
      </c>
      <c r="C285" s="2" t="s">
        <v>670</v>
      </c>
      <c r="D285" s="2" t="s">
        <v>15</v>
      </c>
      <c r="E285" s="4" t="str">
        <f>IF(ISERROR("TRANSCOMM_3"),"",HYPERLINK("#INDEX('Value Lookup'!A:A,MATCH(A" &amp; ROW() &amp; ",'Value Lookup'!A:A,0))","Value Lookup"))</f>
        <v>Value Lookup</v>
      </c>
      <c r="F285" s="4" t="str">
        <f>IF(ISERROR("TRANSCOMM_3"),"",HYPERLINK("#INDEX('Frequencies'!A:A,MATCH(A" &amp; ROW() &amp; ",'Frequencies'!A:A,0))","Frequencies"))</f>
        <v>Frequencies</v>
      </c>
      <c r="G285" s="2"/>
      <c r="H285" s="2">
        <v>135</v>
      </c>
      <c r="I285" s="2"/>
      <c r="J285" s="2"/>
      <c r="K285" s="2"/>
      <c r="L285" s="2" t="s">
        <v>676</v>
      </c>
    </row>
    <row r="286" spans="1:12" ht="49.95" customHeight="1" x14ac:dyDescent="0.3">
      <c r="A286" s="3" t="s">
        <v>677</v>
      </c>
      <c r="B286" s="2" t="s">
        <v>678</v>
      </c>
      <c r="C286" s="2" t="s">
        <v>670</v>
      </c>
      <c r="D286" s="2" t="s">
        <v>15</v>
      </c>
      <c r="E286" s="4" t="str">
        <f>IF(ISERROR("TRANSCOMM_4"),"",HYPERLINK("#INDEX('Value Lookup'!A:A,MATCH(A" &amp; ROW() &amp; ",'Value Lookup'!A:A,0))","Value Lookup"))</f>
        <v>Value Lookup</v>
      </c>
      <c r="F286" s="4" t="str">
        <f>IF(ISERROR("TRANSCOMM_4"),"",HYPERLINK("#INDEX('Frequencies'!A:A,MATCH(A" &amp; ROW() &amp; ",'Frequencies'!A:A,0))","Frequencies"))</f>
        <v>Frequencies</v>
      </c>
      <c r="G286" s="2"/>
      <c r="H286" s="2">
        <v>136</v>
      </c>
      <c r="I286" s="2"/>
      <c r="J286" s="2"/>
      <c r="K286" s="2"/>
      <c r="L286" s="2" t="s">
        <v>676</v>
      </c>
    </row>
    <row r="287" spans="1:12" ht="49.95" customHeight="1" x14ac:dyDescent="0.3">
      <c r="A287" s="3" t="s">
        <v>679</v>
      </c>
      <c r="B287" s="2" t="s">
        <v>680</v>
      </c>
      <c r="C287" s="2" t="s">
        <v>670</v>
      </c>
      <c r="D287" s="2" t="s">
        <v>15</v>
      </c>
      <c r="E287" s="4" t="str">
        <f>IF(ISERROR("TRANSCOMM_5"),"",HYPERLINK("#INDEX('Value Lookup'!A:A,MATCH(A" &amp; ROW() &amp; ",'Value Lookup'!A:A,0))","Value Lookup"))</f>
        <v>Value Lookup</v>
      </c>
      <c r="F287" s="4" t="str">
        <f>IF(ISERROR("TRANSCOMM_5"),"",HYPERLINK("#INDEX('Frequencies'!A:A,MATCH(A" &amp; ROW() &amp; ",'Frequencies'!A:A,0))","Frequencies"))</f>
        <v>Frequencies</v>
      </c>
      <c r="G287" s="2"/>
      <c r="H287" s="2">
        <v>137</v>
      </c>
      <c r="I287" s="2"/>
      <c r="J287" s="2"/>
      <c r="K287" s="2"/>
      <c r="L287" s="2" t="s">
        <v>676</v>
      </c>
    </row>
    <row r="288" spans="1:12" ht="49.95" customHeight="1" x14ac:dyDescent="0.3">
      <c r="A288" s="3" t="s">
        <v>681</v>
      </c>
      <c r="B288" s="2" t="s">
        <v>682</v>
      </c>
      <c r="C288" s="2" t="s">
        <v>670</v>
      </c>
      <c r="D288" s="2" t="s">
        <v>15</v>
      </c>
      <c r="E288" s="4" t="str">
        <f>IF(ISERROR("TRANSCOMM_6"),"",HYPERLINK("#INDEX('Value Lookup'!A:A,MATCH(A" &amp; ROW() &amp; ",'Value Lookup'!A:A,0))","Value Lookup"))</f>
        <v>Value Lookup</v>
      </c>
      <c r="F288" s="4" t="str">
        <f>IF(ISERROR("TRANSCOMM_6"),"",HYPERLINK("#INDEX('Frequencies'!A:A,MATCH(A" &amp; ROW() &amp; ",'Frequencies'!A:A,0))","Frequencies"))</f>
        <v>Frequencies</v>
      </c>
      <c r="G288" s="2"/>
      <c r="H288" s="2">
        <v>138</v>
      </c>
      <c r="I288" s="2"/>
      <c r="J288" s="2"/>
      <c r="K288" s="2"/>
      <c r="L288" s="2" t="s">
        <v>676</v>
      </c>
    </row>
    <row r="289" spans="1:12" ht="49.95" customHeight="1" x14ac:dyDescent="0.3">
      <c r="A289" s="3" t="s">
        <v>683</v>
      </c>
      <c r="B289" s="2" t="s">
        <v>684</v>
      </c>
      <c r="C289" s="2" t="s">
        <v>670</v>
      </c>
      <c r="D289" s="2" t="s">
        <v>15</v>
      </c>
      <c r="E289" s="4" t="str">
        <f>IF(ISERROR("TRANSCOMM_7"),"",HYPERLINK("#INDEX('Value Lookup'!A:A,MATCH(A" &amp; ROW() &amp; ",'Value Lookup'!A:A,0))","Value Lookup"))</f>
        <v>Value Lookup</v>
      </c>
      <c r="F289" s="4" t="str">
        <f>IF(ISERROR("TRANSCOMM_7"),"",HYPERLINK("#INDEX('Frequencies'!A:A,MATCH(A" &amp; ROW() &amp; ",'Frequencies'!A:A,0))","Frequencies"))</f>
        <v>Frequencies</v>
      </c>
      <c r="G289" s="2"/>
      <c r="H289" s="2">
        <v>139</v>
      </c>
      <c r="I289" s="2"/>
      <c r="J289" s="2"/>
      <c r="K289" s="2"/>
      <c r="L289" s="2" t="s">
        <v>671</v>
      </c>
    </row>
    <row r="290" spans="1:12" ht="49.95" customHeight="1" x14ac:dyDescent="0.3">
      <c r="A290" s="3" t="s">
        <v>685</v>
      </c>
      <c r="B290" s="2" t="s">
        <v>686</v>
      </c>
      <c r="C290" s="2" t="s">
        <v>670</v>
      </c>
      <c r="D290" s="2" t="s">
        <v>15</v>
      </c>
      <c r="E290" s="4" t="str">
        <f>IF(ISERROR("TRANSCOMM_DK"),"",HYPERLINK("#INDEX('Value Lookup'!A:A,MATCH(A" &amp; ROW() &amp; ",'Value Lookup'!A:A,0))","Value Lookup"))</f>
        <v>Value Lookup</v>
      </c>
      <c r="F290" s="4" t="str">
        <f>IF(ISERROR("TRANSCOMM_DK"),"",HYPERLINK("#INDEX('Frequencies'!A:A,MATCH(A" &amp; ROW() &amp; ",'Frequencies'!A:A,0))","Frequencies"))</f>
        <v>Frequencies</v>
      </c>
      <c r="G290" s="2"/>
      <c r="H290" s="2">
        <v>141</v>
      </c>
      <c r="I290" s="2"/>
      <c r="J290" s="2"/>
      <c r="K290" s="2"/>
      <c r="L290" s="2" t="s">
        <v>676</v>
      </c>
    </row>
    <row r="291" spans="1:12" ht="49.95" customHeight="1" x14ac:dyDescent="0.3">
      <c r="A291" s="3" t="s">
        <v>687</v>
      </c>
      <c r="B291" s="2" t="s">
        <v>688</v>
      </c>
      <c r="C291" s="2" t="s">
        <v>670</v>
      </c>
      <c r="D291" s="2" t="s">
        <v>15</v>
      </c>
      <c r="E291" s="4" t="str">
        <f>IF(ISERROR("TRANSCOMM_NA"),"",HYPERLINK("#INDEX('Value Lookup'!A:A,MATCH(A" &amp; ROW() &amp; ",'Value Lookup'!A:A,0))","Value Lookup"))</f>
        <v>Value Lookup</v>
      </c>
      <c r="F291" s="4" t="str">
        <f>IF(ISERROR("TRANSCOMM_NA"),"",HYPERLINK("#INDEX('Frequencies'!A:A,MATCH(A" &amp; ROW() &amp; ",'Frequencies'!A:A,0))","Frequencies"))</f>
        <v>Frequencies</v>
      </c>
      <c r="G291" s="2"/>
      <c r="H291" s="2">
        <v>140</v>
      </c>
      <c r="I291" s="2"/>
      <c r="J291" s="2"/>
      <c r="K291" s="2"/>
      <c r="L291" s="2" t="s">
        <v>671</v>
      </c>
    </row>
    <row r="292" spans="1:12" ht="49.95" customHeight="1" x14ac:dyDescent="0.3">
      <c r="A292" s="3" t="s">
        <v>689</v>
      </c>
      <c r="B292" s="2" t="s">
        <v>690</v>
      </c>
      <c r="C292" s="2" t="s">
        <v>670</v>
      </c>
      <c r="D292" s="2" t="s">
        <v>15</v>
      </c>
      <c r="E292" s="4" t="str">
        <f>IF(ISERROR("TRANSCOMM_RF"),"",HYPERLINK("#INDEX('Value Lookup'!A:A,MATCH(A" &amp; ROW() &amp; ",'Value Lookup'!A:A,0))","Value Lookup"))</f>
        <v>Value Lookup</v>
      </c>
      <c r="F292" s="4" t="str">
        <f>IF(ISERROR("TRANSCOMM_RF"),"",HYPERLINK("#INDEX('Frequencies'!A:A,MATCH(A" &amp; ROW() &amp; ",'Frequencies'!A:A,0))","Frequencies"))</f>
        <v>Frequencies</v>
      </c>
      <c r="G292" s="2"/>
      <c r="H292" s="2">
        <v>142</v>
      </c>
      <c r="I292" s="2"/>
      <c r="J292" s="2"/>
      <c r="K292" s="2"/>
      <c r="L292" s="2" t="s">
        <v>671</v>
      </c>
    </row>
    <row r="293" spans="1:12" ht="49.95" customHeight="1" x14ac:dyDescent="0.3">
      <c r="A293" s="3" t="s">
        <v>691</v>
      </c>
      <c r="B293" s="2" t="s">
        <v>692</v>
      </c>
      <c r="C293" s="2"/>
      <c r="D293" s="2" t="s">
        <v>15</v>
      </c>
      <c r="E293" s="4" t="str">
        <f>IF(ISERROR("TRAVDAY"),"",HYPERLINK("#INDEX('Value Lookup'!A:A,MATCH(A" &amp; ROW() &amp; ",'Value Lookup'!A:A,0))","Value Lookup"))</f>
        <v>Value Lookup</v>
      </c>
      <c r="F293" s="4" t="str">
        <f>IF(ISERROR("TRAVDAY"),"",HYPERLINK("#INDEX('Frequencies'!A:A,MATCH(A" &amp; ROW() &amp; ",'Frequencies'!A:A,0))","Frequencies"))</f>
        <v>Frequencies</v>
      </c>
      <c r="G293" s="2">
        <v>4</v>
      </c>
      <c r="H293" s="2"/>
      <c r="I293" s="2"/>
      <c r="J293" s="2"/>
      <c r="K293" s="2"/>
      <c r="L293" s="2"/>
    </row>
    <row r="294" spans="1:12" ht="49.95" customHeight="1" x14ac:dyDescent="0.3">
      <c r="A294" s="3" t="s">
        <v>693</v>
      </c>
      <c r="B294" s="2" t="s">
        <v>694</v>
      </c>
      <c r="C294" s="2" t="s">
        <v>695</v>
      </c>
      <c r="D294" s="2" t="s">
        <v>15</v>
      </c>
      <c r="E294" s="4" t="str">
        <f>IF(ISERROR("TREGR1"),"",HYPERLINK("#INDEX('Value Lookup'!A:A,MATCH(A" &amp; ROW() &amp; ",'Value Lookup'!A:A,0))","Value Lookup"))</f>
        <v>Value Lookup</v>
      </c>
      <c r="F294" s="4" t="str">
        <f>IF(ISERROR("TREGR1"),"",HYPERLINK("#INDEX('Frequencies'!A:A,MATCH(A" &amp; ROW() &amp; ",'Frequencies'!A:A,0))","Frequencies"))</f>
        <v>Frequencies</v>
      </c>
      <c r="G294" s="2"/>
      <c r="H294" s="2"/>
      <c r="I294" s="2"/>
      <c r="J294" s="2">
        <v>78</v>
      </c>
      <c r="K294" s="2"/>
      <c r="L294" s="2"/>
    </row>
    <row r="295" spans="1:12" ht="49.95" customHeight="1" x14ac:dyDescent="0.3">
      <c r="A295" s="3" t="s">
        <v>696</v>
      </c>
      <c r="B295" s="2" t="s">
        <v>697</v>
      </c>
      <c r="C295" s="2" t="s">
        <v>695</v>
      </c>
      <c r="D295" s="2" t="s">
        <v>15</v>
      </c>
      <c r="E295" s="4" t="str">
        <f>IF(ISERROR("TREGR10"),"",HYPERLINK("#INDEX('Value Lookup'!A:A,MATCH(A" &amp; ROW() &amp; ",'Value Lookup'!A:A,0))","Value Lookup"))</f>
        <v>Value Lookup</v>
      </c>
      <c r="F295" s="4" t="str">
        <f>IF(ISERROR("TREGR10"),"",HYPERLINK("#INDEX('Frequencies'!A:A,MATCH(A" &amp; ROW() &amp; ",'Frequencies'!A:A,0))","Frequencies"))</f>
        <v>Frequencies</v>
      </c>
      <c r="G295" s="2"/>
      <c r="H295" s="2"/>
      <c r="I295" s="2"/>
      <c r="J295" s="2">
        <v>87</v>
      </c>
      <c r="K295" s="2"/>
      <c r="L295" s="2"/>
    </row>
    <row r="296" spans="1:12" ht="49.95" customHeight="1" x14ac:dyDescent="0.3">
      <c r="A296" s="3" t="s">
        <v>698</v>
      </c>
      <c r="B296" s="2" t="s">
        <v>699</v>
      </c>
      <c r="C296" s="2" t="s">
        <v>695</v>
      </c>
      <c r="D296" s="2" t="s">
        <v>15</v>
      </c>
      <c r="E296" s="4" t="str">
        <f>IF(ISERROR("TREGR11"),"",HYPERLINK("#INDEX('Value Lookup'!A:A,MATCH(A" &amp; ROW() &amp; ",'Value Lookup'!A:A,0))","Value Lookup"))</f>
        <v>Value Lookup</v>
      </c>
      <c r="F296" s="4" t="str">
        <f>IF(ISERROR("TREGR11"),"",HYPERLINK("#INDEX('Frequencies'!A:A,MATCH(A" &amp; ROW() &amp; ",'Frequencies'!A:A,0))","Frequencies"))</f>
        <v>Frequencies</v>
      </c>
      <c r="G296" s="2"/>
      <c r="H296" s="2"/>
      <c r="I296" s="2"/>
      <c r="J296" s="2">
        <v>88</v>
      </c>
      <c r="K296" s="2"/>
      <c r="L296" s="2"/>
    </row>
    <row r="297" spans="1:12" ht="49.95" customHeight="1" x14ac:dyDescent="0.3">
      <c r="A297" s="3" t="s">
        <v>700</v>
      </c>
      <c r="B297" s="2" t="s">
        <v>701</v>
      </c>
      <c r="C297" s="2" t="s">
        <v>695</v>
      </c>
      <c r="D297" s="2" t="s">
        <v>15</v>
      </c>
      <c r="E297" s="4" t="str">
        <f>IF(ISERROR("TREGR12"),"",HYPERLINK("#INDEX('Value Lookup'!A:A,MATCH(A" &amp; ROW() &amp; ",'Value Lookup'!A:A,0))","Value Lookup"))</f>
        <v>Value Lookup</v>
      </c>
      <c r="F297" s="4" t="str">
        <f>IF(ISERROR("TREGR12"),"",HYPERLINK("#INDEX('Frequencies'!A:A,MATCH(A" &amp; ROW() &amp; ",'Frequencies'!A:A,0))","Frequencies"))</f>
        <v>Frequencies</v>
      </c>
      <c r="G297" s="2"/>
      <c r="H297" s="2"/>
      <c r="I297" s="2"/>
      <c r="J297" s="2">
        <v>89</v>
      </c>
      <c r="K297" s="2"/>
      <c r="L297" s="2"/>
    </row>
    <row r="298" spans="1:12" ht="49.95" customHeight="1" x14ac:dyDescent="0.3">
      <c r="A298" s="3" t="s">
        <v>702</v>
      </c>
      <c r="B298" s="2" t="s">
        <v>703</v>
      </c>
      <c r="C298" s="2" t="s">
        <v>695</v>
      </c>
      <c r="D298" s="2" t="s">
        <v>15</v>
      </c>
      <c r="E298" s="4" t="str">
        <f>IF(ISERROR("TREGR13"),"",HYPERLINK("#INDEX('Value Lookup'!A:A,MATCH(A" &amp; ROW() &amp; ",'Value Lookup'!A:A,0))","Value Lookup"))</f>
        <v>Value Lookup</v>
      </c>
      <c r="F298" s="4" t="str">
        <f>IF(ISERROR("TREGR13"),"",HYPERLINK("#INDEX('Frequencies'!A:A,MATCH(A" &amp; ROW() &amp; ",'Frequencies'!A:A,0))","Frequencies"))</f>
        <v>Frequencies</v>
      </c>
      <c r="G298" s="2"/>
      <c r="H298" s="2"/>
      <c r="I298" s="2"/>
      <c r="J298" s="2">
        <v>90</v>
      </c>
      <c r="K298" s="2"/>
      <c r="L298" s="2"/>
    </row>
    <row r="299" spans="1:12" ht="49.95" customHeight="1" x14ac:dyDescent="0.3">
      <c r="A299" s="3" t="s">
        <v>704</v>
      </c>
      <c r="B299" s="2" t="s">
        <v>705</v>
      </c>
      <c r="C299" s="2" t="s">
        <v>695</v>
      </c>
      <c r="D299" s="2" t="s">
        <v>15</v>
      </c>
      <c r="E299" s="4" t="str">
        <f>IF(ISERROR("TREGR14"),"",HYPERLINK("#INDEX('Value Lookup'!A:A,MATCH(A" &amp; ROW() &amp; ",'Value Lookup'!A:A,0))","Value Lookup"))</f>
        <v>Value Lookup</v>
      </c>
      <c r="F299" s="4" t="str">
        <f>IF(ISERROR("TREGR14"),"",HYPERLINK("#INDEX('Frequencies'!A:A,MATCH(A" &amp; ROW() &amp; ",'Frequencies'!A:A,0))","Frequencies"))</f>
        <v>Frequencies</v>
      </c>
      <c r="G299" s="2"/>
      <c r="H299" s="2"/>
      <c r="I299" s="2"/>
      <c r="J299" s="2">
        <v>91</v>
      </c>
      <c r="K299" s="2"/>
      <c r="L299" s="2"/>
    </row>
    <row r="300" spans="1:12" ht="49.95" customHeight="1" x14ac:dyDescent="0.3">
      <c r="A300" s="3" t="s">
        <v>706</v>
      </c>
      <c r="B300" s="2" t="s">
        <v>707</v>
      </c>
      <c r="C300" s="2" t="s">
        <v>695</v>
      </c>
      <c r="D300" s="2" t="s">
        <v>15</v>
      </c>
      <c r="E300" s="4" t="str">
        <f>IF(ISERROR("TREGR15"),"",HYPERLINK("#INDEX('Value Lookup'!A:A,MATCH(A" &amp; ROW() &amp; ",'Value Lookup'!A:A,0))","Value Lookup"))</f>
        <v>Value Lookup</v>
      </c>
      <c r="F300" s="4" t="str">
        <f>IF(ISERROR("TREGR15"),"",HYPERLINK("#INDEX('Frequencies'!A:A,MATCH(A" &amp; ROW() &amp; ",'Frequencies'!A:A,0))","Frequencies"))</f>
        <v>Frequencies</v>
      </c>
      <c r="G300" s="2"/>
      <c r="H300" s="2"/>
      <c r="I300" s="2"/>
      <c r="J300" s="2">
        <v>92</v>
      </c>
      <c r="K300" s="2"/>
      <c r="L300" s="2"/>
    </row>
    <row r="301" spans="1:12" ht="49.95" customHeight="1" x14ac:dyDescent="0.3">
      <c r="A301" s="3" t="s">
        <v>708</v>
      </c>
      <c r="B301" s="2" t="s">
        <v>709</v>
      </c>
      <c r="C301" s="2" t="s">
        <v>695</v>
      </c>
      <c r="D301" s="2" t="s">
        <v>15</v>
      </c>
      <c r="E301" s="4" t="str">
        <f>IF(ISERROR("TREGR16"),"",HYPERLINK("#INDEX('Value Lookup'!A:A,MATCH(A" &amp; ROW() &amp; ",'Value Lookup'!A:A,0))","Value Lookup"))</f>
        <v>Value Lookup</v>
      </c>
      <c r="F301" s="4" t="str">
        <f>IF(ISERROR("TREGR16"),"",HYPERLINK("#INDEX('Frequencies'!A:A,MATCH(A" &amp; ROW() &amp; ",'Frequencies'!A:A,0))","Frequencies"))</f>
        <v>Frequencies</v>
      </c>
      <c r="G301" s="2"/>
      <c r="H301" s="2"/>
      <c r="I301" s="2"/>
      <c r="J301" s="2">
        <v>93</v>
      </c>
      <c r="K301" s="2"/>
      <c r="L301" s="2"/>
    </row>
    <row r="302" spans="1:12" ht="49.95" customHeight="1" x14ac:dyDescent="0.3">
      <c r="A302" s="3" t="s">
        <v>710</v>
      </c>
      <c r="B302" s="2" t="s">
        <v>711</v>
      </c>
      <c r="C302" s="2" t="s">
        <v>695</v>
      </c>
      <c r="D302" s="2" t="s">
        <v>15</v>
      </c>
      <c r="E302" s="4" t="str">
        <f>IF(ISERROR("TREGR17"),"",HYPERLINK("#INDEX('Value Lookup'!A:A,MATCH(A" &amp; ROW() &amp; ",'Value Lookup'!A:A,0))","Value Lookup"))</f>
        <v>Value Lookup</v>
      </c>
      <c r="F302" s="4" t="str">
        <f>IF(ISERROR("TREGR17"),"",HYPERLINK("#INDEX('Frequencies'!A:A,MATCH(A" &amp; ROW() &amp; ",'Frequencies'!A:A,0))","Frequencies"))</f>
        <v>Frequencies</v>
      </c>
      <c r="G302" s="2"/>
      <c r="H302" s="2"/>
      <c r="I302" s="2"/>
      <c r="J302" s="2">
        <v>94</v>
      </c>
      <c r="K302" s="2"/>
      <c r="L302" s="2"/>
    </row>
    <row r="303" spans="1:12" ht="49.95" customHeight="1" x14ac:dyDescent="0.3">
      <c r="A303" s="3" t="s">
        <v>712</v>
      </c>
      <c r="B303" s="2" t="s">
        <v>713</v>
      </c>
      <c r="C303" s="2" t="s">
        <v>695</v>
      </c>
      <c r="D303" s="2" t="s">
        <v>15</v>
      </c>
      <c r="E303" s="4" t="str">
        <f>IF(ISERROR("TREGR18"),"",HYPERLINK("#INDEX('Value Lookup'!A:A,MATCH(A" &amp; ROW() &amp; ",'Value Lookup'!A:A,0))","Value Lookup"))</f>
        <v>Value Lookup</v>
      </c>
      <c r="F303" s="4" t="str">
        <f>IF(ISERROR("TREGR18"),"",HYPERLINK("#INDEX('Frequencies'!A:A,MATCH(A" &amp; ROW() &amp; ",'Frequencies'!A:A,0))","Frequencies"))</f>
        <v>Frequencies</v>
      </c>
      <c r="G303" s="2"/>
      <c r="H303" s="2"/>
      <c r="I303" s="2"/>
      <c r="J303" s="2">
        <v>95</v>
      </c>
      <c r="K303" s="2"/>
      <c r="L303" s="2"/>
    </row>
    <row r="304" spans="1:12" ht="49.95" customHeight="1" x14ac:dyDescent="0.3">
      <c r="A304" s="3" t="s">
        <v>714</v>
      </c>
      <c r="B304" s="2" t="s">
        <v>715</v>
      </c>
      <c r="C304" s="2" t="s">
        <v>695</v>
      </c>
      <c r="D304" s="2" t="s">
        <v>15</v>
      </c>
      <c r="E304" s="4" t="str">
        <f>IF(ISERROR("TREGR19"),"",HYPERLINK("#INDEX('Value Lookup'!A:A,MATCH(A" &amp; ROW() &amp; ",'Value Lookup'!A:A,0))","Value Lookup"))</f>
        <v>Value Lookup</v>
      </c>
      <c r="F304" s="4" t="str">
        <f>IF(ISERROR("TREGR19"),"",HYPERLINK("#INDEX('Frequencies'!A:A,MATCH(A" &amp; ROW() &amp; ",'Frequencies'!A:A,0))","Frequencies"))</f>
        <v>Frequencies</v>
      </c>
      <c r="G304" s="2"/>
      <c r="H304" s="2"/>
      <c r="I304" s="2"/>
      <c r="J304" s="2">
        <v>96</v>
      </c>
      <c r="K304" s="2"/>
      <c r="L304" s="2"/>
    </row>
    <row r="305" spans="1:12" ht="49.95" customHeight="1" x14ac:dyDescent="0.3">
      <c r="A305" s="3" t="s">
        <v>716</v>
      </c>
      <c r="B305" s="2" t="s">
        <v>717</v>
      </c>
      <c r="C305" s="2" t="s">
        <v>695</v>
      </c>
      <c r="D305" s="2" t="s">
        <v>15</v>
      </c>
      <c r="E305" s="4" t="str">
        <f>IF(ISERROR("TREGR2"),"",HYPERLINK("#INDEX('Value Lookup'!A:A,MATCH(A" &amp; ROW() &amp; ",'Value Lookup'!A:A,0))","Value Lookup"))</f>
        <v>Value Lookup</v>
      </c>
      <c r="F305" s="4" t="str">
        <f>IF(ISERROR("TREGR2"),"",HYPERLINK("#INDEX('Frequencies'!A:A,MATCH(A" &amp; ROW() &amp; ",'Frequencies'!A:A,0))","Frequencies"))</f>
        <v>Frequencies</v>
      </c>
      <c r="G305" s="2"/>
      <c r="H305" s="2"/>
      <c r="I305" s="2"/>
      <c r="J305" s="2">
        <v>79</v>
      </c>
      <c r="K305" s="2"/>
      <c r="L305" s="2"/>
    </row>
    <row r="306" spans="1:12" ht="49.95" customHeight="1" x14ac:dyDescent="0.3">
      <c r="A306" s="3" t="s">
        <v>718</v>
      </c>
      <c r="B306" s="2" t="s">
        <v>719</v>
      </c>
      <c r="C306" s="2" t="s">
        <v>695</v>
      </c>
      <c r="D306" s="2" t="s">
        <v>15</v>
      </c>
      <c r="E306" s="4" t="str">
        <f>IF(ISERROR("TREGR20"),"",HYPERLINK("#INDEX('Value Lookup'!A:A,MATCH(A" &amp; ROW() &amp; ",'Value Lookup'!A:A,0))","Value Lookup"))</f>
        <v>Value Lookup</v>
      </c>
      <c r="F306" s="4" t="str">
        <f>IF(ISERROR("TREGR20"),"",HYPERLINK("#INDEX('Frequencies'!A:A,MATCH(A" &amp; ROW() &amp; ",'Frequencies'!A:A,0))","Frequencies"))</f>
        <v>Frequencies</v>
      </c>
      <c r="G306" s="2"/>
      <c r="H306" s="2"/>
      <c r="I306" s="2"/>
      <c r="J306" s="2">
        <v>97</v>
      </c>
      <c r="K306" s="2"/>
      <c r="L306" s="2"/>
    </row>
    <row r="307" spans="1:12" ht="49.95" customHeight="1" x14ac:dyDescent="0.3">
      <c r="A307" s="3" t="s">
        <v>720</v>
      </c>
      <c r="B307" s="2" t="s">
        <v>721</v>
      </c>
      <c r="C307" s="2" t="s">
        <v>695</v>
      </c>
      <c r="D307" s="2" t="s">
        <v>15</v>
      </c>
      <c r="E307" s="4" t="str">
        <f>IF(ISERROR("TREGR3"),"",HYPERLINK("#INDEX('Value Lookup'!A:A,MATCH(A" &amp; ROW() &amp; ",'Value Lookup'!A:A,0))","Value Lookup"))</f>
        <v>Value Lookup</v>
      </c>
      <c r="F307" s="4" t="str">
        <f>IF(ISERROR("TREGR3"),"",HYPERLINK("#INDEX('Frequencies'!A:A,MATCH(A" &amp; ROW() &amp; ",'Frequencies'!A:A,0))","Frequencies"))</f>
        <v>Frequencies</v>
      </c>
      <c r="G307" s="2"/>
      <c r="H307" s="2"/>
      <c r="I307" s="2"/>
      <c r="J307" s="2">
        <v>80</v>
      </c>
      <c r="K307" s="2"/>
      <c r="L307" s="2"/>
    </row>
    <row r="308" spans="1:12" ht="49.95" customHeight="1" x14ac:dyDescent="0.3">
      <c r="A308" s="3" t="s">
        <v>722</v>
      </c>
      <c r="B308" s="2" t="s">
        <v>723</v>
      </c>
      <c r="C308" s="2" t="s">
        <v>695</v>
      </c>
      <c r="D308" s="2" t="s">
        <v>15</v>
      </c>
      <c r="E308" s="4" t="str">
        <f>IF(ISERROR("TREGR4"),"",HYPERLINK("#INDEX('Value Lookup'!A:A,MATCH(A" &amp; ROW() &amp; ",'Value Lookup'!A:A,0))","Value Lookup"))</f>
        <v>Value Lookup</v>
      </c>
      <c r="F308" s="4" t="str">
        <f>IF(ISERROR("TREGR4"),"",HYPERLINK("#INDEX('Frequencies'!A:A,MATCH(A" &amp; ROW() &amp; ",'Frequencies'!A:A,0))","Frequencies"))</f>
        <v>Frequencies</v>
      </c>
      <c r="G308" s="2"/>
      <c r="H308" s="2"/>
      <c r="I308" s="2"/>
      <c r="J308" s="2">
        <v>81</v>
      </c>
      <c r="K308" s="2"/>
      <c r="L308" s="2"/>
    </row>
    <row r="309" spans="1:12" ht="49.95" customHeight="1" x14ac:dyDescent="0.3">
      <c r="A309" s="3" t="s">
        <v>724</v>
      </c>
      <c r="B309" s="2" t="s">
        <v>725</v>
      </c>
      <c r="C309" s="2" t="s">
        <v>695</v>
      </c>
      <c r="D309" s="2" t="s">
        <v>15</v>
      </c>
      <c r="E309" s="4" t="str">
        <f>IF(ISERROR("TREGR5"),"",HYPERLINK("#INDEX('Value Lookup'!A:A,MATCH(A" &amp; ROW() &amp; ",'Value Lookup'!A:A,0))","Value Lookup"))</f>
        <v>Value Lookup</v>
      </c>
      <c r="F309" s="4" t="str">
        <f>IF(ISERROR("TREGR5"),"",HYPERLINK("#INDEX('Frequencies'!A:A,MATCH(A" &amp; ROW() &amp; ",'Frequencies'!A:A,0))","Frequencies"))</f>
        <v>Frequencies</v>
      </c>
      <c r="G309" s="2"/>
      <c r="H309" s="2"/>
      <c r="I309" s="2"/>
      <c r="J309" s="2">
        <v>82</v>
      </c>
      <c r="K309" s="2"/>
      <c r="L309" s="2"/>
    </row>
    <row r="310" spans="1:12" ht="49.95" customHeight="1" x14ac:dyDescent="0.3">
      <c r="A310" s="3" t="s">
        <v>726</v>
      </c>
      <c r="B310" s="2" t="s">
        <v>727</v>
      </c>
      <c r="C310" s="2" t="s">
        <v>695</v>
      </c>
      <c r="D310" s="2" t="s">
        <v>15</v>
      </c>
      <c r="E310" s="4" t="str">
        <f>IF(ISERROR("TREGR6"),"",HYPERLINK("#INDEX('Value Lookup'!A:A,MATCH(A" &amp; ROW() &amp; ",'Value Lookup'!A:A,0))","Value Lookup"))</f>
        <v>Value Lookup</v>
      </c>
      <c r="F310" s="4" t="str">
        <f>IF(ISERROR("TREGR6"),"",HYPERLINK("#INDEX('Frequencies'!A:A,MATCH(A" &amp; ROW() &amp; ",'Frequencies'!A:A,0))","Frequencies"))</f>
        <v>Frequencies</v>
      </c>
      <c r="G310" s="2"/>
      <c r="H310" s="2"/>
      <c r="I310" s="2"/>
      <c r="J310" s="2">
        <v>83</v>
      </c>
      <c r="K310" s="2"/>
      <c r="L310" s="2"/>
    </row>
    <row r="311" spans="1:12" ht="49.95" customHeight="1" x14ac:dyDescent="0.3">
      <c r="A311" s="3" t="s">
        <v>728</v>
      </c>
      <c r="B311" s="2" t="s">
        <v>729</v>
      </c>
      <c r="C311" s="2" t="s">
        <v>695</v>
      </c>
      <c r="D311" s="2" t="s">
        <v>15</v>
      </c>
      <c r="E311" s="4" t="str">
        <f>IF(ISERROR("TREGR7"),"",HYPERLINK("#INDEX('Value Lookup'!A:A,MATCH(A" &amp; ROW() &amp; ",'Value Lookup'!A:A,0))","Value Lookup"))</f>
        <v>Value Lookup</v>
      </c>
      <c r="F311" s="4" t="str">
        <f>IF(ISERROR("TREGR7"),"",HYPERLINK("#INDEX('Frequencies'!A:A,MATCH(A" &amp; ROW() &amp; ",'Frequencies'!A:A,0))","Frequencies"))</f>
        <v>Frequencies</v>
      </c>
      <c r="G311" s="2"/>
      <c r="H311" s="2"/>
      <c r="I311" s="2"/>
      <c r="J311" s="2">
        <v>84</v>
      </c>
      <c r="K311" s="2"/>
      <c r="L311" s="2"/>
    </row>
    <row r="312" spans="1:12" ht="49.95" customHeight="1" x14ac:dyDescent="0.3">
      <c r="A312" s="3" t="s">
        <v>730</v>
      </c>
      <c r="B312" s="2" t="s">
        <v>731</v>
      </c>
      <c r="C312" s="2" t="s">
        <v>695</v>
      </c>
      <c r="D312" s="2" t="s">
        <v>15</v>
      </c>
      <c r="E312" s="4" t="str">
        <f>IF(ISERROR("TREGR8"),"",HYPERLINK("#INDEX('Value Lookup'!A:A,MATCH(A" &amp; ROW() &amp; ",'Value Lookup'!A:A,0))","Value Lookup"))</f>
        <v>Value Lookup</v>
      </c>
      <c r="F312" s="4" t="str">
        <f>IF(ISERROR("TREGR8"),"",HYPERLINK("#INDEX('Frequencies'!A:A,MATCH(A" &amp; ROW() &amp; ",'Frequencies'!A:A,0))","Frequencies"))</f>
        <v>Frequencies</v>
      </c>
      <c r="G312" s="2"/>
      <c r="H312" s="2"/>
      <c r="I312" s="2"/>
      <c r="J312" s="2">
        <v>85</v>
      </c>
      <c r="K312" s="2"/>
      <c r="L312" s="2"/>
    </row>
    <row r="313" spans="1:12" ht="49.95" customHeight="1" x14ac:dyDescent="0.3">
      <c r="A313" s="3" t="s">
        <v>732</v>
      </c>
      <c r="B313" s="2" t="s">
        <v>733</v>
      </c>
      <c r="C313" s="2" t="s">
        <v>695</v>
      </c>
      <c r="D313" s="2" t="s">
        <v>15</v>
      </c>
      <c r="E313" s="4" t="str">
        <f>IF(ISERROR("TREGR9"),"",HYPERLINK("#INDEX('Value Lookup'!A:A,MATCH(A" &amp; ROW() &amp; ",'Value Lookup'!A:A,0))","Value Lookup"))</f>
        <v>Value Lookup</v>
      </c>
      <c r="F313" s="4" t="str">
        <f>IF(ISERROR("TREGR9"),"",HYPERLINK("#INDEX('Frequencies'!A:A,MATCH(A" &amp; ROW() &amp; ",'Frequencies'!A:A,0))","Frequencies"))</f>
        <v>Frequencies</v>
      </c>
      <c r="G313" s="2"/>
      <c r="H313" s="2"/>
      <c r="I313" s="2"/>
      <c r="J313" s="2">
        <v>86</v>
      </c>
      <c r="K313" s="2"/>
      <c r="L313" s="2"/>
    </row>
    <row r="314" spans="1:12" ht="49.95" customHeight="1" x14ac:dyDescent="0.3">
      <c r="A314" s="3" t="s">
        <v>734</v>
      </c>
      <c r="B314" s="2" t="s">
        <v>735</v>
      </c>
      <c r="C314" s="2" t="s">
        <v>695</v>
      </c>
      <c r="D314" s="2" t="s">
        <v>15</v>
      </c>
      <c r="E314" s="4" t="str">
        <f>IF(ISERROR("TREGRDK"),"",HYPERLINK("#INDEX('Value Lookup'!A:A,MATCH(A" &amp; ROW() &amp; ",'Value Lookup'!A:A,0))","Value Lookup"))</f>
        <v>Value Lookup</v>
      </c>
      <c r="F314" s="4" t="str">
        <f>IF(ISERROR("TREGRDK"),"",HYPERLINK("#INDEX('Frequencies'!A:A,MATCH(A" &amp; ROW() &amp; ",'Frequencies'!A:A,0))","Frequencies"))</f>
        <v>Frequencies</v>
      </c>
      <c r="G314" s="2"/>
      <c r="H314" s="2"/>
      <c r="I314" s="2"/>
      <c r="J314" s="2">
        <v>99</v>
      </c>
      <c r="K314" s="2"/>
      <c r="L314" s="2"/>
    </row>
    <row r="315" spans="1:12" ht="49.95" customHeight="1" x14ac:dyDescent="0.3">
      <c r="A315" s="3" t="s">
        <v>736</v>
      </c>
      <c r="B315" s="2" t="s">
        <v>737</v>
      </c>
      <c r="C315" s="2" t="s">
        <v>695</v>
      </c>
      <c r="D315" s="2" t="s">
        <v>15</v>
      </c>
      <c r="E315" s="4" t="str">
        <f>IF(ISERROR("TREGR_O"),"",HYPERLINK("#INDEX('Value Lookup'!A:A,MATCH(A" &amp; ROW() &amp; ",'Value Lookup'!A:A,0))","Value Lookup"))</f>
        <v>Value Lookup</v>
      </c>
      <c r="F315" s="4" t="str">
        <f>IF(ISERROR("TREGR_O"),"",HYPERLINK("#INDEX('Frequencies'!A:A,MATCH(A" &amp; ROW() &amp; ",'Frequencies'!A:A,0))","Frequencies"))</f>
        <v>Frequencies</v>
      </c>
      <c r="G315" s="2"/>
      <c r="H315" s="2"/>
      <c r="I315" s="2"/>
      <c r="J315" s="2">
        <v>98</v>
      </c>
      <c r="K315" s="2"/>
      <c r="L315" s="2"/>
    </row>
    <row r="316" spans="1:12" ht="49.95" customHeight="1" x14ac:dyDescent="0.3">
      <c r="A316" s="3" t="s">
        <v>738</v>
      </c>
      <c r="B316" s="2" t="s">
        <v>739</v>
      </c>
      <c r="C316" s="2" t="s">
        <v>695</v>
      </c>
      <c r="D316" s="2" t="s">
        <v>15</v>
      </c>
      <c r="E316" s="4" t="str">
        <f>IF(ISERROR("TREGRRF"),"",HYPERLINK("#INDEX('Value Lookup'!A:A,MATCH(A" &amp; ROW() &amp; ",'Value Lookup'!A:A,0))","Value Lookup"))</f>
        <v>Value Lookup</v>
      </c>
      <c r="F316" s="4" t="str">
        <f>IF(ISERROR("TREGRRF"),"",HYPERLINK("#INDEX('Frequencies'!A:A,MATCH(A" &amp; ROW() &amp; ",'Frequencies'!A:A,0))","Frequencies"))</f>
        <v>Frequencies</v>
      </c>
      <c r="G316" s="2"/>
      <c r="H316" s="2"/>
      <c r="I316" s="2"/>
      <c r="J316" s="2">
        <v>100</v>
      </c>
      <c r="K316" s="2"/>
      <c r="L316" s="2"/>
    </row>
    <row r="317" spans="1:12" ht="49.95" customHeight="1" x14ac:dyDescent="0.3">
      <c r="A317" s="3" t="s">
        <v>740</v>
      </c>
      <c r="B317" s="2" t="s">
        <v>741</v>
      </c>
      <c r="C317" s="2" t="s">
        <v>742</v>
      </c>
      <c r="D317" s="2" t="s">
        <v>41</v>
      </c>
      <c r="E317" s="2" t="str">
        <f>IF(ISERROR("TREGRTM"),"","Range: 0 - 180")</f>
        <v>Range: 0 - 180</v>
      </c>
      <c r="F317" s="4" t="str">
        <f>IF(ISERROR("TREGRTM"),"",HYPERLINK("#INDEX('Frequencies'!A:A,MATCH(A" &amp; ROW() &amp; ",'Frequencies'!A:A,0))","Frequencies"))</f>
        <v>Frequencies</v>
      </c>
      <c r="G317" s="2"/>
      <c r="H317" s="2"/>
      <c r="I317" s="2"/>
      <c r="J317" s="2">
        <v>32</v>
      </c>
      <c r="K317" s="2"/>
      <c r="L317" s="2"/>
    </row>
    <row r="318" spans="1:12" ht="49.95" customHeight="1" x14ac:dyDescent="0.3">
      <c r="A318" s="3" t="s">
        <v>743</v>
      </c>
      <c r="B318" s="2" t="s">
        <v>744</v>
      </c>
      <c r="C318" s="2"/>
      <c r="D318" s="2" t="s">
        <v>15</v>
      </c>
      <c r="E318" s="4" t="str">
        <f>IF(ISERROR("TRIP_CODE"),"",HYPERLINK("#INDEX('Value Lookup'!A:A,MATCH(A" &amp; ROW() &amp; ",'Value Lookup'!A:A,0))","Value Lookup"))</f>
        <v>Value Lookup</v>
      </c>
      <c r="F318" s="4" t="str">
        <f>IF(ISERROR("TRIP_CODE"),"",HYPERLINK("#INDEX('Frequencies'!A:A,MATCH(A" &amp; ROW() &amp; ",'Frequencies'!A:A,0))","Frequencies"))</f>
        <v>Frequencies</v>
      </c>
      <c r="G318" s="2">
        <v>34</v>
      </c>
      <c r="H318" s="2"/>
      <c r="I318" s="2"/>
      <c r="J318" s="2"/>
      <c r="K318" s="2"/>
      <c r="L318" s="2"/>
    </row>
    <row r="319" spans="1:12" ht="49.95" customHeight="1" x14ac:dyDescent="0.3">
      <c r="A319" s="3" t="s">
        <v>745</v>
      </c>
      <c r="B319" s="2" t="s">
        <v>746</v>
      </c>
      <c r="C319" s="2"/>
      <c r="D319" s="2" t="s">
        <v>15</v>
      </c>
      <c r="E319" s="4" t="str">
        <f>IF(ISERROR("TRIPPURP"),"",HYPERLINK("#INDEX('Value Lookup'!A:A,MATCH(A" &amp; ROW() &amp; ",'Value Lookup'!A:A,0))","Value Lookup"))</f>
        <v>Value Lookup</v>
      </c>
      <c r="F319" s="4" t="str">
        <f>IF(ISERROR("TRIPPURP"),"",HYPERLINK("#INDEX('Frequencies'!A:A,MATCH(A" &amp; ROW() &amp; ",'Frequencies'!A:A,0))","Frequencies"))</f>
        <v>Frequencies</v>
      </c>
      <c r="G319" s="2"/>
      <c r="H319" s="2"/>
      <c r="I319" s="2"/>
      <c r="J319" s="2">
        <v>46</v>
      </c>
      <c r="K319" s="2"/>
      <c r="L319" s="2"/>
    </row>
    <row r="320" spans="1:12" ht="49.95" customHeight="1" x14ac:dyDescent="0.3">
      <c r="A320" s="3" t="s">
        <v>747</v>
      </c>
      <c r="B320" s="2" t="s">
        <v>748</v>
      </c>
      <c r="C320" s="2" t="s">
        <v>316</v>
      </c>
      <c r="D320" s="2" t="s">
        <v>15</v>
      </c>
      <c r="E320" s="4" t="str">
        <f>IF(ISERROR("TRPACCMP"),"",HYPERLINK("#INDEX('Value Lookup'!A:A,MATCH(A" &amp; ROW() &amp; ",'Value Lookup'!A:A,0))","Value Lookup"))</f>
        <v>Value Lookup</v>
      </c>
      <c r="F320" s="4" t="str">
        <f>IF(ISERROR("TRPACCMP"),"",HYPERLINK("#INDEX('Frequencies'!A:A,MATCH(A" &amp; ROW() &amp; ",'Frequencies'!A:A,0))","Frequencies"))</f>
        <v>Frequencies</v>
      </c>
      <c r="G320" s="2"/>
      <c r="H320" s="2"/>
      <c r="I320" s="2"/>
      <c r="J320" s="2">
        <v>25</v>
      </c>
      <c r="K320" s="2"/>
      <c r="L320" s="2"/>
    </row>
    <row r="321" spans="1:12" ht="49.95" customHeight="1" x14ac:dyDescent="0.3">
      <c r="A321" s="3" t="s">
        <v>749</v>
      </c>
      <c r="B321" s="2" t="s">
        <v>750</v>
      </c>
      <c r="C321" s="2" t="s">
        <v>316</v>
      </c>
      <c r="D321" s="2" t="s">
        <v>15</v>
      </c>
      <c r="E321" s="4" t="str">
        <f>IF(ISERROR("TRPHHACC"),"",HYPERLINK("#INDEX('Value Lookup'!A:A,MATCH(A" &amp; ROW() &amp; ",'Value Lookup'!A:A,0))","Value Lookup"))</f>
        <v>Value Lookup</v>
      </c>
      <c r="F321" s="4" t="str">
        <f>IF(ISERROR("TRPHHACC"),"",HYPERLINK("#INDEX('Frequencies'!A:A,MATCH(A" &amp; ROW() &amp; ",'Frequencies'!A:A,0))","Frequencies"))</f>
        <v>Frequencies</v>
      </c>
      <c r="G321" s="2"/>
      <c r="H321" s="2"/>
      <c r="I321" s="2"/>
      <c r="J321" s="2">
        <v>26</v>
      </c>
      <c r="K321" s="2"/>
      <c r="L321" s="2"/>
    </row>
    <row r="322" spans="1:12" ht="49.95" customHeight="1" x14ac:dyDescent="0.3">
      <c r="A322" s="3" t="s">
        <v>751</v>
      </c>
      <c r="B322" s="2" t="s">
        <v>752</v>
      </c>
      <c r="C322" s="2"/>
      <c r="D322" s="2" t="s">
        <v>15</v>
      </c>
      <c r="E322" s="4" t="str">
        <f>IF(ISERROR("TRPHHVEH"),"",HYPERLINK("#INDEX('Value Lookup'!A:A,MATCH(A" &amp; ROW() &amp; ",'Value Lookup'!A:A,0))","Value Lookup"))</f>
        <v>Value Lookup</v>
      </c>
      <c r="F322" s="4" t="str">
        <f>IF(ISERROR("TRPHHVEH"),"",HYPERLINK("#INDEX('Frequencies'!A:A,MATCH(A" &amp; ROW() &amp; ",'Frequencies'!A:A,0))","Frequencies"))</f>
        <v>Frequencies</v>
      </c>
      <c r="G322" s="2"/>
      <c r="H322" s="2"/>
      <c r="I322" s="2"/>
      <c r="J322" s="2">
        <v>39</v>
      </c>
      <c r="K322" s="2"/>
      <c r="L322" s="2"/>
    </row>
    <row r="323" spans="1:12" ht="49.95" customHeight="1" x14ac:dyDescent="0.3">
      <c r="A323" s="3" t="s">
        <v>753</v>
      </c>
      <c r="B323" s="2" t="s">
        <v>754</v>
      </c>
      <c r="C323" s="2"/>
      <c r="D323" s="2" t="s">
        <v>41</v>
      </c>
      <c r="E323" s="4" t="str">
        <f>IF(ISERROR("TRPMILES"),"",HYPERLINK("#INDEX('Value Lookup'!A:A,MATCH(A" &amp; ROW() &amp; ",'Value Lookup'!A:A,0))","Value Lookup"))</f>
        <v>Value Lookup</v>
      </c>
      <c r="F323" s="4" t="str">
        <f>IF(ISERROR("TRPMILES"),"",HYPERLINK("#INDEX('Frequencies'!A:A,MATCH(A" &amp; ROW() &amp; ",'Frequencies'!A:A,0))","Frequencies"))</f>
        <v>Frequencies</v>
      </c>
      <c r="G323" s="2"/>
      <c r="H323" s="2"/>
      <c r="I323" s="2"/>
      <c r="J323" s="2">
        <v>18</v>
      </c>
      <c r="K323" s="2"/>
      <c r="L323" s="2"/>
    </row>
    <row r="324" spans="1:12" ht="49.95" customHeight="1" x14ac:dyDescent="0.3">
      <c r="A324" s="3" t="s">
        <v>755</v>
      </c>
      <c r="B324" s="2" t="s">
        <v>756</v>
      </c>
      <c r="C324" s="2"/>
      <c r="D324" s="2" t="s">
        <v>41</v>
      </c>
      <c r="E324" s="2" t="str">
        <f>IF(ISERROR("TRPMILES17"),"","NA")</f>
        <v>NA</v>
      </c>
      <c r="F324" s="4" t="str">
        <f>IF(ISERROR("TRPMILES17"),"",HYPERLINK("#INDEX('Frequencies'!A:A,MATCH(A" &amp; ROW() &amp; ",'Frequencies'!A:A,0))","Frequencies"))</f>
        <v>Frequencies</v>
      </c>
      <c r="G324" s="2"/>
      <c r="H324" s="2"/>
      <c r="I324" s="2"/>
      <c r="J324" s="2">
        <v>17</v>
      </c>
      <c r="K324" s="2"/>
      <c r="L324" s="2"/>
    </row>
    <row r="325" spans="1:12" ht="49.95" customHeight="1" x14ac:dyDescent="0.3">
      <c r="A325" s="3" t="s">
        <v>757</v>
      </c>
      <c r="B325" s="2" t="s">
        <v>758</v>
      </c>
      <c r="C325" s="2" t="s">
        <v>759</v>
      </c>
      <c r="D325" s="2" t="s">
        <v>15</v>
      </c>
      <c r="E325" s="4" t="str">
        <f>IF(ISERROR("TRPPUB"),"",HYPERLINK("#INDEX('Value Lookup'!A:A,MATCH(A" &amp; ROW() &amp; ",'Value Lookup'!A:A,0))","Value Lookup"))</f>
        <v>Value Lookup</v>
      </c>
      <c r="F325" s="4" t="str">
        <f>IF(ISERROR("TRPPUB"),"",HYPERLINK("#INDEX('Frequencies'!A:A,MATCH(A" &amp; ROW() &amp; ",'Frequencies'!A:A,0))","Frequencies"))</f>
        <v>Frequencies</v>
      </c>
      <c r="G325" s="2"/>
      <c r="H325" s="2"/>
      <c r="I325" s="2"/>
      <c r="J325" s="2">
        <v>21</v>
      </c>
      <c r="K325" s="2"/>
      <c r="L325" s="2"/>
    </row>
    <row r="326" spans="1:12" ht="49.95" customHeight="1" x14ac:dyDescent="0.3">
      <c r="A326" s="3" t="s">
        <v>760</v>
      </c>
      <c r="B326" s="2" t="s">
        <v>761</v>
      </c>
      <c r="C326" s="2"/>
      <c r="D326" s="2" t="s">
        <v>15</v>
      </c>
      <c r="E326" s="4" t="str">
        <f>IF(ISERROR("TRPTRANS"),"",HYPERLINK("#INDEX('Value Lookup'!A:A,MATCH(A" &amp; ROW() &amp; ",'Value Lookup'!A:A,0))","Value Lookup"))</f>
        <v>Value Lookup</v>
      </c>
      <c r="F326" s="4" t="str">
        <f>IF(ISERROR("TRPTRANS"),"",HYPERLINK("#INDEX('Frequencies'!A:A,MATCH(A" &amp; ROW() &amp; ",'Frequencies'!A:A,0))","Frequencies"))</f>
        <v>Frequencies</v>
      </c>
      <c r="G326" s="2"/>
      <c r="H326" s="2"/>
      <c r="I326" s="2"/>
      <c r="J326" s="2">
        <v>22</v>
      </c>
      <c r="K326" s="2"/>
      <c r="L326" s="2"/>
    </row>
    <row r="327" spans="1:12" ht="49.95" customHeight="1" x14ac:dyDescent="0.3">
      <c r="A327" s="3" t="s">
        <v>762</v>
      </c>
      <c r="B327" s="2" t="s">
        <v>763</v>
      </c>
      <c r="C327" s="2" t="s">
        <v>764</v>
      </c>
      <c r="D327" s="2" t="s">
        <v>15</v>
      </c>
      <c r="E327" s="4" t="str">
        <f>IF(ISERROR("TRPTRANS17"),"",HYPERLINK("#INDEX('Value Lookup'!A:A,MATCH(A" &amp; ROW() &amp; ",'Value Lookup'!A:A,0))","Value Lookup"))</f>
        <v>Value Lookup</v>
      </c>
      <c r="F327" s="4" t="str">
        <f>IF(ISERROR("TRPTRANS17"),"",HYPERLINK("#INDEX('Frequencies'!A:A,MATCH(A" &amp; ROW() &amp; ",'Frequencies'!A:A,0))","Frequencies"))</f>
        <v>Frequencies</v>
      </c>
      <c r="G327" s="2"/>
      <c r="H327" s="2"/>
      <c r="I327" s="2"/>
      <c r="J327" s="2">
        <v>23</v>
      </c>
      <c r="K327" s="2"/>
      <c r="L327" s="2"/>
    </row>
    <row r="328" spans="1:12" ht="49.95" customHeight="1" x14ac:dyDescent="0.3">
      <c r="A328" s="3" t="s">
        <v>765</v>
      </c>
      <c r="B328" s="2" t="s">
        <v>766</v>
      </c>
      <c r="C328" s="2" t="s">
        <v>767</v>
      </c>
      <c r="D328" s="2" t="s">
        <v>15</v>
      </c>
      <c r="E328" s="4" t="str">
        <f>IF(ISERROR("TRPTRNOS"),"",HYPERLINK("#INDEX('Value Lookup'!A:A,MATCH(A" &amp; ROW() &amp; ",'Value Lookup'!A:A,0))","Value Lookup"))</f>
        <v>Value Lookup</v>
      </c>
      <c r="F328" s="4" t="str">
        <f>IF(ISERROR("TRPTRNOS"),"",HYPERLINK("#INDEX('Frequencies'!A:A,MATCH(A" &amp; ROW() &amp; ",'Frequencies'!A:A,0))","Frequencies"))</f>
        <v>Frequencies</v>
      </c>
      <c r="G328" s="2"/>
      <c r="H328" s="2"/>
      <c r="I328" s="2"/>
      <c r="J328" s="2">
        <v>24</v>
      </c>
      <c r="K328" s="2"/>
      <c r="L328" s="2"/>
    </row>
    <row r="329" spans="1:12" ht="49.95" customHeight="1" x14ac:dyDescent="0.3">
      <c r="A329" s="3" t="s">
        <v>768</v>
      </c>
      <c r="B329" s="2" t="s">
        <v>769</v>
      </c>
      <c r="C329" s="2"/>
      <c r="D329" s="2" t="s">
        <v>41</v>
      </c>
      <c r="E329" s="4" t="str">
        <f>IF(ISERROR("TRVLCMIN"),"",HYPERLINK("#INDEX('Value Lookup'!A:A,MATCH(A" &amp; ROW() &amp; ",'Value Lookup'!A:A,0))","Value Lookup"))</f>
        <v>Value Lookup</v>
      </c>
      <c r="F329" s="4" t="str">
        <f>IF(ISERROR("TRVLCMIN"),"",HYPERLINK("#INDEX('Frequencies'!A:A,MATCH(A" &amp; ROW() &amp; ",'Frequencies'!A:A,0))","Frequencies"))</f>
        <v>Frequencies</v>
      </c>
      <c r="G329" s="2"/>
      <c r="H329" s="2"/>
      <c r="I329" s="2"/>
      <c r="J329" s="2">
        <v>16</v>
      </c>
      <c r="K329" s="2"/>
      <c r="L329" s="2"/>
    </row>
    <row r="330" spans="1:12" ht="49.95" customHeight="1" x14ac:dyDescent="0.3">
      <c r="A330" s="3" t="s">
        <v>770</v>
      </c>
      <c r="B330" s="2" t="s">
        <v>771</v>
      </c>
      <c r="C330" s="2" t="s">
        <v>772</v>
      </c>
      <c r="D330" s="2" t="s">
        <v>41</v>
      </c>
      <c r="E330" s="2" t="str">
        <f>IF(ISERROR("TRWAITTM"),"","Range: 0 - 60")</f>
        <v>Range: 0 - 60</v>
      </c>
      <c r="F330" s="4" t="str">
        <f>IF(ISERROR("TRWAITTM"),"",HYPERLINK("#INDEX('Frequencies'!A:A,MATCH(A" &amp; ROW() &amp; ",'Frequencies'!A:A,0))","Frequencies"))</f>
        <v>Frequencies</v>
      </c>
      <c r="G330" s="2"/>
      <c r="H330" s="2"/>
      <c r="I330" s="2"/>
      <c r="J330" s="2">
        <v>28</v>
      </c>
      <c r="K330" s="2"/>
      <c r="L330" s="2"/>
    </row>
    <row r="331" spans="1:12" ht="49.95" customHeight="1" x14ac:dyDescent="0.3">
      <c r="A331" s="3" t="s">
        <v>773</v>
      </c>
      <c r="B331" s="2" t="s">
        <v>774</v>
      </c>
      <c r="C331" s="2"/>
      <c r="D331" s="2" t="s">
        <v>15</v>
      </c>
      <c r="E331" s="4" t="str">
        <f>IF(ISERROR("URBAN"),"",HYPERLINK("#INDEX('Value Lookup'!A:A,MATCH(A" &amp; ROW() &amp; ",'Value Lookup'!A:A,0))","Value Lookup"))</f>
        <v>Value Lookup</v>
      </c>
      <c r="F331" s="4" t="str">
        <f>IF(ISERROR("URBAN"),"",HYPERLINK("#INDEX('Frequencies'!A:A,MATCH(A" &amp; ROW() &amp; ",'Frequencies'!A:A,0))","Frequencies"))</f>
        <v>Frequencies</v>
      </c>
      <c r="G331" s="2">
        <v>50</v>
      </c>
      <c r="H331" s="2"/>
      <c r="I331" s="2"/>
      <c r="J331" s="2"/>
      <c r="K331" s="2"/>
      <c r="L331" s="2"/>
    </row>
    <row r="332" spans="1:12" ht="49.95" customHeight="1" x14ac:dyDescent="0.3">
      <c r="A332" s="3" t="s">
        <v>775</v>
      </c>
      <c r="B332" s="2" t="s">
        <v>776</v>
      </c>
      <c r="C332" s="2"/>
      <c r="D332" s="2" t="s">
        <v>15</v>
      </c>
      <c r="E332" s="4" t="str">
        <f>IF(ISERROR("URBANSIZE"),"",HYPERLINK("#INDEX('Value Lookup'!A:A,MATCH(A" &amp; ROW() &amp; ",'Value Lookup'!A:A,0))","Value Lookup"))</f>
        <v>Value Lookup</v>
      </c>
      <c r="F332" s="4" t="str">
        <f>IF(ISERROR("URBANSIZE"),"",HYPERLINK("#INDEX('Frequencies'!A:A,MATCH(A" &amp; ROW() &amp; ",'Frequencies'!A:A,0))","Frequencies"))</f>
        <v>Frequencies</v>
      </c>
      <c r="G332" s="2">
        <v>51</v>
      </c>
      <c r="H332" s="2"/>
      <c r="I332" s="2"/>
      <c r="J332" s="2"/>
      <c r="K332" s="2"/>
      <c r="L332" s="2"/>
    </row>
    <row r="333" spans="1:12" ht="49.95" customHeight="1" x14ac:dyDescent="0.3">
      <c r="A333" s="3" t="s">
        <v>777</v>
      </c>
      <c r="B333" s="2" t="s">
        <v>778</v>
      </c>
      <c r="C333" s="2"/>
      <c r="D333" s="2" t="s">
        <v>15</v>
      </c>
      <c r="E333" s="4" t="str">
        <f>IF(ISERROR("URBRUR"),"",HYPERLINK("#INDEX('Value Lookup'!A:A,MATCH(A" &amp; ROW() &amp; ",'Value Lookup'!A:A,0))","Value Lookup"))</f>
        <v>Value Lookup</v>
      </c>
      <c r="F333" s="4" t="str">
        <f>IF(ISERROR("URBRUR"),"",HYPERLINK("#INDEX('Frequencies'!A:A,MATCH(A" &amp; ROW() &amp; ",'Frequencies'!A:A,0))","Frequencies"))</f>
        <v>Frequencies</v>
      </c>
      <c r="G333" s="2">
        <v>52</v>
      </c>
      <c r="H333" s="2"/>
      <c r="I333" s="2"/>
      <c r="J333" s="2"/>
      <c r="K333" s="2"/>
      <c r="L333" s="2"/>
    </row>
    <row r="334" spans="1:12" ht="49.95" customHeight="1" x14ac:dyDescent="0.3">
      <c r="A334" s="3" t="s">
        <v>779</v>
      </c>
      <c r="B334" s="2" t="s">
        <v>780</v>
      </c>
      <c r="C334" s="2"/>
      <c r="D334" s="2" t="s">
        <v>15</v>
      </c>
      <c r="E334" s="4" t="str">
        <f>IF(ISERROR("USEPUBTR"),"",HYPERLINK("#INDEX('Value Lookup'!A:A,MATCH(A" &amp; ROW() &amp; ",'Value Lookup'!A:A,0))","Value Lookup"))</f>
        <v>Value Lookup</v>
      </c>
      <c r="F334" s="4" t="str">
        <f>IF(ISERROR("USEPUBTR"),"",HYPERLINK("#INDEX('Frequencies'!A:A,MATCH(A" &amp; ROW() &amp; ",'Frequencies'!A:A,0))","Frequencies"))</f>
        <v>Frequencies</v>
      </c>
      <c r="G334" s="2"/>
      <c r="H334" s="2">
        <v>83</v>
      </c>
      <c r="I334" s="2"/>
      <c r="J334" s="2"/>
      <c r="K334" s="2"/>
      <c r="L334" s="2"/>
    </row>
    <row r="335" spans="1:12" ht="49.95" customHeight="1" x14ac:dyDescent="0.3">
      <c r="A335" s="3" t="s">
        <v>781</v>
      </c>
      <c r="B335" s="2" t="s">
        <v>782</v>
      </c>
      <c r="C335" s="2" t="s">
        <v>783</v>
      </c>
      <c r="D335" s="2" t="s">
        <v>15</v>
      </c>
      <c r="E335" s="4" t="str">
        <f>IF(ISERROR("USEPUBTR17"),"",HYPERLINK("#INDEX('Value Lookup'!A:A,MATCH(A" &amp; ROW() &amp; ",'Value Lookup'!A:A,0))","Value Lookup"))</f>
        <v>Value Lookup</v>
      </c>
      <c r="F335" s="4" t="str">
        <f>IF(ISERROR("USEPUBTR17"),"",HYPERLINK("#INDEX('Frequencies'!A:A,MATCH(A" &amp; ROW() &amp; ",'Frequencies'!A:A,0))","Frequencies"))</f>
        <v>Frequencies</v>
      </c>
      <c r="G335" s="2"/>
      <c r="H335" s="2">
        <v>82</v>
      </c>
      <c r="I335" s="2"/>
      <c r="J335" s="2"/>
      <c r="K335" s="2"/>
      <c r="L335" s="2"/>
    </row>
    <row r="336" spans="1:12" ht="49.95" customHeight="1" x14ac:dyDescent="0.3">
      <c r="A336" s="3" t="s">
        <v>784</v>
      </c>
      <c r="B336" s="2" t="s">
        <v>785</v>
      </c>
      <c r="C336" s="2"/>
      <c r="D336" s="2" t="s">
        <v>41</v>
      </c>
      <c r="E336" s="4" t="str">
        <f>IF(ISERROR("VEHAGE"),"",HYPERLINK("#INDEX('Value Lookup'!A:A,MATCH(A" &amp; ROW() &amp; ",'Value Lookup'!A:A,0))","Value Lookup"))</f>
        <v>Value Lookup</v>
      </c>
      <c r="F336" s="4" t="str">
        <f>IF(ISERROR("VEHAGE"),"",HYPERLINK("#INDEX('Frequencies'!A:A,MATCH(A" &amp; ROW() &amp; ",'Frequencies'!A:A,0))","Frequencies"))</f>
        <v>Frequencies</v>
      </c>
      <c r="G336" s="2"/>
      <c r="H336" s="2"/>
      <c r="I336" s="2">
        <v>4</v>
      </c>
      <c r="J336" s="2"/>
      <c r="K336" s="2"/>
      <c r="L336" s="2"/>
    </row>
    <row r="337" spans="1:12" ht="49.95" customHeight="1" x14ac:dyDescent="0.3">
      <c r="A337" s="3" t="s">
        <v>786</v>
      </c>
      <c r="B337" s="2" t="s">
        <v>787</v>
      </c>
      <c r="C337" s="2" t="s">
        <v>788</v>
      </c>
      <c r="D337" s="2" t="s">
        <v>15</v>
      </c>
      <c r="E337" s="4" t="str">
        <f>IF(ISERROR("VEHID"),"",HYPERLINK("#INDEX('Value Lookup'!A:A,MATCH(A" &amp; ROW() &amp; ",'Value Lookup'!A:A,0))","Value Lookup"))</f>
        <v>Value Lookup</v>
      </c>
      <c r="F337" s="4" t="str">
        <f>IF(ISERROR("VEHID"),"",HYPERLINK("#INDEX('Frequencies'!A:A,MATCH(A" &amp; ROW() &amp; ",'Frequencies'!A:A,0))","Frequencies"))</f>
        <v>Frequencies</v>
      </c>
      <c r="G337" s="2"/>
      <c r="H337" s="2"/>
      <c r="I337" s="2">
        <v>2</v>
      </c>
      <c r="J337" s="2">
        <v>27</v>
      </c>
      <c r="K337" s="2"/>
      <c r="L337" s="2"/>
    </row>
    <row r="338" spans="1:12" ht="49.95" customHeight="1" x14ac:dyDescent="0.3">
      <c r="A338" s="3" t="s">
        <v>789</v>
      </c>
      <c r="B338" s="2" t="s">
        <v>790</v>
      </c>
      <c r="C338" s="2" t="s">
        <v>182</v>
      </c>
      <c r="D338" s="2" t="s">
        <v>15</v>
      </c>
      <c r="E338" s="4" t="str">
        <f>IF(ISERROR("VEHMILE2"),"",HYPERLINK("#INDEX('Value Lookup'!A:A,MATCH(A" &amp; ROW() &amp; ",'Value Lookup'!A:A,0))","Value Lookup"))</f>
        <v>Value Lookup</v>
      </c>
      <c r="F338" s="4" t="str">
        <f>IF(ISERROR("VEHMILE2"),"",HYPERLINK("#INDEX('Frequencies'!A:A,MATCH(A" &amp; ROW() &amp; ",'Frequencies'!A:A,0))","Frequencies"))</f>
        <v>Frequencies</v>
      </c>
      <c r="G338" s="2"/>
      <c r="H338" s="2"/>
      <c r="I338" s="2">
        <v>24</v>
      </c>
      <c r="J338" s="2"/>
      <c r="K338" s="2"/>
      <c r="L338" s="2"/>
    </row>
    <row r="339" spans="1:12" ht="49.95" customHeight="1" x14ac:dyDescent="0.3">
      <c r="A339" s="3" t="s">
        <v>791</v>
      </c>
      <c r="B339" s="2" t="s">
        <v>792</v>
      </c>
      <c r="C339" s="2" t="s">
        <v>793</v>
      </c>
      <c r="D339" s="2" t="s">
        <v>41</v>
      </c>
      <c r="E339" s="2" t="str">
        <f>IF(ISERROR("VEHMILES"),"","Range: 0 - 200000")</f>
        <v>Range: 0 - 200000</v>
      </c>
      <c r="F339" s="4" t="str">
        <f>IF(ISERROR("VEHMILES"),"",HYPERLINK("#INDEX('Frequencies'!A:A,MATCH(A" &amp; ROW() &amp; ",'Frequencies'!A:A,0))","Frequencies"))</f>
        <v>Frequencies</v>
      </c>
      <c r="G339" s="2"/>
      <c r="H339" s="2"/>
      <c r="I339" s="2">
        <v>22</v>
      </c>
      <c r="J339" s="2"/>
      <c r="K339" s="2"/>
      <c r="L339" s="2"/>
    </row>
    <row r="340" spans="1:12" ht="49.95" customHeight="1" x14ac:dyDescent="0.3">
      <c r="A340" s="3" t="s">
        <v>794</v>
      </c>
      <c r="B340" s="2" t="s">
        <v>795</v>
      </c>
      <c r="C340" s="2" t="s">
        <v>796</v>
      </c>
      <c r="D340" s="2" t="s">
        <v>15</v>
      </c>
      <c r="E340" s="4" t="str">
        <f>IF(ISERROR("VEHOWNED"),"",HYPERLINK("#INDEX('Value Lookup'!A:A,MATCH(A" &amp; ROW() &amp; ",'Value Lookup'!A:A,0))","Value Lookup"))</f>
        <v>Value Lookup</v>
      </c>
      <c r="F340" s="4" t="str">
        <f>IF(ISERROR("VEHOWNED"),"",HYPERLINK("#INDEX('Frequencies'!A:A,MATCH(A" &amp; ROW() &amp; ",'Frequencies'!A:A,0))","Frequencies"))</f>
        <v>Frequencies</v>
      </c>
      <c r="G340" s="2"/>
      <c r="H340" s="2"/>
      <c r="I340" s="2">
        <v>21</v>
      </c>
      <c r="J340" s="2"/>
      <c r="K340" s="2"/>
      <c r="L340" s="2"/>
    </row>
    <row r="341" spans="1:12" ht="49.95" customHeight="1" x14ac:dyDescent="0.3">
      <c r="A341" s="3" t="s">
        <v>797</v>
      </c>
      <c r="B341" s="2" t="s">
        <v>798</v>
      </c>
      <c r="C341" s="2" t="s">
        <v>799</v>
      </c>
      <c r="D341" s="2" t="s">
        <v>15</v>
      </c>
      <c r="E341" s="2" t="str">
        <f>IF(ISERROR("VEHOWNMO"),"","Range: 0 - 11")</f>
        <v>Range: 0 - 11</v>
      </c>
      <c r="F341" s="4" t="str">
        <f>IF(ISERROR("VEHOWNMO"),"",HYPERLINK("#INDEX('Frequencies'!A:A,MATCH(A" &amp; ROW() &amp; ",'Frequencies'!A:A,0))","Frequencies"))</f>
        <v>Frequencies</v>
      </c>
      <c r="G341" s="2"/>
      <c r="H341" s="2"/>
      <c r="I341" s="2">
        <v>25</v>
      </c>
      <c r="J341" s="2"/>
      <c r="K341" s="2"/>
      <c r="L341" s="2"/>
    </row>
    <row r="342" spans="1:12" ht="49.95" customHeight="1" x14ac:dyDescent="0.3">
      <c r="A342" s="3" t="s">
        <v>800</v>
      </c>
      <c r="B342" s="2" t="s">
        <v>801</v>
      </c>
      <c r="C342" s="2" t="s">
        <v>802</v>
      </c>
      <c r="D342" s="2" t="s">
        <v>15</v>
      </c>
      <c r="E342" s="4" t="str">
        <f>IF(ISERROR("VEHTYOS"),"",HYPERLINK("#INDEX('Value Lookup'!A:A,MATCH(A" &amp; ROW() &amp; ",'Value Lookup'!A:A,0))","Value Lookup"))</f>
        <v>Value Lookup</v>
      </c>
      <c r="F342" s="4" t="str">
        <f>IF(ISERROR("VEHTYOS"),"",HYPERLINK("#INDEX('Frequencies'!A:A,MATCH(A" &amp; ROW() &amp; ",'Frequencies'!A:A,0))","Frequencies"))</f>
        <v>Frequencies</v>
      </c>
      <c r="G342" s="2"/>
      <c r="H342" s="2"/>
      <c r="I342" s="2">
        <v>12</v>
      </c>
      <c r="J342" s="2"/>
      <c r="K342" s="2"/>
      <c r="L342" s="2"/>
    </row>
    <row r="343" spans="1:12" ht="49.95" customHeight="1" x14ac:dyDescent="0.3">
      <c r="A343" s="3" t="s">
        <v>803</v>
      </c>
      <c r="B343" s="2" t="s">
        <v>804</v>
      </c>
      <c r="C343" s="2" t="s">
        <v>805</v>
      </c>
      <c r="D343" s="2" t="s">
        <v>15</v>
      </c>
      <c r="E343" s="4" t="str">
        <f>IF(ISERROR("VEHTYPE"),"",HYPERLINK("#INDEX('Value Lookup'!A:A,MATCH(A" &amp; ROW() &amp; ",'Value Lookup'!A:A,0))","Value Lookup"))</f>
        <v>Value Lookup</v>
      </c>
      <c r="F343" s="4" t="str">
        <f>IF(ISERROR("VEHTYPE"),"",HYPERLINK("#INDEX('Frequencies'!A:A,MATCH(A" &amp; ROW() &amp; ",'Frequencies'!A:A,0))","Frequencies"))</f>
        <v>Frequencies</v>
      </c>
      <c r="G343" s="2"/>
      <c r="H343" s="2"/>
      <c r="I343" s="2">
        <v>11</v>
      </c>
      <c r="J343" s="2"/>
      <c r="K343" s="2"/>
      <c r="L343" s="2"/>
    </row>
    <row r="344" spans="1:12" ht="49.95" customHeight="1" x14ac:dyDescent="0.3">
      <c r="A344" s="3" t="s">
        <v>806</v>
      </c>
      <c r="B344" s="2" t="s">
        <v>807</v>
      </c>
      <c r="C344" s="2" t="s">
        <v>808</v>
      </c>
      <c r="D344" s="2" t="s">
        <v>41</v>
      </c>
      <c r="E344" s="2" t="str">
        <f>IF(ISERROR("VEHYEAR"),"","Range: 1900 - 2017")</f>
        <v>Range: 1900 - 2017</v>
      </c>
      <c r="F344" s="4" t="str">
        <f>IF(ISERROR("VEHYEAR"),"",HYPERLINK("#INDEX('Frequencies'!A:A,MATCH(A" &amp; ROW() &amp; ",'Frequencies'!A:A,0))","Frequencies"))</f>
        <v>Frequencies</v>
      </c>
      <c r="G344" s="2"/>
      <c r="H344" s="2"/>
      <c r="I344" s="2">
        <v>3</v>
      </c>
      <c r="J344" s="2"/>
      <c r="K344" s="2"/>
      <c r="L344" s="2"/>
    </row>
    <row r="345" spans="1:12" ht="49.95" customHeight="1" x14ac:dyDescent="0.3">
      <c r="A345" s="3" t="s">
        <v>809</v>
      </c>
      <c r="B345" s="2" t="s">
        <v>810</v>
      </c>
      <c r="C345" s="2" t="s">
        <v>811</v>
      </c>
      <c r="D345" s="2" t="s">
        <v>15</v>
      </c>
      <c r="E345" s="4" t="str">
        <f>IF(ISERROR("VERESTML"),"",HYPERLINK("#INDEX('Value Lookup'!A:A,MATCH(A" &amp; ROW() &amp; ",'Value Lookup'!A:A,0))","Value Lookup"))</f>
        <v>Value Lookup</v>
      </c>
      <c r="F345" s="4" t="str">
        <f>IF(ISERROR("VERESTML"),"",HYPERLINK("#INDEX('Frequencies'!A:A,MATCH(A" &amp; ROW() &amp; ",'Frequencies'!A:A,0))","Frequencies"))</f>
        <v>Frequencies</v>
      </c>
      <c r="G345" s="2"/>
      <c r="H345" s="2"/>
      <c r="I345" s="2">
        <v>27</v>
      </c>
      <c r="J345" s="2"/>
      <c r="K345" s="2"/>
      <c r="L345" s="2"/>
    </row>
    <row r="346" spans="1:12" ht="49.95" customHeight="1" x14ac:dyDescent="0.3">
      <c r="A346" s="3" t="s">
        <v>812</v>
      </c>
      <c r="B346" s="2" t="s">
        <v>813</v>
      </c>
      <c r="C346" s="2" t="s">
        <v>814</v>
      </c>
      <c r="D346" s="2" t="s">
        <v>15</v>
      </c>
      <c r="E346" s="4" t="str">
        <f>IF(ISERROR("VERMILES"),"",HYPERLINK("#INDEX('Value Lookup'!A:A,MATCH(A" &amp; ROW() &amp; ",'Value Lookup'!A:A,0))","Value Lookup"))</f>
        <v>Value Lookup</v>
      </c>
      <c r="F346" s="4" t="str">
        <f>IF(ISERROR("VERMILES"),"",HYPERLINK("#INDEX('Frequencies'!A:A,MATCH(A" &amp; ROW() &amp; ",'Frequencies'!A:A,0))","Frequencies"))</f>
        <v>Frequencies</v>
      </c>
      <c r="G346" s="2"/>
      <c r="H346" s="2"/>
      <c r="I346" s="2">
        <v>23</v>
      </c>
      <c r="J346" s="2"/>
      <c r="K346" s="2"/>
      <c r="L346" s="2"/>
    </row>
    <row r="347" spans="1:12" ht="49.95" customHeight="1" x14ac:dyDescent="0.3">
      <c r="A347" s="3" t="s">
        <v>815</v>
      </c>
      <c r="B347" s="2" t="s">
        <v>816</v>
      </c>
      <c r="C347" s="2" t="s">
        <v>817</v>
      </c>
      <c r="D347" s="2" t="s">
        <v>15</v>
      </c>
      <c r="E347" s="4" t="str">
        <f>IF(ISERROR("VERYRMIL"),"",HYPERLINK("#INDEX('Value Lookup'!A:A,MATCH(A" &amp; ROW() &amp; ",'Value Lookup'!A:A,0))","Value Lookup"))</f>
        <v>Value Lookup</v>
      </c>
      <c r="F347" s="4" t="str">
        <f>IF(ISERROR("VERYRMIL"),"",HYPERLINK("#INDEX('Frequencies'!A:A,MATCH(A" &amp; ROW() &amp; ",'Frequencies'!A:A,0))","Frequencies"))</f>
        <v>Frequencies</v>
      </c>
      <c r="G347" s="2"/>
      <c r="H347" s="2">
        <v>78</v>
      </c>
      <c r="I347" s="2"/>
      <c r="J347" s="2"/>
      <c r="K347" s="2"/>
      <c r="L347" s="2"/>
    </row>
    <row r="348" spans="1:12" ht="49.95" customHeight="1" x14ac:dyDescent="0.3">
      <c r="A348" s="3" t="s">
        <v>818</v>
      </c>
      <c r="B348" s="2" t="s">
        <v>819</v>
      </c>
      <c r="C348" s="2"/>
      <c r="D348" s="2" t="s">
        <v>41</v>
      </c>
      <c r="E348" s="4" t="str">
        <f>IF(ISERROR("VMT_MILE"),"",HYPERLINK("#INDEX('Value Lookup'!A:A,MATCH(A" &amp; ROW() &amp; ",'Value Lookup'!A:A,0))","Value Lookup"))</f>
        <v>Value Lookup</v>
      </c>
      <c r="F348" s="4" t="str">
        <f>IF(ISERROR("VMT_MILE"),"",HYPERLINK("#INDEX('Frequencies'!A:A,MATCH(A" &amp; ROW() &amp; ",'Frequencies'!A:A,0))","Frequencies"))</f>
        <v>Frequencies</v>
      </c>
      <c r="G348" s="2"/>
      <c r="H348" s="2"/>
      <c r="I348" s="2"/>
      <c r="J348" s="2">
        <v>49</v>
      </c>
      <c r="K348" s="2"/>
      <c r="L348" s="2"/>
    </row>
    <row r="349" spans="1:12" ht="49.95" customHeight="1" x14ac:dyDescent="0.3">
      <c r="A349" s="3" t="s">
        <v>820</v>
      </c>
      <c r="B349" s="2" t="s">
        <v>821</v>
      </c>
      <c r="C349" s="2"/>
      <c r="D349" s="2" t="s">
        <v>41</v>
      </c>
      <c r="E349" s="4" t="str">
        <f>IF(ISERROR("VMT_MILE17"),"",HYPERLINK("#INDEX('Value Lookup'!A:A,MATCH(A" &amp; ROW() &amp; ",'Value Lookup'!A:A,0))","Value Lookup"))</f>
        <v>Value Lookup</v>
      </c>
      <c r="F349" s="4" t="str">
        <f>IF(ISERROR("VMT_MILE17"),"",HYPERLINK("#INDEX('Frequencies'!A:A,MATCH(A" &amp; ROW() &amp; ",'Frequencies'!A:A,0))","Frequencies"))</f>
        <v>Frequencies</v>
      </c>
      <c r="G349" s="2"/>
      <c r="H349" s="2"/>
      <c r="I349" s="2"/>
      <c r="J349" s="2">
        <v>50</v>
      </c>
      <c r="K349" s="2"/>
      <c r="L349" s="2"/>
    </row>
    <row r="350" spans="1:12" ht="49.95" customHeight="1" x14ac:dyDescent="0.3">
      <c r="A350" s="3" t="s">
        <v>822</v>
      </c>
      <c r="B350" s="2" t="s">
        <v>823</v>
      </c>
      <c r="C350" s="2" t="s">
        <v>824</v>
      </c>
      <c r="D350" s="2" t="s">
        <v>41</v>
      </c>
      <c r="E350" s="2" t="str">
        <f>IF(ISERROR("VPACT"),"","Range: 0 - 21")</f>
        <v>Range: 0 - 21</v>
      </c>
      <c r="F350" s="4" t="str">
        <f>IF(ISERROR("VPACT"),"",HYPERLINK("#INDEX('Frequencies'!A:A,MATCH(A" &amp; ROW() &amp; ",'Frequencies'!A:A,0))","Frequencies"))</f>
        <v>Frequencies</v>
      </c>
      <c r="G350" s="2"/>
      <c r="H350" s="2">
        <v>72</v>
      </c>
      <c r="I350" s="2"/>
      <c r="J350" s="2"/>
      <c r="K350" s="2"/>
      <c r="L350" s="2"/>
    </row>
    <row r="351" spans="1:12" ht="49.95" customHeight="1" x14ac:dyDescent="0.3">
      <c r="A351" s="3" t="s">
        <v>825</v>
      </c>
      <c r="B351" s="2" t="s">
        <v>826</v>
      </c>
      <c r="C351" s="2" t="s">
        <v>827</v>
      </c>
      <c r="D351" s="2" t="s">
        <v>15</v>
      </c>
      <c r="E351" s="4" t="str">
        <f>IF(ISERROR("WALK"),"",HYPERLINK("#INDEX('Value Lookup'!A:A,MATCH(A" &amp; ROW() &amp; ",'Value Lookup'!A:A,0))","Value Lookup"))</f>
        <v>Value Lookup</v>
      </c>
      <c r="F351" s="4" t="str">
        <f>IF(ISERROR("WALK"),"",HYPERLINK("#INDEX('Frequencies'!A:A,MATCH(A" &amp; ROW() &amp; ",'Frequencies'!A:A,0))","Frequencies"))</f>
        <v>Frequencies</v>
      </c>
      <c r="G351" s="2">
        <v>22</v>
      </c>
      <c r="H351" s="2"/>
      <c r="I351" s="2"/>
      <c r="J351" s="2"/>
      <c r="K351" s="2"/>
      <c r="L351" s="2"/>
    </row>
    <row r="352" spans="1:12" ht="49.95" customHeight="1" x14ac:dyDescent="0.3">
      <c r="A352" s="3" t="s">
        <v>828</v>
      </c>
      <c r="B352" s="2" t="s">
        <v>829</v>
      </c>
      <c r="C352" s="2" t="s">
        <v>830</v>
      </c>
      <c r="D352" s="2" t="s">
        <v>15</v>
      </c>
      <c r="E352" s="4" t="str">
        <f>IF(ISERROR("WALK2SAVE"),"",HYPERLINK("#INDEX('Value Lookup'!A:A,MATCH(A" &amp; ROW() &amp; ",'Value Lookup'!A:A,0))","Value Lookup"))</f>
        <v>Value Lookup</v>
      </c>
      <c r="F352" s="4" t="str">
        <f>IF(ISERROR("WALK2SAVE"),"",HYPERLINK("#INDEX('Frequencies'!A:A,MATCH(A" &amp; ROW() &amp; ",'Frequencies'!A:A,0))","Frequencies"))</f>
        <v>Frequencies</v>
      </c>
      <c r="G352" s="2">
        <v>31</v>
      </c>
      <c r="H352" s="2"/>
      <c r="I352" s="2"/>
      <c r="J352" s="2"/>
      <c r="K352" s="2"/>
      <c r="L352" s="2"/>
    </row>
    <row r="353" spans="1:12" ht="49.95" customHeight="1" x14ac:dyDescent="0.3">
      <c r="A353" s="3" t="s">
        <v>831</v>
      </c>
      <c r="B353" s="2" t="s">
        <v>832</v>
      </c>
      <c r="C353" s="2" t="s">
        <v>833</v>
      </c>
      <c r="D353" s="2" t="s">
        <v>41</v>
      </c>
      <c r="E353" s="2" t="str">
        <f>IF(ISERROR("WALK4EX"),"","Range: 0 - [$NWALKTRIP]")</f>
        <v>Range: 0 - [$NWALKTRIP]</v>
      </c>
      <c r="F353" s="4" t="str">
        <f>IF(ISERROR("WALK4EX"),"",HYPERLINK("#INDEX('Frequencies'!A:A,MATCH(A" &amp; ROW() &amp; ",'Frequencies'!A:A,0))","Frequencies"))</f>
        <v>Frequencies</v>
      </c>
      <c r="G353" s="2"/>
      <c r="H353" s="2">
        <v>24</v>
      </c>
      <c r="I353" s="2"/>
      <c r="J353" s="2"/>
      <c r="K353" s="2"/>
      <c r="L353" s="2"/>
    </row>
    <row r="354" spans="1:12" ht="49.95" customHeight="1" x14ac:dyDescent="0.3">
      <c r="A354" s="3" t="s">
        <v>834</v>
      </c>
      <c r="B354" s="2" t="s">
        <v>835</v>
      </c>
      <c r="C354" s="2" t="s">
        <v>836</v>
      </c>
      <c r="D354" s="2" t="s">
        <v>15</v>
      </c>
      <c r="E354" s="4" t="str">
        <f>IF(ISERROR("WALK_D"),"",HYPERLINK("#INDEX('Value Lookup'!A:A,MATCH(A" &amp; ROW() &amp; ",'Value Lookup'!A:A,0))","Value Lookup"))</f>
        <v>Value Lookup</v>
      </c>
      <c r="F354" s="4" t="str">
        <f>IF(ISERROR("WALK_D"),"",HYPERLINK("#INDEX('Frequencies'!A:A,MATCH(A" &amp; ROW() &amp; ",'Frequencies'!A:A,0))","Frequencies"))</f>
        <v>Frequencies</v>
      </c>
      <c r="G354" s="2"/>
      <c r="H354" s="2">
        <v>37</v>
      </c>
      <c r="I354" s="2"/>
      <c r="J354" s="2"/>
      <c r="K354" s="2"/>
      <c r="L354" s="2"/>
    </row>
    <row r="355" spans="1:12" ht="49.95" customHeight="1" x14ac:dyDescent="0.3">
      <c r="A355" s="3" t="s">
        <v>837</v>
      </c>
      <c r="B355" s="2" t="s">
        <v>838</v>
      </c>
      <c r="C355" s="2" t="s">
        <v>836</v>
      </c>
      <c r="D355" s="2" t="s">
        <v>15</v>
      </c>
      <c r="E355" s="4" t="str">
        <f>IF(ISERROR("WALK_DK"),"",HYPERLINK("#INDEX('Value Lookup'!A:A,MATCH(A" &amp; ROW() &amp; ",'Value Lookup'!A:A,0))","Value Lookup"))</f>
        <v>Value Lookup</v>
      </c>
      <c r="F355" s="4" t="str">
        <f>IF(ISERROR("WALK_DK"),"",HYPERLINK("#INDEX('Frequencies'!A:A,MATCH(A" &amp; ROW() &amp; ",'Frequencies'!A:A,0))","Frequencies"))</f>
        <v>Frequencies</v>
      </c>
      <c r="G355" s="2"/>
      <c r="H355" s="2">
        <v>44</v>
      </c>
      <c r="I355" s="2"/>
      <c r="J355" s="2"/>
      <c r="K355" s="2"/>
      <c r="L355" s="2"/>
    </row>
    <row r="356" spans="1:12" ht="49.95" customHeight="1" x14ac:dyDescent="0.3">
      <c r="A356" s="3" t="s">
        <v>839</v>
      </c>
      <c r="B356" s="2" t="s">
        <v>840</v>
      </c>
      <c r="C356" s="2" t="s">
        <v>836</v>
      </c>
      <c r="D356" s="2" t="s">
        <v>15</v>
      </c>
      <c r="E356" s="4" t="str">
        <f>IF(ISERROR("WALK_E"),"",HYPERLINK("#INDEX('Value Lookup'!A:A,MATCH(A" &amp; ROW() &amp; ",'Value Lookup'!A:A,0))","Value Lookup"))</f>
        <v>Value Lookup</v>
      </c>
      <c r="F356" s="4" t="str">
        <f>IF(ISERROR("WALK_E"),"",HYPERLINK("#INDEX('Frequencies'!A:A,MATCH(A" &amp; ROW() &amp; ",'Frequencies'!A:A,0))","Frequencies"))</f>
        <v>Frequencies</v>
      </c>
      <c r="G356" s="2"/>
      <c r="H356" s="2">
        <v>38</v>
      </c>
      <c r="I356" s="2"/>
      <c r="J356" s="2"/>
      <c r="K356" s="2"/>
      <c r="L356" s="2"/>
    </row>
    <row r="357" spans="1:12" ht="49.95" customHeight="1" x14ac:dyDescent="0.3">
      <c r="A357" s="3" t="s">
        <v>841</v>
      </c>
      <c r="B357" s="2" t="s">
        <v>842</v>
      </c>
      <c r="C357" s="2" t="s">
        <v>836</v>
      </c>
      <c r="D357" s="2" t="s">
        <v>15</v>
      </c>
      <c r="E357" s="4" t="str">
        <f>IF(ISERROR("WALK_F"),"",HYPERLINK("#INDEX('Value Lookup'!A:A,MATCH(A" &amp; ROW() &amp; ",'Value Lookup'!A:A,0))","Value Lookup"))</f>
        <v>Value Lookup</v>
      </c>
      <c r="F357" s="4" t="str">
        <f>IF(ISERROR("WALK_F"),"",HYPERLINK("#INDEX('Frequencies'!A:A,MATCH(A" &amp; ROW() &amp; ",'Frequencies'!A:A,0))","Frequencies"))</f>
        <v>Frequencies</v>
      </c>
      <c r="G357" s="2"/>
      <c r="H357" s="2">
        <v>39</v>
      </c>
      <c r="I357" s="2"/>
      <c r="J357" s="2"/>
      <c r="K357" s="2"/>
      <c r="L357" s="2"/>
    </row>
    <row r="358" spans="1:12" ht="49.95" customHeight="1" x14ac:dyDescent="0.3">
      <c r="A358" s="3" t="s">
        <v>843</v>
      </c>
      <c r="B358" s="2" t="s">
        <v>844</v>
      </c>
      <c r="C358" s="2" t="s">
        <v>836</v>
      </c>
      <c r="D358" s="2" t="s">
        <v>15</v>
      </c>
      <c r="E358" s="4" t="str">
        <f>IF(ISERROR("WALK_G"),"",HYPERLINK("#INDEX('Value Lookup'!A:A,MATCH(A" &amp; ROW() &amp; ",'Value Lookup'!A:A,0))","Value Lookup"))</f>
        <v>Value Lookup</v>
      </c>
      <c r="F358" s="4" t="str">
        <f>IF(ISERROR("WALK_G"),"",HYPERLINK("#INDEX('Frequencies'!A:A,MATCH(A" &amp; ROW() &amp; ",'Frequencies'!A:A,0))","Frequencies"))</f>
        <v>Frequencies</v>
      </c>
      <c r="G358" s="2"/>
      <c r="H358" s="2">
        <v>40</v>
      </c>
      <c r="I358" s="2"/>
      <c r="J358" s="2"/>
      <c r="K358" s="2"/>
      <c r="L358" s="2"/>
    </row>
    <row r="359" spans="1:12" ht="49.95" customHeight="1" x14ac:dyDescent="0.3">
      <c r="A359" s="3" t="s">
        <v>845</v>
      </c>
      <c r="B359" s="2" t="s">
        <v>846</v>
      </c>
      <c r="C359" s="2" t="s">
        <v>836</v>
      </c>
      <c r="D359" s="2" t="s">
        <v>15</v>
      </c>
      <c r="E359" s="4" t="str">
        <f>IF(ISERROR("WALK_K"),"",HYPERLINK("#INDEX('Value Lookup'!A:A,MATCH(A" &amp; ROW() &amp; ",'Value Lookup'!A:A,0))","Value Lookup"))</f>
        <v>Value Lookup</v>
      </c>
      <c r="F359" s="4" t="str">
        <f>IF(ISERROR("WALK_K"),"",HYPERLINK("#INDEX('Frequencies'!A:A,MATCH(A" &amp; ROW() &amp; ",'Frequencies'!A:A,0))","Frequencies"))</f>
        <v>Frequencies</v>
      </c>
      <c r="G359" s="2"/>
      <c r="H359" s="2">
        <v>41</v>
      </c>
      <c r="I359" s="2"/>
      <c r="J359" s="2"/>
      <c r="K359" s="2"/>
      <c r="L359" s="2"/>
    </row>
    <row r="360" spans="1:12" ht="49.95" customHeight="1" x14ac:dyDescent="0.3">
      <c r="A360" s="3" t="s">
        <v>847</v>
      </c>
      <c r="B360" s="2" t="s">
        <v>848</v>
      </c>
      <c r="C360" s="2" t="s">
        <v>836</v>
      </c>
      <c r="D360" s="2" t="s">
        <v>15</v>
      </c>
      <c r="E360" s="4" t="str">
        <f>IF(ISERROR("WALK_Q"),"",HYPERLINK("#INDEX('Value Lookup'!A:A,MATCH(A" &amp; ROW() &amp; ",'Value Lookup'!A:A,0))","Value Lookup"))</f>
        <v>Value Lookup</v>
      </c>
      <c r="F360" s="4" t="str">
        <f>IF(ISERROR("WALK_Q"),"",HYPERLINK("#INDEX('Frequencies'!A:A,MATCH(A" &amp; ROW() &amp; ",'Frequencies'!A:A,0))","Frequencies"))</f>
        <v>Frequencies</v>
      </c>
      <c r="G360" s="2"/>
      <c r="H360" s="2">
        <v>42</v>
      </c>
      <c r="I360" s="2"/>
      <c r="J360" s="2"/>
      <c r="K360" s="2"/>
      <c r="L360" s="2"/>
    </row>
    <row r="361" spans="1:12" ht="49.95" customHeight="1" x14ac:dyDescent="0.3">
      <c r="A361" s="3" t="s">
        <v>849</v>
      </c>
      <c r="B361" s="2" t="s">
        <v>850</v>
      </c>
      <c r="C361" s="2" t="s">
        <v>836</v>
      </c>
      <c r="D361" s="2" t="s">
        <v>15</v>
      </c>
      <c r="E361" s="4" t="str">
        <f>IF(ISERROR("WALK_RF"),"",HYPERLINK("#INDEX('Value Lookup'!A:A,MATCH(A" &amp; ROW() &amp; ",'Value Lookup'!A:A,0))","Value Lookup"))</f>
        <v>Value Lookup</v>
      </c>
      <c r="F361" s="4" t="str">
        <f>IF(ISERROR("WALK_RF"),"",HYPERLINK("#INDEX('Frequencies'!A:A,MATCH(A" &amp; ROW() &amp; ",'Frequencies'!A:A,0))","Frequencies"))</f>
        <v>Frequencies</v>
      </c>
      <c r="G361" s="2"/>
      <c r="H361" s="2">
        <v>45</v>
      </c>
      <c r="I361" s="2"/>
      <c r="J361" s="2"/>
      <c r="K361" s="2"/>
      <c r="L361" s="2"/>
    </row>
    <row r="362" spans="1:12" ht="49.95" customHeight="1" x14ac:dyDescent="0.3">
      <c r="A362" s="3" t="s">
        <v>851</v>
      </c>
      <c r="B362" s="2" t="s">
        <v>852</v>
      </c>
      <c r="C362" s="2" t="s">
        <v>836</v>
      </c>
      <c r="D362" s="2" t="s">
        <v>15</v>
      </c>
      <c r="E362" s="4" t="str">
        <f>IF(ISERROR("WALK_Z"),"",HYPERLINK("#INDEX('Value Lookup'!A:A,MATCH(A" &amp; ROW() &amp; ",'Value Lookup'!A:A,0))","Value Lookup"))</f>
        <v>Value Lookup</v>
      </c>
      <c r="F362" s="4" t="str">
        <f>IF(ISERROR("WALK_Z"),"",HYPERLINK("#INDEX('Frequencies'!A:A,MATCH(A" &amp; ROW() &amp; ",'Frequencies'!A:A,0))","Frequencies"))</f>
        <v>Frequencies</v>
      </c>
      <c r="G362" s="2"/>
      <c r="H362" s="2">
        <v>43</v>
      </c>
      <c r="I362" s="2"/>
      <c r="J362" s="2"/>
      <c r="K362" s="2"/>
      <c r="L362" s="2"/>
    </row>
    <row r="363" spans="1:12" ht="49.95" customHeight="1" x14ac:dyDescent="0.3">
      <c r="A363" s="3" t="s">
        <v>853</v>
      </c>
      <c r="B363" s="2" t="s">
        <v>854</v>
      </c>
      <c r="C363" s="2" t="s">
        <v>339</v>
      </c>
      <c r="D363" s="2" t="s">
        <v>15</v>
      </c>
      <c r="E363" s="4" t="str">
        <f>IF(ISERROR("W_CANE"),"",HYPERLINK("#INDEX('Value Lookup'!A:A,MATCH(A" &amp; ROW() &amp; ",'Value Lookup'!A:A,0))","Value Lookup"))</f>
        <v>Value Lookup</v>
      </c>
      <c r="F363" s="4" t="str">
        <f>IF(ISERROR("W_CANE"),"",HYPERLINK("#INDEX('Frequencies'!A:A,MATCH(A" &amp; ROW() &amp; ",'Frequencies'!A:A,0))","Frequencies"))</f>
        <v>Frequencies</v>
      </c>
      <c r="G363" s="2"/>
      <c r="H363" s="2">
        <v>107</v>
      </c>
      <c r="I363" s="2"/>
      <c r="J363" s="2"/>
      <c r="K363" s="2"/>
      <c r="L363" s="2"/>
    </row>
    <row r="364" spans="1:12" ht="49.95" customHeight="1" x14ac:dyDescent="0.3">
      <c r="A364" s="3" t="s">
        <v>855</v>
      </c>
      <c r="B364" s="2" t="s">
        <v>856</v>
      </c>
      <c r="C364" s="2" t="s">
        <v>339</v>
      </c>
      <c r="D364" s="2" t="s">
        <v>15</v>
      </c>
      <c r="E364" s="4" t="str">
        <f>IF(ISERROR("W_CHAIR"),"",HYPERLINK("#INDEX('Value Lookup'!A:A,MATCH(A" &amp; ROW() &amp; ",'Value Lookup'!A:A,0))","Value Lookup"))</f>
        <v>Value Lookup</v>
      </c>
      <c r="F364" s="4" t="str">
        <f>IF(ISERROR("W_CHAIR"),"",HYPERLINK("#INDEX('Frequencies'!A:A,MATCH(A" &amp; ROW() &amp; ",'Frequencies'!A:A,0))","Frequencies"))</f>
        <v>Frequencies</v>
      </c>
      <c r="G364" s="2"/>
      <c r="H364" s="2">
        <v>113</v>
      </c>
      <c r="I364" s="2"/>
      <c r="J364" s="2"/>
      <c r="K364" s="2"/>
      <c r="L364" s="2"/>
    </row>
    <row r="365" spans="1:12" ht="49.95" customHeight="1" x14ac:dyDescent="0.3">
      <c r="A365" s="3" t="s">
        <v>857</v>
      </c>
      <c r="B365" s="2" t="s">
        <v>858</v>
      </c>
      <c r="C365" s="2" t="s">
        <v>339</v>
      </c>
      <c r="D365" s="2" t="s">
        <v>15</v>
      </c>
      <c r="E365" s="4" t="str">
        <f>IF(ISERROR("W_CRUTCH"),"",HYPERLINK("#INDEX('Value Lookup'!A:A,MATCH(A" &amp; ROW() &amp; ",'Value Lookup'!A:A,0))","Value Lookup"))</f>
        <v>Value Lookup</v>
      </c>
      <c r="F365" s="4" t="str">
        <f>IF(ISERROR("W_CRUTCH"),"",HYPERLINK("#INDEX('Frequencies'!A:A,MATCH(A" &amp; ROW() &amp; ",'Frequencies'!A:A,0))","Frequencies"))</f>
        <v>Frequencies</v>
      </c>
      <c r="G365" s="2"/>
      <c r="H365" s="2">
        <v>111</v>
      </c>
      <c r="I365" s="2"/>
      <c r="J365" s="2"/>
      <c r="K365" s="2"/>
      <c r="L365" s="2"/>
    </row>
    <row r="366" spans="1:12" ht="49.95" customHeight="1" x14ac:dyDescent="0.3">
      <c r="A366" s="3" t="s">
        <v>859</v>
      </c>
      <c r="B366" s="2" t="s">
        <v>860</v>
      </c>
      <c r="C366" s="2" t="s">
        <v>339</v>
      </c>
      <c r="D366" s="2" t="s">
        <v>15</v>
      </c>
      <c r="E366" s="4" t="str">
        <f>IF(ISERROR("W_DOG"),"",HYPERLINK("#INDEX('Value Lookup'!A:A,MATCH(A" &amp; ROW() &amp; ",'Value Lookup'!A:A,0))","Value Lookup"))</f>
        <v>Value Lookup</v>
      </c>
      <c r="F366" s="4" t="str">
        <f>IF(ISERROR("W_DOG"),"",HYPERLINK("#INDEX('Frequencies'!A:A,MATCH(A" &amp; ROW() &amp; ",'Frequencies'!A:A,0))","Frequencies"))</f>
        <v>Frequencies</v>
      </c>
      <c r="G366" s="2"/>
      <c r="H366" s="2">
        <v>110</v>
      </c>
      <c r="I366" s="2"/>
      <c r="J366" s="2"/>
      <c r="K366" s="2"/>
      <c r="L366" s="2"/>
    </row>
    <row r="367" spans="1:12" ht="49.95" customHeight="1" x14ac:dyDescent="0.3">
      <c r="A367" s="3" t="s">
        <v>861</v>
      </c>
      <c r="B367" s="2" t="s">
        <v>862</v>
      </c>
      <c r="C367" s="2"/>
      <c r="D367" s="2" t="s">
        <v>15</v>
      </c>
      <c r="E367" s="4" t="str">
        <f>IF(ISERROR("WEBUSE17"),"",HYPERLINK("#INDEX('Value Lookup'!A:A,MATCH(A" &amp; ROW() &amp; ",'Value Lookup'!A:A,0))","Value Lookup"))</f>
        <v>Value Lookup</v>
      </c>
      <c r="F367" s="4" t="str">
        <f>IF(ISERROR("WEBUSE17"),"",HYPERLINK("#INDEX('Frequencies'!A:A,MATCH(A" &amp; ROW() &amp; ",'Frequencies'!A:A,0))","Frequencies"))</f>
        <v>Frequencies</v>
      </c>
      <c r="G367" s="2">
        <v>79</v>
      </c>
      <c r="H367" s="2"/>
      <c r="I367" s="2"/>
      <c r="J367" s="2"/>
      <c r="K367" s="2"/>
      <c r="L367" s="2"/>
    </row>
    <row r="368" spans="1:12" ht="49.95" customHeight="1" x14ac:dyDescent="0.3">
      <c r="A368" s="3" t="s">
        <v>863</v>
      </c>
      <c r="B368" s="2" t="s">
        <v>864</v>
      </c>
      <c r="C368" s="2" t="s">
        <v>865</v>
      </c>
      <c r="D368" s="2" t="s">
        <v>15</v>
      </c>
      <c r="E368" s="4" t="str">
        <f>IF(ISERROR("WHODROVE"),"",HYPERLINK("#INDEX('Value Lookup'!A:A,MATCH(A" &amp; ROW() &amp; ",'Value Lookup'!A:A,0))","Value Lookup"))</f>
        <v>Value Lookup</v>
      </c>
      <c r="F368" s="4" t="str">
        <f>IF(ISERROR("WHODROVE"),"",HYPERLINK("#INDEX('Frequencies'!A:A,MATCH(A" &amp; ROW() &amp; ",'Frequencies'!A:A,0))","Frequencies"))</f>
        <v>Frequencies</v>
      </c>
      <c r="G368" s="2"/>
      <c r="H368" s="2"/>
      <c r="I368" s="2"/>
      <c r="J368" s="2">
        <v>33</v>
      </c>
      <c r="K368" s="2"/>
      <c r="L368" s="2"/>
    </row>
    <row r="369" spans="1:12" ht="49.95" customHeight="1" x14ac:dyDescent="0.3">
      <c r="A369" s="3" t="s">
        <v>866</v>
      </c>
      <c r="B369" s="2" t="s">
        <v>867</v>
      </c>
      <c r="C369" s="2" t="s">
        <v>868</v>
      </c>
      <c r="D369" s="2" t="s">
        <v>15</v>
      </c>
      <c r="E369" s="4" t="str">
        <f>IF(ISERROR("WHOMAIN"),"",HYPERLINK("#INDEX('Value Lookup'!A:A,MATCH(A" &amp; ROW() &amp; ",'Value Lookup'!A:A,0))","Value Lookup"))</f>
        <v>Value Lookup</v>
      </c>
      <c r="F369" s="4" t="str">
        <f>IF(ISERROR("WHOMAIN"),"",HYPERLINK("#INDEX('Frequencies'!A:A,MATCH(A" &amp; ROW() &amp; ",'Frequencies'!A:A,0))","Frequencies"))</f>
        <v>Frequencies</v>
      </c>
      <c r="G369" s="2"/>
      <c r="H369" s="2"/>
      <c r="I369" s="2">
        <v>13</v>
      </c>
      <c r="J369" s="2"/>
      <c r="K369" s="2"/>
      <c r="L369" s="2"/>
    </row>
    <row r="370" spans="1:12" ht="49.95" customHeight="1" x14ac:dyDescent="0.3">
      <c r="A370" s="3" t="s">
        <v>869</v>
      </c>
      <c r="B370" s="2" t="s">
        <v>870</v>
      </c>
      <c r="C370" s="2"/>
      <c r="D370" s="2" t="s">
        <v>15</v>
      </c>
      <c r="E370" s="2" t="str">
        <f>IF(ISERROR("WHOPROXY"),"","NA")</f>
        <v>NA</v>
      </c>
      <c r="F370" s="4" t="str">
        <f>IF(ISERROR("WHOPROXY"),"",HYPERLINK("#INDEX('Frequencies'!A:A,MATCH(A" &amp; ROW() &amp; ",'Frequencies'!A:A,0))","Frequencies"))</f>
        <v>Frequencies</v>
      </c>
      <c r="G370" s="2"/>
      <c r="H370" s="2">
        <v>81</v>
      </c>
      <c r="I370" s="2"/>
      <c r="J370" s="2"/>
      <c r="K370" s="2"/>
      <c r="L370" s="2"/>
    </row>
    <row r="371" spans="1:12" ht="49.95" customHeight="1" x14ac:dyDescent="0.3">
      <c r="A371" s="3" t="s">
        <v>871</v>
      </c>
      <c r="B371" s="2" t="s">
        <v>872</v>
      </c>
      <c r="C371" s="2" t="s">
        <v>873</v>
      </c>
      <c r="D371" s="2" t="s">
        <v>15</v>
      </c>
      <c r="E371" s="4" t="str">
        <f>IF(ISERROR("WHYFROM"),"",HYPERLINK("#INDEX('Value Lookup'!A:A,MATCH(A" &amp; ROW() &amp; ",'Value Lookup'!A:A,0))","Value Lookup"))</f>
        <v>Value Lookup</v>
      </c>
      <c r="F371" s="4" t="str">
        <f>IF(ISERROR("WHYFROM"),"",HYPERLINK("#INDEX('Frequencies'!A:A,MATCH(A" &amp; ROW() &amp; ",'Frequencies'!A:A,0))","Frequencies"))</f>
        <v>Frequencies</v>
      </c>
      <c r="G371" s="2"/>
      <c r="H371" s="2"/>
      <c r="I371" s="2"/>
      <c r="J371" s="2">
        <v>34</v>
      </c>
      <c r="K371" s="2"/>
      <c r="L371" s="2"/>
    </row>
    <row r="372" spans="1:12" ht="49.95" customHeight="1" x14ac:dyDescent="0.3">
      <c r="A372" s="3" t="s">
        <v>874</v>
      </c>
      <c r="B372" s="2" t="s">
        <v>875</v>
      </c>
      <c r="C372" s="2" t="s">
        <v>873</v>
      </c>
      <c r="D372" s="2" t="s">
        <v>15</v>
      </c>
      <c r="E372" s="4" t="str">
        <f>IF(ISERROR("WHYFROM_O"),"",HYPERLINK("#INDEX('Value Lookup'!A:A,MATCH(A" &amp; ROW() &amp; ",'Value Lookup'!A:A,0))","Value Lookup"))</f>
        <v>Value Lookup</v>
      </c>
      <c r="F372" s="4" t="str">
        <f>IF(ISERROR("WHYFROM_O"),"",HYPERLINK("#INDEX('Frequencies'!A:A,MATCH(A" &amp; ROW() &amp; ",'Frequencies'!A:A,0))","Frequencies"))</f>
        <v>Frequencies</v>
      </c>
      <c r="G372" s="2"/>
      <c r="H372" s="2"/>
      <c r="I372" s="2"/>
      <c r="J372" s="2">
        <v>35</v>
      </c>
      <c r="K372" s="2"/>
      <c r="L372" s="2"/>
    </row>
    <row r="373" spans="1:12" ht="49.95" customHeight="1" x14ac:dyDescent="0.3">
      <c r="A373" s="3" t="s">
        <v>876</v>
      </c>
      <c r="B373" s="2" t="s">
        <v>877</v>
      </c>
      <c r="C373" s="2" t="s">
        <v>873</v>
      </c>
      <c r="D373" s="2" t="s">
        <v>15</v>
      </c>
      <c r="E373" s="4" t="str">
        <f>IF(ISERROR("WHYTO"),"",HYPERLINK("#INDEX('Value Lookup'!A:A,MATCH(A" &amp; ROW() &amp; ",'Value Lookup'!A:A,0))","Value Lookup"))</f>
        <v>Value Lookup</v>
      </c>
      <c r="F373" s="4" t="str">
        <f>IF(ISERROR("WHYTO"),"",HYPERLINK("#INDEX('Frequencies'!A:A,MATCH(A" &amp; ROW() &amp; ",'Frequencies'!A:A,0))","Frequencies"))</f>
        <v>Frequencies</v>
      </c>
      <c r="G373" s="2"/>
      <c r="H373" s="2"/>
      <c r="I373" s="2"/>
      <c r="J373" s="2">
        <v>36</v>
      </c>
      <c r="K373" s="2"/>
      <c r="L373" s="2"/>
    </row>
    <row r="374" spans="1:12" ht="49.95" customHeight="1" x14ac:dyDescent="0.3">
      <c r="A374" s="3" t="s">
        <v>878</v>
      </c>
      <c r="B374" s="2" t="s">
        <v>879</v>
      </c>
      <c r="C374" s="2"/>
      <c r="D374" s="2" t="s">
        <v>15</v>
      </c>
      <c r="E374" s="4" t="str">
        <f>IF(ISERROR("WHYTRP1S"),"",HYPERLINK("#INDEX('Value Lookup'!A:A,MATCH(A" &amp; ROW() &amp; ",'Value Lookup'!A:A,0))","Value Lookup"))</f>
        <v>Value Lookup</v>
      </c>
      <c r="F374" s="4" t="str">
        <f>IF(ISERROR("WHYTRP1S"),"",HYPERLINK("#INDEX('Frequencies'!A:A,MATCH(A" &amp; ROW() &amp; ",'Frequencies'!A:A,0))","Frequencies"))</f>
        <v>Frequencies</v>
      </c>
      <c r="G374" s="2"/>
      <c r="H374" s="2"/>
      <c r="I374" s="2"/>
      <c r="J374" s="2">
        <v>52</v>
      </c>
      <c r="K374" s="2"/>
      <c r="L374" s="2"/>
    </row>
    <row r="375" spans="1:12" ht="49.95" customHeight="1" x14ac:dyDescent="0.3">
      <c r="A375" s="3" t="s">
        <v>880</v>
      </c>
      <c r="B375" s="2" t="s">
        <v>881</v>
      </c>
      <c r="C375" s="2"/>
      <c r="D375" s="2" t="s">
        <v>15</v>
      </c>
      <c r="E375" s="4" t="str">
        <f>IF(ISERROR("WHYTRP90"),"",HYPERLINK("#INDEX('Value Lookup'!A:A,MATCH(A" &amp; ROW() &amp; ",'Value Lookup'!A:A,0))","Value Lookup"))</f>
        <v>Value Lookup</v>
      </c>
      <c r="F375" s="4" t="str">
        <f>IF(ISERROR("WHYTRP90"),"",HYPERLINK("#INDEX('Frequencies'!A:A,MATCH(A" &amp; ROW() &amp; ",'Frequencies'!A:A,0))","Frequencies"))</f>
        <v>Frequencies</v>
      </c>
      <c r="G375" s="2"/>
      <c r="H375" s="2"/>
      <c r="I375" s="2"/>
      <c r="J375" s="2">
        <v>53</v>
      </c>
      <c r="K375" s="2"/>
      <c r="L375" s="2"/>
    </row>
    <row r="376" spans="1:12" ht="49.95" customHeight="1" x14ac:dyDescent="0.3">
      <c r="A376" s="3" t="s">
        <v>882</v>
      </c>
      <c r="B376" s="2" t="s">
        <v>883</v>
      </c>
      <c r="C376" s="2" t="s">
        <v>873</v>
      </c>
      <c r="D376" s="2" t="s">
        <v>15</v>
      </c>
      <c r="E376" s="4" t="str">
        <f>IF(ISERROR("WHYTRPSP"),"",HYPERLINK("#INDEX('Value Lookup'!A:A,MATCH(A" &amp; ROW() &amp; ",'Value Lookup'!A:A,0))","Value Lookup"))</f>
        <v>Value Lookup</v>
      </c>
      <c r="F376" s="4" t="str">
        <f>IF(ISERROR("WHYTRPSP"),"",HYPERLINK("#INDEX('Frequencies'!A:A,MATCH(A" &amp; ROW() &amp; ",'Frequencies'!A:A,0))","Frequencies"))</f>
        <v>Frequencies</v>
      </c>
      <c r="G376" s="2"/>
      <c r="H376" s="2"/>
      <c r="I376" s="2"/>
      <c r="J376" s="2">
        <v>37</v>
      </c>
      <c r="K376" s="2"/>
      <c r="L376" s="2"/>
    </row>
    <row r="377" spans="1:12" ht="49.95" customHeight="1" x14ac:dyDescent="0.3">
      <c r="A377" s="3" t="s">
        <v>884</v>
      </c>
      <c r="B377" s="2" t="s">
        <v>885</v>
      </c>
      <c r="C377" s="2" t="s">
        <v>886</v>
      </c>
      <c r="D377" s="2" t="s">
        <v>15</v>
      </c>
      <c r="E377" s="4" t="str">
        <f>IF(ISERROR("WKBK_DIST"),"",HYPERLINK("#INDEX('Value Lookup'!A:A,MATCH(A" &amp; ROW() &amp; ",'Value Lookup'!A:A,0))","Value Lookup"))</f>
        <v>Value Lookup</v>
      </c>
      <c r="F377" s="4" t="str">
        <f>IF(ISERROR("WKBK_DIST"),"",HYPERLINK("#INDEX('Frequencies'!A:A,MATCH(A" &amp; ROW() &amp; ",'Frequencies'!A:A,0))","Frequencies"))</f>
        <v>Frequencies</v>
      </c>
      <c r="G377" s="2"/>
      <c r="H377" s="2"/>
      <c r="I377" s="2"/>
      <c r="J377" s="2">
        <v>19</v>
      </c>
      <c r="K377" s="2"/>
      <c r="L377" s="2"/>
    </row>
    <row r="378" spans="1:12" ht="49.95" customHeight="1" x14ac:dyDescent="0.3">
      <c r="A378" s="3" t="s">
        <v>887</v>
      </c>
      <c r="B378" s="2" t="s">
        <v>888</v>
      </c>
      <c r="C378" s="2" t="s">
        <v>316</v>
      </c>
      <c r="D378" s="2" t="s">
        <v>15</v>
      </c>
      <c r="E378" s="4" t="str">
        <f>IF(ISERROR("WKBK_UNIT"),"",HYPERLINK("#INDEX('Value Lookup'!A:A,MATCH(A" &amp; ROW() &amp; ",'Value Lookup'!A:A,0))","Value Lookup"))</f>
        <v>Value Lookup</v>
      </c>
      <c r="F378" s="4" t="str">
        <f>IF(ISERROR("WKBK_UNIT"),"",HYPERLINK("#INDEX('Frequencies'!A:A,MATCH(A" &amp; ROW() &amp; ",'Frequencies'!A:A,0))","Frequencies"))</f>
        <v>Frequencies</v>
      </c>
      <c r="G378" s="2"/>
      <c r="H378" s="2"/>
      <c r="I378" s="2"/>
      <c r="J378" s="2">
        <v>20</v>
      </c>
      <c r="K378" s="2"/>
      <c r="L378" s="2"/>
    </row>
    <row r="379" spans="1:12" ht="49.95" customHeight="1" x14ac:dyDescent="0.3">
      <c r="A379" s="3" t="s">
        <v>889</v>
      </c>
      <c r="B379" s="2" t="s">
        <v>890</v>
      </c>
      <c r="C379" s="2" t="s">
        <v>891</v>
      </c>
      <c r="D379" s="2" t="s">
        <v>41</v>
      </c>
      <c r="E379" s="2" t="str">
        <f>IF(ISERROR("WKFMHMXX"),"","Range: 0 - 31")</f>
        <v>Range: 0 - 31</v>
      </c>
      <c r="F379" s="4" t="str">
        <f>IF(ISERROR("WKFMHMXX"),"",HYPERLINK("#INDEX('Frequencies'!A:A,MATCH(A" &amp; ROW() &amp; ",'Frequencies'!A:A,0))","Frequencies"))</f>
        <v>Frequencies</v>
      </c>
      <c r="G379" s="2"/>
      <c r="H379" s="2">
        <v>60</v>
      </c>
      <c r="I379" s="2"/>
      <c r="J379" s="2"/>
      <c r="K379" s="2"/>
      <c r="L379" s="2"/>
    </row>
    <row r="380" spans="1:12" ht="49.95" customHeight="1" x14ac:dyDescent="0.3">
      <c r="A380" s="3" t="s">
        <v>892</v>
      </c>
      <c r="B380" s="2" t="s">
        <v>893</v>
      </c>
      <c r="C380" s="2" t="s">
        <v>894</v>
      </c>
      <c r="D380" s="2" t="s">
        <v>15</v>
      </c>
      <c r="E380" s="4" t="str">
        <f>IF(ISERROR("WKFTPT"),"",HYPERLINK("#INDEX('Value Lookup'!A:A,MATCH(A" &amp; ROW() &amp; ",'Value Lookup'!A:A,0))","Value Lookup"))</f>
        <v>Value Lookup</v>
      </c>
      <c r="F380" s="4" t="str">
        <f>IF(ISERROR("WKFTPT"),"",HYPERLINK("#INDEX('Frequencies'!A:A,MATCH(A" &amp; ROW() &amp; ",'Frequencies'!A:A,0))","Frequencies"))</f>
        <v>Frequencies</v>
      </c>
      <c r="G380" s="2"/>
      <c r="H380" s="2">
        <v>16</v>
      </c>
      <c r="I380" s="2"/>
      <c r="J380" s="2"/>
      <c r="K380" s="2"/>
      <c r="L380" s="2"/>
    </row>
    <row r="381" spans="1:12" ht="49.95" customHeight="1" x14ac:dyDescent="0.3">
      <c r="A381" s="3" t="s">
        <v>895</v>
      </c>
      <c r="B381" s="2" t="s">
        <v>896</v>
      </c>
      <c r="C381" s="2" t="s">
        <v>897</v>
      </c>
      <c r="D381" s="2" t="s">
        <v>15</v>
      </c>
      <c r="E381" s="4" t="str">
        <f>IF(ISERROR("WKRMHM"),"",HYPERLINK("#INDEX('Value Lookup'!A:A,MATCH(A" &amp; ROW() &amp; ",'Value Lookup'!A:A,0))","Value Lookup"))</f>
        <v>Value Lookup</v>
      </c>
      <c r="F381" s="4" t="str">
        <f>IF(ISERROR("WKRMHM"),"",HYPERLINK("#INDEX('Frequencies'!A:A,MATCH(A" &amp; ROW() &amp; ",'Frequencies'!A:A,0))","Frequencies"))</f>
        <v>Frequencies</v>
      </c>
      <c r="G381" s="2"/>
      <c r="H381" s="2">
        <v>58</v>
      </c>
      <c r="I381" s="2"/>
      <c r="J381" s="2"/>
      <c r="K381" s="2"/>
      <c r="L381" s="2"/>
    </row>
    <row r="382" spans="1:12" ht="49.95" customHeight="1" x14ac:dyDescent="0.3">
      <c r="A382" s="3" t="s">
        <v>898</v>
      </c>
      <c r="B382" s="2" t="s">
        <v>899</v>
      </c>
      <c r="C382" s="2"/>
      <c r="D382" s="2" t="s">
        <v>15</v>
      </c>
      <c r="E382" s="4" t="str">
        <f>IF(ISERROR("WKSTFIPS"),"",HYPERLINK("#INDEX('Value Lookup'!A:A,MATCH(A" &amp; ROW() &amp; ",'Value Lookup'!A:A,0))","Value Lookup"))</f>
        <v>Value Lookup</v>
      </c>
      <c r="F382" s="4" t="str">
        <f>IF(ISERROR("WKSTFIPS"),"",HYPERLINK("#INDEX('Frequencies'!A:A,MATCH(A" &amp; ROW() &amp; ",'Frequencies'!A:A,0))","Frequencies"))</f>
        <v>Frequencies</v>
      </c>
      <c r="G382" s="2"/>
      <c r="H382" s="2">
        <v>150</v>
      </c>
      <c r="I382" s="2"/>
      <c r="J382" s="2"/>
      <c r="K382" s="2"/>
      <c r="L382" s="2"/>
    </row>
    <row r="383" spans="1:12" ht="49.95" customHeight="1" x14ac:dyDescent="0.3">
      <c r="A383" s="3" t="s">
        <v>900</v>
      </c>
      <c r="B383" s="2" t="s">
        <v>901</v>
      </c>
      <c r="C383" s="2" t="s">
        <v>339</v>
      </c>
      <c r="D383" s="2" t="s">
        <v>15</v>
      </c>
      <c r="E383" s="4" t="str">
        <f>IF(ISERROR("W_MTRCHR"),"",HYPERLINK("#INDEX('Value Lookup'!A:A,MATCH(A" &amp; ROW() &amp; ",'Value Lookup'!A:A,0))","Value Lookup"))</f>
        <v>Value Lookup</v>
      </c>
      <c r="F383" s="4" t="str">
        <f>IF(ISERROR("W_MTRCHR"),"",HYPERLINK("#INDEX('Frequencies'!A:A,MATCH(A" &amp; ROW() &amp; ",'Frequencies'!A:A,0))","Frequencies"))</f>
        <v>Frequencies</v>
      </c>
      <c r="G383" s="2"/>
      <c r="H383" s="2">
        <v>114</v>
      </c>
      <c r="I383" s="2"/>
      <c r="J383" s="2"/>
      <c r="K383" s="2"/>
      <c r="L383" s="2"/>
    </row>
    <row r="384" spans="1:12" ht="49.95" customHeight="1" x14ac:dyDescent="0.3">
      <c r="A384" s="3" t="s">
        <v>902</v>
      </c>
      <c r="B384" s="2" t="s">
        <v>903</v>
      </c>
      <c r="C384" s="2" t="s">
        <v>339</v>
      </c>
      <c r="D384" s="2" t="s">
        <v>15</v>
      </c>
      <c r="E384" s="4" t="str">
        <f>IF(ISERROR("W_NONE"),"",HYPERLINK("#INDEX('Value Lookup'!A:A,MATCH(A" &amp; ROW() &amp; ",'Value Lookup'!A:A,0))","Value Lookup"))</f>
        <v>Value Lookup</v>
      </c>
      <c r="F384" s="4" t="str">
        <f>IF(ISERROR("W_NONE"),"",HYPERLINK("#INDEX('Frequencies'!A:A,MATCH(A" &amp; ROW() &amp; ",'Frequencies'!A:A,0))","Frequencies"))</f>
        <v>Frequencies</v>
      </c>
      <c r="G384" s="2"/>
      <c r="H384" s="2">
        <v>106</v>
      </c>
      <c r="I384" s="2"/>
      <c r="J384" s="2"/>
      <c r="K384" s="2"/>
      <c r="L384" s="2"/>
    </row>
    <row r="385" spans="1:12" ht="49.95" customHeight="1" x14ac:dyDescent="0.3">
      <c r="A385" s="3" t="s">
        <v>904</v>
      </c>
      <c r="B385" s="2" t="s">
        <v>905</v>
      </c>
      <c r="C385" s="2"/>
      <c r="D385" s="2" t="s">
        <v>15</v>
      </c>
      <c r="E385" s="4" t="str">
        <f>IF(ISERROR("WORKER"),"",HYPERLINK("#INDEX('Value Lookup'!A:A,MATCH(A" &amp; ROW() &amp; ",'Value Lookup'!A:A,0))","Value Lookup"))</f>
        <v>Value Lookup</v>
      </c>
      <c r="F385" s="4" t="str">
        <f>IF(ISERROR("WORKER"),"",HYPERLINK("#INDEX('Frequencies'!A:A,MATCH(A" &amp; ROW() &amp; ",'Frequencies'!A:A,0))","Frequencies"))</f>
        <v>Frequencies</v>
      </c>
      <c r="G385" s="2"/>
      <c r="H385" s="2">
        <v>143</v>
      </c>
      <c r="I385" s="2"/>
      <c r="J385" s="2"/>
      <c r="K385" s="2"/>
      <c r="L385" s="2"/>
    </row>
    <row r="386" spans="1:12" ht="49.95" customHeight="1" x14ac:dyDescent="0.3">
      <c r="A386" s="3" t="s">
        <v>906</v>
      </c>
      <c r="B386" s="2" t="s">
        <v>907</v>
      </c>
      <c r="C386" s="2"/>
      <c r="D386" s="2" t="s">
        <v>15</v>
      </c>
      <c r="E386" s="2" t="str">
        <f>IF(ISERROR("WORKER_IMP"),"","NA")</f>
        <v>NA</v>
      </c>
      <c r="F386" s="4" t="str">
        <f>IF(ISERROR("WORKER_IMP"),"",HYPERLINK("#INDEX('Frequencies'!A:A,MATCH(A" &amp; ROW() &amp; ",'Frequencies'!A:A,0))","Frequencies"))</f>
        <v>Frequencies</v>
      </c>
      <c r="G386" s="2"/>
      <c r="H386" s="2">
        <v>163</v>
      </c>
      <c r="I386" s="2"/>
      <c r="J386" s="2"/>
      <c r="K386" s="2"/>
      <c r="L386" s="2"/>
    </row>
    <row r="387" spans="1:12" ht="49.95" customHeight="1" x14ac:dyDescent="0.3">
      <c r="A387" s="3" t="s">
        <v>908</v>
      </c>
      <c r="B387" s="2" t="s">
        <v>909</v>
      </c>
      <c r="C387" s="2"/>
      <c r="D387" s="2" t="s">
        <v>15</v>
      </c>
      <c r="E387" s="4" t="str">
        <f>IF(ISERROR("WRKAMPM"),"",HYPERLINK("#INDEX('Value Lookup'!A:A,MATCH(A" &amp; ROW() &amp; ",'Value Lookup'!A:A,0))","Value Lookup"))</f>
        <v>Value Lookup</v>
      </c>
      <c r="F387" s="4" t="str">
        <f>IF(ISERROR("WRKAMPM"),"",HYPERLINK("#INDEX('Frequencies'!A:A,MATCH(A" &amp; ROW() &amp; ",'Frequencies'!A:A,0))","Frequencies"))</f>
        <v>Frequencies</v>
      </c>
      <c r="G387" s="2"/>
      <c r="H387" s="2">
        <v>57</v>
      </c>
      <c r="I387" s="2"/>
      <c r="J387" s="2"/>
      <c r="K387" s="2"/>
      <c r="L387" s="2"/>
    </row>
    <row r="388" spans="1:12" ht="49.95" customHeight="1" x14ac:dyDescent="0.3">
      <c r="A388" s="3" t="s">
        <v>910</v>
      </c>
      <c r="B388" s="2" t="s">
        <v>911</v>
      </c>
      <c r="C388" s="2"/>
      <c r="D388" s="2" t="s">
        <v>41</v>
      </c>
      <c r="E388" s="2" t="str">
        <f>IF(ISERROR("WRKCOUNT"),"","NA")</f>
        <v>NA</v>
      </c>
      <c r="F388" s="4" t="str">
        <f>IF(ISERROR("WRKCOUNT"),"",HYPERLINK("#INDEX('Frequencies'!A:A,MATCH(A" &amp; ROW() &amp; ",'Frequencies'!A:A,0))","Frequencies"))</f>
        <v>Frequencies</v>
      </c>
      <c r="G388" s="2">
        <v>43</v>
      </c>
      <c r="H388" s="2"/>
      <c r="I388" s="2"/>
      <c r="J388" s="2"/>
      <c r="K388" s="2"/>
      <c r="L388" s="2"/>
    </row>
    <row r="389" spans="1:12" ht="49.95" customHeight="1" x14ac:dyDescent="0.3">
      <c r="A389" s="3" t="s">
        <v>912</v>
      </c>
      <c r="B389" s="2" t="s">
        <v>913</v>
      </c>
      <c r="C389" s="2" t="s">
        <v>914</v>
      </c>
      <c r="D389" s="2" t="s">
        <v>15</v>
      </c>
      <c r="E389" s="4" t="str">
        <f>IF(ISERROR("WRK_HOME"),"",HYPERLINK("#INDEX('Value Lookup'!A:A,MATCH(A" &amp; ROW() &amp; ",'Value Lookup'!A:A,0))","Value Lookup"))</f>
        <v>Value Lookup</v>
      </c>
      <c r="F389" s="4" t="str">
        <f>IF(ISERROR("WRK_HOME"),"",HYPERLINK("#INDEX('Frequencies'!A:A,MATCH(A" &amp; ROW() &amp; ",'Frequencies'!A:A,0))","Frequencies"))</f>
        <v>Frequencies</v>
      </c>
      <c r="G389" s="2"/>
      <c r="H389" s="2">
        <v>15</v>
      </c>
      <c r="I389" s="2"/>
      <c r="J389" s="2"/>
      <c r="K389" s="2"/>
      <c r="L389" s="2"/>
    </row>
    <row r="390" spans="1:12" ht="49.95" customHeight="1" x14ac:dyDescent="0.3">
      <c r="A390" s="3" t="s">
        <v>915</v>
      </c>
      <c r="B390" s="2" t="s">
        <v>916</v>
      </c>
      <c r="C390" s="2"/>
      <c r="D390" s="2" t="s">
        <v>15</v>
      </c>
      <c r="E390" s="4" t="str">
        <f>IF(ISERROR("WRKHR"),"",HYPERLINK("#INDEX('Value Lookup'!A:A,MATCH(A" &amp; ROW() &amp; ",'Value Lookup'!A:A,0))","Value Lookup"))</f>
        <v>Value Lookup</v>
      </c>
      <c r="F390" s="4" t="str">
        <f>IF(ISERROR("WRKHR"),"",HYPERLINK("#INDEX('Frequencies'!A:A,MATCH(A" &amp; ROW() &amp; ",'Frequencies'!A:A,0))","Frequencies"))</f>
        <v>Frequencies</v>
      </c>
      <c r="G390" s="2"/>
      <c r="H390" s="2">
        <v>55</v>
      </c>
      <c r="I390" s="2"/>
      <c r="J390" s="2"/>
      <c r="K390" s="2"/>
      <c r="L390" s="2"/>
    </row>
    <row r="391" spans="1:12" ht="49.95" customHeight="1" x14ac:dyDescent="0.3">
      <c r="A391" s="3" t="s">
        <v>917</v>
      </c>
      <c r="B391" s="2" t="s">
        <v>918</v>
      </c>
      <c r="C391" s="2"/>
      <c r="D391" s="2" t="s">
        <v>15</v>
      </c>
      <c r="E391" s="4" t="str">
        <f>IF(ISERROR("WRKMIN"),"",HYPERLINK("#INDEX('Value Lookup'!A:A,MATCH(A" &amp; ROW() &amp; ",'Value Lookup'!A:A,0))","Value Lookup"))</f>
        <v>Value Lookup</v>
      </c>
      <c r="F391" s="4" t="str">
        <f>IF(ISERROR("WRKMIN"),"",HYPERLINK("#INDEX('Frequencies'!A:A,MATCH(A" &amp; ROW() &amp; ",'Frequencies'!A:A,0))","Frequencies"))</f>
        <v>Frequencies</v>
      </c>
      <c r="G391" s="2"/>
      <c r="H391" s="2">
        <v>56</v>
      </c>
      <c r="I391" s="2"/>
      <c r="J391" s="2"/>
      <c r="K391" s="2"/>
      <c r="L391" s="2"/>
    </row>
    <row r="392" spans="1:12" ht="49.95" customHeight="1" x14ac:dyDescent="0.3">
      <c r="A392" s="3" t="s">
        <v>919</v>
      </c>
      <c r="B392" s="2" t="s">
        <v>920</v>
      </c>
      <c r="C392" s="2" t="s">
        <v>921</v>
      </c>
      <c r="D392" s="2" t="s">
        <v>15</v>
      </c>
      <c r="E392" s="4" t="str">
        <f>IF(ISERROR("WRKSCH_GA"),"",HYPERLINK("#INDEX('Value Lookup'!A:A,MATCH(A" &amp; ROW() &amp; ",'Value Lookup'!A:A,0))","Value Lookup"))</f>
        <v>Value Lookup</v>
      </c>
      <c r="F392" s="4" t="str">
        <f>IF(ISERROR("WRKSCH_GA"),"",HYPERLINK("#INDEX('Frequencies'!A:A,MATCH(A" &amp; ROW() &amp; ",'Frequencies'!A:A,0))","Frequencies"))</f>
        <v>Frequencies</v>
      </c>
      <c r="G392" s="2"/>
      <c r="H392" s="2">
        <v>132</v>
      </c>
      <c r="I392" s="2"/>
      <c r="J392" s="2"/>
      <c r="K392" s="2"/>
      <c r="L392" s="2" t="s">
        <v>922</v>
      </c>
    </row>
    <row r="393" spans="1:12" ht="49.95" customHeight="1" x14ac:dyDescent="0.3">
      <c r="A393" s="3" t="s">
        <v>923</v>
      </c>
      <c r="B393" s="2" t="s">
        <v>924</v>
      </c>
      <c r="C393" s="2" t="s">
        <v>925</v>
      </c>
      <c r="D393" s="2" t="s">
        <v>15</v>
      </c>
      <c r="E393" s="4" t="str">
        <f>IF(ISERROR("WRKTIME"),"",HYPERLINK("#INDEX('Value Lookup'!A:A,MATCH(A" &amp; ROW() &amp; ",'Value Lookup'!A:A,0))","Value Lookup"))</f>
        <v>Value Lookup</v>
      </c>
      <c r="F393" s="4" t="str">
        <f>IF(ISERROR("WRKTIME"),"",HYPERLINK("#INDEX('Frequencies'!A:A,MATCH(A" &amp; ROW() &amp; ",'Frequencies'!A:A,0))","Frequencies"))</f>
        <v>Frequencies</v>
      </c>
      <c r="G393" s="2"/>
      <c r="H393" s="2">
        <v>54</v>
      </c>
      <c r="I393" s="2"/>
      <c r="J393" s="2"/>
      <c r="K393" s="2"/>
      <c r="L393" s="2"/>
    </row>
    <row r="394" spans="1:12" ht="49.95" customHeight="1" x14ac:dyDescent="0.3">
      <c r="A394" s="3" t="s">
        <v>926</v>
      </c>
      <c r="B394" s="2" t="s">
        <v>927</v>
      </c>
      <c r="C394" s="2" t="s">
        <v>928</v>
      </c>
      <c r="D394" s="2" t="s">
        <v>15</v>
      </c>
      <c r="E394" s="4" t="str">
        <f>IF(ISERROR("WRKTRANS"),"",HYPERLINK("#INDEX('Value Lookup'!A:A,MATCH(A" &amp; ROW() &amp; ",'Value Lookup'!A:A,0))","Value Lookup"))</f>
        <v>Value Lookup</v>
      </c>
      <c r="F394" s="4" t="str">
        <f>IF(ISERROR("WRKTRANS"),"",HYPERLINK("#INDEX('Frequencies'!A:A,MATCH(A" &amp; ROW() &amp; ",'Frequencies'!A:A,0))","Frequencies"))</f>
        <v>Frequencies</v>
      </c>
      <c r="G394" s="2"/>
      <c r="H394" s="2">
        <v>17</v>
      </c>
      <c r="I394" s="2"/>
      <c r="J394" s="2"/>
      <c r="K394" s="2"/>
      <c r="L394" s="2"/>
    </row>
    <row r="395" spans="1:12" ht="49.95" customHeight="1" x14ac:dyDescent="0.3">
      <c r="A395" s="3" t="s">
        <v>929</v>
      </c>
      <c r="B395" s="2" t="s">
        <v>930</v>
      </c>
      <c r="C395" s="2" t="s">
        <v>931</v>
      </c>
      <c r="D395" s="2" t="s">
        <v>15</v>
      </c>
      <c r="E395" s="4" t="str">
        <f>IF(ISERROR("WRKTRNOS"),"",HYPERLINK("#INDEX('Value Lookup'!A:A,MATCH(A" &amp; ROW() &amp; ",'Value Lookup'!A:A,0))","Value Lookup"))</f>
        <v>Value Lookup</v>
      </c>
      <c r="F395" s="4" t="str">
        <f>IF(ISERROR("WRKTRNOS"),"",HYPERLINK("#INDEX('Frequencies'!A:A,MATCH(A" &amp; ROW() &amp; ",'Frequencies'!A:A,0))","Frequencies"))</f>
        <v>Frequencies</v>
      </c>
      <c r="G395" s="2"/>
      <c r="H395" s="2">
        <v>18</v>
      </c>
      <c r="I395" s="2"/>
      <c r="J395" s="2"/>
      <c r="K395" s="2"/>
      <c r="L395" s="2"/>
    </row>
    <row r="396" spans="1:12" ht="49.95" customHeight="1" x14ac:dyDescent="0.3">
      <c r="A396" s="3" t="s">
        <v>932</v>
      </c>
      <c r="B396" s="2" t="s">
        <v>933</v>
      </c>
      <c r="C396" s="2" t="s">
        <v>339</v>
      </c>
      <c r="D396" s="2" t="s">
        <v>15</v>
      </c>
      <c r="E396" s="4" t="str">
        <f>IF(ISERROR("W_SCOOTR"),"",HYPERLINK("#INDEX('Value Lookup'!A:A,MATCH(A" &amp; ROW() &amp; ",'Value Lookup'!A:A,0))","Value Lookup"))</f>
        <v>Value Lookup</v>
      </c>
      <c r="F396" s="4" t="str">
        <f>IF(ISERROR("W_SCOOTR"),"",HYPERLINK("#INDEX('Frequencies'!A:A,MATCH(A" &amp; ROW() &amp; ",'Frequencies'!A:A,0))","Frequencies"))</f>
        <v>Frequencies</v>
      </c>
      <c r="G396" s="2"/>
      <c r="H396" s="2">
        <v>112</v>
      </c>
      <c r="I396" s="2"/>
      <c r="J396" s="2"/>
      <c r="K396" s="2"/>
      <c r="L396" s="2"/>
    </row>
    <row r="397" spans="1:12" ht="49.95" customHeight="1" x14ac:dyDescent="0.3">
      <c r="A397" s="3" t="s">
        <v>934</v>
      </c>
      <c r="B397" s="2" t="s">
        <v>935</v>
      </c>
      <c r="C397" s="2" t="s">
        <v>339</v>
      </c>
      <c r="D397" s="2" t="s">
        <v>15</v>
      </c>
      <c r="E397" s="4" t="str">
        <f>IF(ISERROR("W_WHCANE"),"",HYPERLINK("#INDEX('Value Lookup'!A:A,MATCH(A" &amp; ROW() &amp; ",'Value Lookup'!A:A,0))","Value Lookup"))</f>
        <v>Value Lookup</v>
      </c>
      <c r="F397" s="4" t="str">
        <f>IF(ISERROR("W_WHCANE"),"",HYPERLINK("#INDEX('Frequencies'!A:A,MATCH(A" &amp; ROW() &amp; ",'Frequencies'!A:A,0))","Frequencies"))</f>
        <v>Frequencies</v>
      </c>
      <c r="G397" s="2"/>
      <c r="H397" s="2">
        <v>109</v>
      </c>
      <c r="I397" s="2"/>
      <c r="J397" s="2"/>
      <c r="K397" s="2"/>
      <c r="L397" s="2"/>
    </row>
    <row r="398" spans="1:12" ht="49.95" customHeight="1" x14ac:dyDescent="0.3">
      <c r="A398" s="3" t="s">
        <v>936</v>
      </c>
      <c r="B398" s="2" t="s">
        <v>937</v>
      </c>
      <c r="C398" s="2" t="s">
        <v>339</v>
      </c>
      <c r="D398" s="2" t="s">
        <v>15</v>
      </c>
      <c r="E398" s="4" t="str">
        <f>IF(ISERROR("W_WLKR"),"",HYPERLINK("#INDEX('Value Lookup'!A:A,MATCH(A" &amp; ROW() &amp; ",'Value Lookup'!A:A,0))","Value Lookup"))</f>
        <v>Value Lookup</v>
      </c>
      <c r="F398" s="4" t="str">
        <f>IF(ISERROR("W_WLKR"),"",HYPERLINK("#INDEX('Frequencies'!A:A,MATCH(A" &amp; ROW() &amp; ",'Frequencies'!A:A,0))","Frequencies"))</f>
        <v>Frequencies</v>
      </c>
      <c r="G398" s="2"/>
      <c r="H398" s="2">
        <v>108</v>
      </c>
      <c r="I398" s="2"/>
      <c r="J398" s="2"/>
      <c r="K398" s="2"/>
      <c r="L398" s="2"/>
    </row>
    <row r="399" spans="1:12" ht="49.95" customHeight="1" x14ac:dyDescent="0.3">
      <c r="A399" s="3" t="s">
        <v>938</v>
      </c>
      <c r="B399" s="2" t="s">
        <v>939</v>
      </c>
      <c r="C399" s="2" t="s">
        <v>182</v>
      </c>
      <c r="D399" s="2" t="s">
        <v>15</v>
      </c>
      <c r="E399" s="4" t="str">
        <f>IF(ISERROR("YEARMIL2"),"",HYPERLINK("#INDEX('Value Lookup'!A:A,MATCH(A" &amp; ROW() &amp; ",'Value Lookup'!A:A,0))","Value Lookup"))</f>
        <v>Value Lookup</v>
      </c>
      <c r="F399" s="4" t="str">
        <f>IF(ISERROR("YEARMIL2"),"",HYPERLINK("#INDEX('Frequencies'!A:A,MATCH(A" &amp; ROW() &amp; ",'Frequencies'!A:A,0))","Frequencies"))</f>
        <v>Frequencies</v>
      </c>
      <c r="G399" s="2"/>
      <c r="H399" s="2">
        <v>79</v>
      </c>
      <c r="I399" s="2"/>
      <c r="J399" s="2"/>
      <c r="K399" s="2"/>
      <c r="L399" s="2"/>
    </row>
    <row r="400" spans="1:12" ht="49.95" customHeight="1" x14ac:dyDescent="0.3">
      <c r="A400" s="3" t="s">
        <v>940</v>
      </c>
      <c r="B400" s="2" t="s">
        <v>941</v>
      </c>
      <c r="C400" s="2" t="s">
        <v>942</v>
      </c>
      <c r="D400" s="2" t="s">
        <v>41</v>
      </c>
      <c r="E400" s="2" t="str">
        <f>IF(ISERROR("YEARMILE"),"","Range: 0 - 200000")</f>
        <v>Range: 0 - 200000</v>
      </c>
      <c r="F400" s="4" t="str">
        <f>IF(ISERROR("YEARMILE"),"",HYPERLINK("#INDEX('Frequencies'!A:A,MATCH(A" &amp; ROW() &amp; ",'Frequencies'!A:A,0))","Frequencies"))</f>
        <v>Frequencies</v>
      </c>
      <c r="G400" s="2"/>
      <c r="H400" s="2">
        <v>77</v>
      </c>
      <c r="I400" s="2"/>
      <c r="J400" s="2"/>
      <c r="K400" s="2"/>
      <c r="L400" s="2"/>
    </row>
    <row r="401" spans="1:12" ht="49.95" customHeight="1" x14ac:dyDescent="0.3">
      <c r="A401" s="3" t="s">
        <v>943</v>
      </c>
      <c r="B401" s="2" t="s">
        <v>944</v>
      </c>
      <c r="C401" s="2"/>
      <c r="D401" s="2" t="s">
        <v>41</v>
      </c>
      <c r="E401" s="2" t="str">
        <f>IF(ISERROR("YOUNGCHILD"),"","NA")</f>
        <v>NA</v>
      </c>
      <c r="F401" s="4" t="str">
        <f>IF(ISERROR("YOUNGCHILD"),"",HYPERLINK("#INDEX('Frequencies'!A:A,MATCH(A" &amp; ROW() &amp; ",'Frequencies'!A:A,0))","Frequencies"))</f>
        <v>Frequencies</v>
      </c>
      <c r="G401" s="2">
        <v>42</v>
      </c>
      <c r="H401" s="2"/>
      <c r="I401" s="2"/>
      <c r="J401" s="2"/>
      <c r="K401" s="2"/>
      <c r="L401" s="2"/>
    </row>
    <row r="402" spans="1:12" ht="49.95" customHeight="1" x14ac:dyDescent="0.3">
      <c r="A402" s="3" t="s">
        <v>945</v>
      </c>
      <c r="B402" s="2" t="s">
        <v>946</v>
      </c>
      <c r="C402" s="2" t="s">
        <v>947</v>
      </c>
      <c r="D402" s="2" t="s">
        <v>41</v>
      </c>
      <c r="E402" s="2" t="str">
        <f>IF(ISERROR("YRTOUS"),"","Range: [$WHENTOUSLOWERRANGE:C] - [$WHENTOUSUPPERRANGE:C]")</f>
        <v>Range: [$WHENTOUSLOWERRANGE:C] - [$WHENTOUSUPPERRANGE:C]</v>
      </c>
      <c r="F402" s="4" t="str">
        <f>IF(ISERROR("YRTOUS"),"",HYPERLINK("#INDEX('Frequencies'!A:A,MATCH(A" &amp; ROW() &amp; ",'Frequencies'!A:A,0))","Frequencies"))</f>
        <v>Frequencies</v>
      </c>
      <c r="G402" s="2"/>
      <c r="H402" s="2">
        <v>75</v>
      </c>
      <c r="I402" s="2"/>
      <c r="J402" s="2"/>
      <c r="K402" s="2"/>
      <c r="L402" s="2"/>
    </row>
    <row r="403" spans="1:12" ht="49.95" customHeight="1" x14ac:dyDescent="0.3">
      <c r="A403" s="3" t="s">
        <v>948</v>
      </c>
      <c r="B403" s="2" t="s">
        <v>949</v>
      </c>
      <c r="C403" s="2" t="s">
        <v>950</v>
      </c>
      <c r="D403" s="2" t="s">
        <v>15</v>
      </c>
      <c r="E403" s="4" t="str">
        <f>IF(ISERROR("YRTOUS2"),"",HYPERLINK("#INDEX('Value Lookup'!A:A,MATCH(A" &amp; ROW() &amp; ",'Value Lookup'!A:A,0))","Value Lookup"))</f>
        <v>Value Lookup</v>
      </c>
      <c r="F403" s="4" t="str">
        <f>IF(ISERROR("YRTOUS2"),"",HYPERLINK("#INDEX('Frequencies'!A:A,MATCH(A" &amp; ROW() &amp; ",'Frequencies'!A:A,0))","Frequencies"))</f>
        <v>Frequencies</v>
      </c>
      <c r="G403" s="2"/>
      <c r="H403" s="2">
        <v>76</v>
      </c>
      <c r="I403" s="2"/>
      <c r="J403" s="2"/>
      <c r="K403" s="2"/>
      <c r="L403" s="2"/>
    </row>
    <row r="404" spans="1:12" ht="49.95" customHeight="1" x14ac:dyDescent="0.3">
      <c r="A404" s="3" t="s">
        <v>951</v>
      </c>
      <c r="B404" s="2" t="s">
        <v>952</v>
      </c>
      <c r="C404" s="2"/>
      <c r="D404" s="2" t="s">
        <v>15</v>
      </c>
      <c r="E404" s="4" t="str">
        <f>IF(ISERROR("ZIP"),"",HYPERLINK("#INDEX('Value Lookup'!A:A,MATCH(A" &amp; ROW() &amp; ",'Value Lookup'!A:A,0))","Value Lookup"))</f>
        <v>Value Lookup</v>
      </c>
      <c r="F404" s="4" t="str">
        <f>IF(ISERROR("ZIP"),"",HYPERLINK("#INDEX('Frequencies'!A:A,MATCH(A" &amp; ROW() &amp; ",'Frequencies'!A:A,0))","Frequencies"))</f>
        <v>Frequencies</v>
      </c>
      <c r="G404" s="2"/>
      <c r="H404" s="2"/>
      <c r="I404" s="2"/>
      <c r="J404" s="2"/>
      <c r="K404" s="2">
        <v>11</v>
      </c>
      <c r="L404" s="2"/>
    </row>
  </sheetData>
  <autoFilter ref="A1:L404" xr:uid="{00000000-0009-0000-0000-000000000000}"/>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911"/>
  <sheetViews>
    <sheetView workbookViewId="0">
      <pane ySplit="1" topLeftCell="A2" activePane="bottomLeft" state="frozen"/>
      <selection pane="bottomLeft"/>
    </sheetView>
  </sheetViews>
  <sheetFormatPr defaultRowHeight="14.4" x14ac:dyDescent="0.3"/>
  <cols>
    <col min="1" max="4" width="13.6640625" customWidth="1"/>
  </cols>
  <sheetData>
    <row r="1" spans="1:4" ht="30" customHeight="1" x14ac:dyDescent="0.3">
      <c r="A1" s="1" t="s">
        <v>0</v>
      </c>
      <c r="B1" s="1" t="s">
        <v>953</v>
      </c>
      <c r="C1" s="1" t="s">
        <v>954</v>
      </c>
      <c r="D1" s="1" t="s">
        <v>1</v>
      </c>
    </row>
    <row r="2" spans="1:4" ht="13.05" customHeight="1" x14ac:dyDescent="0.3">
      <c r="A2" s="2" t="s">
        <v>12</v>
      </c>
      <c r="B2" s="2" t="s">
        <v>955</v>
      </c>
      <c r="C2" s="5" t="s">
        <v>956</v>
      </c>
      <c r="D2" s="2" t="s">
        <v>957</v>
      </c>
    </row>
    <row r="3" spans="1:4" ht="13.05" customHeight="1" x14ac:dyDescent="0.3">
      <c r="A3" s="2" t="s">
        <v>12</v>
      </c>
      <c r="B3" s="2" t="s">
        <v>955</v>
      </c>
      <c r="C3" s="5" t="s">
        <v>958</v>
      </c>
      <c r="D3" s="2" t="s">
        <v>959</v>
      </c>
    </row>
    <row r="4" spans="1:4" ht="13.05" customHeight="1" x14ac:dyDescent="0.3">
      <c r="A4" s="2" t="s">
        <v>12</v>
      </c>
      <c r="B4" s="2" t="s">
        <v>955</v>
      </c>
      <c r="C4" s="5" t="s">
        <v>960</v>
      </c>
      <c r="D4" s="2" t="s">
        <v>961</v>
      </c>
    </row>
    <row r="5" spans="1:4" ht="13.05" customHeight="1" x14ac:dyDescent="0.3">
      <c r="A5" s="2" t="s">
        <v>12</v>
      </c>
      <c r="B5" s="2" t="s">
        <v>955</v>
      </c>
      <c r="C5" s="5" t="s">
        <v>962</v>
      </c>
      <c r="D5" s="2" t="s">
        <v>963</v>
      </c>
    </row>
    <row r="6" spans="1:4" ht="13.05" customHeight="1" x14ac:dyDescent="0.3">
      <c r="A6" s="2" t="s">
        <v>12</v>
      </c>
      <c r="B6" s="2" t="s">
        <v>955</v>
      </c>
      <c r="C6" s="5" t="s">
        <v>964</v>
      </c>
      <c r="D6" s="2" t="s">
        <v>965</v>
      </c>
    </row>
    <row r="7" spans="1:4" ht="13.05" customHeight="1" x14ac:dyDescent="0.3">
      <c r="A7" s="2" t="s">
        <v>12</v>
      </c>
      <c r="B7" s="2" t="s">
        <v>955</v>
      </c>
      <c r="C7" s="5" t="s">
        <v>966</v>
      </c>
      <c r="D7" s="2" t="s">
        <v>967</v>
      </c>
    </row>
    <row r="8" spans="1:4" ht="13.05" customHeight="1" x14ac:dyDescent="0.3">
      <c r="A8" s="2" t="s">
        <v>12</v>
      </c>
      <c r="B8" s="2" t="s">
        <v>955</v>
      </c>
      <c r="C8" s="5" t="s">
        <v>968</v>
      </c>
      <c r="D8" s="2" t="s">
        <v>969</v>
      </c>
    </row>
    <row r="9" spans="1:4" ht="13.05" customHeight="1" x14ac:dyDescent="0.3">
      <c r="A9" s="2" t="s">
        <v>12</v>
      </c>
      <c r="B9" s="2" t="s">
        <v>955</v>
      </c>
      <c r="C9" s="5" t="s">
        <v>970</v>
      </c>
      <c r="D9" s="2" t="s">
        <v>971</v>
      </c>
    </row>
    <row r="10" spans="1:4" ht="13.05" customHeight="1" x14ac:dyDescent="0.3">
      <c r="A10" s="2" t="s">
        <v>12</v>
      </c>
      <c r="B10" s="2" t="s">
        <v>955</v>
      </c>
      <c r="C10" s="5" t="s">
        <v>972</v>
      </c>
      <c r="D10" s="2" t="s">
        <v>973</v>
      </c>
    </row>
    <row r="11" spans="1:4" ht="13.05" customHeight="1" x14ac:dyDescent="0.3">
      <c r="A11" s="2" t="s">
        <v>16</v>
      </c>
      <c r="B11" s="2" t="s">
        <v>955</v>
      </c>
      <c r="C11" s="5" t="s">
        <v>974</v>
      </c>
      <c r="D11" s="2" t="s">
        <v>975</v>
      </c>
    </row>
    <row r="12" spans="1:4" ht="13.05" customHeight="1" x14ac:dyDescent="0.3">
      <c r="A12" s="2" t="s">
        <v>16</v>
      </c>
      <c r="B12" s="2" t="s">
        <v>955</v>
      </c>
      <c r="C12" s="5" t="s">
        <v>956</v>
      </c>
      <c r="D12" s="2" t="s">
        <v>957</v>
      </c>
    </row>
    <row r="13" spans="1:4" ht="13.05" customHeight="1" x14ac:dyDescent="0.3">
      <c r="A13" s="2" t="s">
        <v>16</v>
      </c>
      <c r="B13" s="2" t="s">
        <v>955</v>
      </c>
      <c r="C13" s="5" t="s">
        <v>958</v>
      </c>
      <c r="D13" s="2" t="s">
        <v>959</v>
      </c>
    </row>
    <row r="14" spans="1:4" ht="13.05" customHeight="1" x14ac:dyDescent="0.3">
      <c r="A14" s="2" t="s">
        <v>16</v>
      </c>
      <c r="B14" s="2" t="s">
        <v>955</v>
      </c>
      <c r="C14" s="5" t="s">
        <v>960</v>
      </c>
      <c r="D14" s="2" t="s">
        <v>961</v>
      </c>
    </row>
    <row r="15" spans="1:4" ht="13.05" customHeight="1" x14ac:dyDescent="0.3">
      <c r="A15" s="2" t="s">
        <v>16</v>
      </c>
      <c r="B15" s="2" t="s">
        <v>955</v>
      </c>
      <c r="C15" s="5" t="s">
        <v>962</v>
      </c>
      <c r="D15" s="2" t="s">
        <v>976</v>
      </c>
    </row>
    <row r="16" spans="1:4" ht="13.05" customHeight="1" x14ac:dyDescent="0.3">
      <c r="A16" s="2" t="s">
        <v>16</v>
      </c>
      <c r="B16" s="2" t="s">
        <v>955</v>
      </c>
      <c r="C16" s="5" t="s">
        <v>964</v>
      </c>
      <c r="D16" s="2" t="s">
        <v>977</v>
      </c>
    </row>
    <row r="17" spans="1:4" ht="13.05" customHeight="1" x14ac:dyDescent="0.3">
      <c r="A17" s="2" t="s">
        <v>16</v>
      </c>
      <c r="B17" s="2" t="s">
        <v>955</v>
      </c>
      <c r="C17" s="5" t="s">
        <v>966</v>
      </c>
      <c r="D17" s="2" t="s">
        <v>978</v>
      </c>
    </row>
    <row r="18" spans="1:4" ht="13.05" customHeight="1" x14ac:dyDescent="0.3">
      <c r="A18" s="2" t="s">
        <v>16</v>
      </c>
      <c r="B18" s="2" t="s">
        <v>955</v>
      </c>
      <c r="C18" s="5" t="s">
        <v>968</v>
      </c>
      <c r="D18" s="2" t="s">
        <v>979</v>
      </c>
    </row>
    <row r="19" spans="1:4" ht="13.05" customHeight="1" x14ac:dyDescent="0.3">
      <c r="A19" s="2" t="s">
        <v>16</v>
      </c>
      <c r="B19" s="2" t="s">
        <v>955</v>
      </c>
      <c r="C19" s="5" t="s">
        <v>970</v>
      </c>
      <c r="D19" s="2" t="s">
        <v>827</v>
      </c>
    </row>
    <row r="20" spans="1:4" ht="13.05" customHeight="1" x14ac:dyDescent="0.3">
      <c r="A20" s="2" t="s">
        <v>16</v>
      </c>
      <c r="B20" s="2" t="s">
        <v>955</v>
      </c>
      <c r="C20" s="5" t="s">
        <v>972</v>
      </c>
      <c r="D20" s="2" t="s">
        <v>980</v>
      </c>
    </row>
    <row r="21" spans="1:4" ht="13.05" customHeight="1" x14ac:dyDescent="0.3">
      <c r="A21" s="2" t="s">
        <v>16</v>
      </c>
      <c r="B21" s="2" t="s">
        <v>955</v>
      </c>
      <c r="C21" s="5" t="s">
        <v>981</v>
      </c>
      <c r="D21" s="2" t="s">
        <v>982</v>
      </c>
    </row>
    <row r="22" spans="1:4" ht="13.05" customHeight="1" x14ac:dyDescent="0.3">
      <c r="A22" s="2" t="s">
        <v>16</v>
      </c>
      <c r="B22" s="2" t="s">
        <v>955</v>
      </c>
      <c r="C22" s="5" t="s">
        <v>983</v>
      </c>
      <c r="D22" s="2" t="s">
        <v>984</v>
      </c>
    </row>
    <row r="23" spans="1:4" ht="13.05" customHeight="1" x14ac:dyDescent="0.3">
      <c r="A23" s="2" t="s">
        <v>19</v>
      </c>
      <c r="B23" s="2" t="s">
        <v>955</v>
      </c>
      <c r="C23" s="5" t="s">
        <v>974</v>
      </c>
      <c r="D23" s="2" t="s">
        <v>975</v>
      </c>
    </row>
    <row r="24" spans="1:4" ht="13.05" customHeight="1" x14ac:dyDescent="0.3">
      <c r="A24" s="2" t="s">
        <v>19</v>
      </c>
      <c r="B24" s="2" t="s">
        <v>955</v>
      </c>
      <c r="C24" s="5" t="s">
        <v>956</v>
      </c>
      <c r="D24" s="2" t="s">
        <v>957</v>
      </c>
    </row>
    <row r="25" spans="1:4" ht="13.05" customHeight="1" x14ac:dyDescent="0.3">
      <c r="A25" s="2" t="s">
        <v>19</v>
      </c>
      <c r="B25" s="2" t="s">
        <v>955</v>
      </c>
      <c r="C25" s="5" t="s">
        <v>958</v>
      </c>
      <c r="D25" s="2" t="s">
        <v>959</v>
      </c>
    </row>
    <row r="26" spans="1:4" ht="13.05" customHeight="1" x14ac:dyDescent="0.3">
      <c r="A26" s="2" t="s">
        <v>19</v>
      </c>
      <c r="B26" s="2" t="s">
        <v>955</v>
      </c>
      <c r="C26" s="5" t="s">
        <v>960</v>
      </c>
      <c r="D26" s="2" t="s">
        <v>961</v>
      </c>
    </row>
    <row r="27" spans="1:4" ht="13.05" customHeight="1" x14ac:dyDescent="0.3">
      <c r="A27" s="2" t="s">
        <v>19</v>
      </c>
      <c r="B27" s="2" t="s">
        <v>955</v>
      </c>
      <c r="C27" s="5" t="s">
        <v>962</v>
      </c>
      <c r="D27" s="2" t="s">
        <v>976</v>
      </c>
    </row>
    <row r="28" spans="1:4" ht="13.05" customHeight="1" x14ac:dyDescent="0.3">
      <c r="A28" s="2" t="s">
        <v>19</v>
      </c>
      <c r="B28" s="2" t="s">
        <v>955</v>
      </c>
      <c r="C28" s="5" t="s">
        <v>964</v>
      </c>
      <c r="D28" s="2" t="s">
        <v>977</v>
      </c>
    </row>
    <row r="29" spans="1:4" ht="13.05" customHeight="1" x14ac:dyDescent="0.3">
      <c r="A29" s="2" t="s">
        <v>19</v>
      </c>
      <c r="B29" s="2" t="s">
        <v>955</v>
      </c>
      <c r="C29" s="5" t="s">
        <v>966</v>
      </c>
      <c r="D29" s="2" t="s">
        <v>978</v>
      </c>
    </row>
    <row r="30" spans="1:4" ht="13.05" customHeight="1" x14ac:dyDescent="0.3">
      <c r="A30" s="2" t="s">
        <v>19</v>
      </c>
      <c r="B30" s="2" t="s">
        <v>955</v>
      </c>
      <c r="C30" s="5" t="s">
        <v>968</v>
      </c>
      <c r="D30" s="2" t="s">
        <v>979</v>
      </c>
    </row>
    <row r="31" spans="1:4" ht="13.05" customHeight="1" x14ac:dyDescent="0.3">
      <c r="A31" s="2" t="s">
        <v>19</v>
      </c>
      <c r="B31" s="2" t="s">
        <v>955</v>
      </c>
      <c r="C31" s="5" t="s">
        <v>970</v>
      </c>
      <c r="D31" s="2" t="s">
        <v>827</v>
      </c>
    </row>
    <row r="32" spans="1:4" ht="13.05" customHeight="1" x14ac:dyDescent="0.3">
      <c r="A32" s="2" t="s">
        <v>19</v>
      </c>
      <c r="B32" s="2" t="s">
        <v>955</v>
      </c>
      <c r="C32" s="5" t="s">
        <v>972</v>
      </c>
      <c r="D32" s="2" t="s">
        <v>980</v>
      </c>
    </row>
    <row r="33" spans="1:4" ht="13.05" customHeight="1" x14ac:dyDescent="0.3">
      <c r="A33" s="2" t="s">
        <v>19</v>
      </c>
      <c r="B33" s="2" t="s">
        <v>955</v>
      </c>
      <c r="C33" s="5" t="s">
        <v>981</v>
      </c>
      <c r="D33" s="2" t="s">
        <v>982</v>
      </c>
    </row>
    <row r="34" spans="1:4" ht="13.05" customHeight="1" x14ac:dyDescent="0.3">
      <c r="A34" s="2" t="s">
        <v>19</v>
      </c>
      <c r="B34" s="2" t="s">
        <v>955</v>
      </c>
      <c r="C34" s="5" t="s">
        <v>983</v>
      </c>
      <c r="D34" s="2" t="s">
        <v>984</v>
      </c>
    </row>
    <row r="35" spans="1:4" ht="13.05" customHeight="1" x14ac:dyDescent="0.3">
      <c r="A35" s="2" t="s">
        <v>21</v>
      </c>
      <c r="B35" s="2" t="s">
        <v>955</v>
      </c>
      <c r="C35" s="5" t="s">
        <v>974</v>
      </c>
      <c r="D35" s="2" t="s">
        <v>975</v>
      </c>
    </row>
    <row r="36" spans="1:4" ht="13.05" customHeight="1" x14ac:dyDescent="0.3">
      <c r="A36" s="2" t="s">
        <v>21</v>
      </c>
      <c r="B36" s="2" t="s">
        <v>955</v>
      </c>
      <c r="C36" s="5" t="s">
        <v>956</v>
      </c>
      <c r="D36" s="2" t="s">
        <v>957</v>
      </c>
    </row>
    <row r="37" spans="1:4" ht="13.05" customHeight="1" x14ac:dyDescent="0.3">
      <c r="A37" s="2" t="s">
        <v>21</v>
      </c>
      <c r="B37" s="2" t="s">
        <v>955</v>
      </c>
      <c r="C37" s="5" t="s">
        <v>958</v>
      </c>
      <c r="D37" s="2" t="s">
        <v>959</v>
      </c>
    </row>
    <row r="38" spans="1:4" ht="13.05" customHeight="1" x14ac:dyDescent="0.3">
      <c r="A38" s="2" t="s">
        <v>21</v>
      </c>
      <c r="B38" s="2" t="s">
        <v>955</v>
      </c>
      <c r="C38" s="5" t="s">
        <v>960</v>
      </c>
      <c r="D38" s="2" t="s">
        <v>961</v>
      </c>
    </row>
    <row r="39" spans="1:4" ht="13.05" customHeight="1" x14ac:dyDescent="0.3">
      <c r="A39" s="2" t="s">
        <v>21</v>
      </c>
      <c r="B39" s="2" t="s">
        <v>955</v>
      </c>
      <c r="C39" s="5" t="s">
        <v>962</v>
      </c>
      <c r="D39" s="2" t="s">
        <v>976</v>
      </c>
    </row>
    <row r="40" spans="1:4" ht="13.05" customHeight="1" x14ac:dyDescent="0.3">
      <c r="A40" s="2" t="s">
        <v>21</v>
      </c>
      <c r="B40" s="2" t="s">
        <v>955</v>
      </c>
      <c r="C40" s="5" t="s">
        <v>964</v>
      </c>
      <c r="D40" s="2" t="s">
        <v>977</v>
      </c>
    </row>
    <row r="41" spans="1:4" ht="13.05" customHeight="1" x14ac:dyDescent="0.3">
      <c r="A41" s="2" t="s">
        <v>21</v>
      </c>
      <c r="B41" s="2" t="s">
        <v>955</v>
      </c>
      <c r="C41" s="5" t="s">
        <v>966</v>
      </c>
      <c r="D41" s="2" t="s">
        <v>978</v>
      </c>
    </row>
    <row r="42" spans="1:4" ht="13.05" customHeight="1" x14ac:dyDescent="0.3">
      <c r="A42" s="2" t="s">
        <v>21</v>
      </c>
      <c r="B42" s="2" t="s">
        <v>955</v>
      </c>
      <c r="C42" s="5" t="s">
        <v>968</v>
      </c>
      <c r="D42" s="2" t="s">
        <v>979</v>
      </c>
    </row>
    <row r="43" spans="1:4" ht="13.05" customHeight="1" x14ac:dyDescent="0.3">
      <c r="A43" s="2" t="s">
        <v>21</v>
      </c>
      <c r="B43" s="2" t="s">
        <v>955</v>
      </c>
      <c r="C43" s="5" t="s">
        <v>970</v>
      </c>
      <c r="D43" s="2" t="s">
        <v>827</v>
      </c>
    </row>
    <row r="44" spans="1:4" ht="13.05" customHeight="1" x14ac:dyDescent="0.3">
      <c r="A44" s="2" t="s">
        <v>21</v>
      </c>
      <c r="B44" s="2" t="s">
        <v>955</v>
      </c>
      <c r="C44" s="5" t="s">
        <v>972</v>
      </c>
      <c r="D44" s="2" t="s">
        <v>980</v>
      </c>
    </row>
    <row r="45" spans="1:4" ht="13.05" customHeight="1" x14ac:dyDescent="0.3">
      <c r="A45" s="2" t="s">
        <v>21</v>
      </c>
      <c r="B45" s="2" t="s">
        <v>955</v>
      </c>
      <c r="C45" s="5" t="s">
        <v>981</v>
      </c>
      <c r="D45" s="2" t="s">
        <v>982</v>
      </c>
    </row>
    <row r="46" spans="1:4" ht="13.05" customHeight="1" x14ac:dyDescent="0.3">
      <c r="A46" s="2" t="s">
        <v>21</v>
      </c>
      <c r="B46" s="2" t="s">
        <v>955</v>
      </c>
      <c r="C46" s="5" t="s">
        <v>983</v>
      </c>
      <c r="D46" s="2" t="s">
        <v>984</v>
      </c>
    </row>
    <row r="47" spans="1:4" ht="13.05" customHeight="1" x14ac:dyDescent="0.3">
      <c r="A47" s="2" t="s">
        <v>23</v>
      </c>
      <c r="B47" s="2" t="s">
        <v>955</v>
      </c>
      <c r="C47" s="5" t="s">
        <v>974</v>
      </c>
      <c r="D47" s="2" t="s">
        <v>975</v>
      </c>
    </row>
    <row r="48" spans="1:4" ht="13.05" customHeight="1" x14ac:dyDescent="0.3">
      <c r="A48" s="2" t="s">
        <v>23</v>
      </c>
      <c r="B48" s="2" t="s">
        <v>955</v>
      </c>
      <c r="C48" s="5" t="s">
        <v>956</v>
      </c>
      <c r="D48" s="2" t="s">
        <v>957</v>
      </c>
    </row>
    <row r="49" spans="1:4" ht="13.05" customHeight="1" x14ac:dyDescent="0.3">
      <c r="A49" s="2" t="s">
        <v>23</v>
      </c>
      <c r="B49" s="2" t="s">
        <v>955</v>
      </c>
      <c r="C49" s="5" t="s">
        <v>958</v>
      </c>
      <c r="D49" s="2" t="s">
        <v>959</v>
      </c>
    </row>
    <row r="50" spans="1:4" ht="13.05" customHeight="1" x14ac:dyDescent="0.3">
      <c r="A50" s="2" t="s">
        <v>23</v>
      </c>
      <c r="B50" s="2" t="s">
        <v>955</v>
      </c>
      <c r="C50" s="5" t="s">
        <v>960</v>
      </c>
      <c r="D50" s="2" t="s">
        <v>961</v>
      </c>
    </row>
    <row r="51" spans="1:4" ht="13.05" customHeight="1" x14ac:dyDescent="0.3">
      <c r="A51" s="2" t="s">
        <v>23</v>
      </c>
      <c r="B51" s="2" t="s">
        <v>955</v>
      </c>
      <c r="C51" s="5" t="s">
        <v>962</v>
      </c>
      <c r="D51" s="2" t="s">
        <v>976</v>
      </c>
    </row>
    <row r="52" spans="1:4" ht="13.05" customHeight="1" x14ac:dyDescent="0.3">
      <c r="A52" s="2" t="s">
        <v>23</v>
      </c>
      <c r="B52" s="2" t="s">
        <v>955</v>
      </c>
      <c r="C52" s="5" t="s">
        <v>964</v>
      </c>
      <c r="D52" s="2" t="s">
        <v>977</v>
      </c>
    </row>
    <row r="53" spans="1:4" ht="13.05" customHeight="1" x14ac:dyDescent="0.3">
      <c r="A53" s="2" t="s">
        <v>23</v>
      </c>
      <c r="B53" s="2" t="s">
        <v>955</v>
      </c>
      <c r="C53" s="5" t="s">
        <v>966</v>
      </c>
      <c r="D53" s="2" t="s">
        <v>978</v>
      </c>
    </row>
    <row r="54" spans="1:4" ht="13.05" customHeight="1" x14ac:dyDescent="0.3">
      <c r="A54" s="2" t="s">
        <v>23</v>
      </c>
      <c r="B54" s="2" t="s">
        <v>955</v>
      </c>
      <c r="C54" s="5" t="s">
        <v>968</v>
      </c>
      <c r="D54" s="2" t="s">
        <v>979</v>
      </c>
    </row>
    <row r="55" spans="1:4" ht="13.05" customHeight="1" x14ac:dyDescent="0.3">
      <c r="A55" s="2" t="s">
        <v>23</v>
      </c>
      <c r="B55" s="2" t="s">
        <v>955</v>
      </c>
      <c r="C55" s="5" t="s">
        <v>970</v>
      </c>
      <c r="D55" s="2" t="s">
        <v>827</v>
      </c>
    </row>
    <row r="56" spans="1:4" ht="13.05" customHeight="1" x14ac:dyDescent="0.3">
      <c r="A56" s="2" t="s">
        <v>23</v>
      </c>
      <c r="B56" s="2" t="s">
        <v>955</v>
      </c>
      <c r="C56" s="5" t="s">
        <v>972</v>
      </c>
      <c r="D56" s="2" t="s">
        <v>980</v>
      </c>
    </row>
    <row r="57" spans="1:4" ht="13.05" customHeight="1" x14ac:dyDescent="0.3">
      <c r="A57" s="2" t="s">
        <v>23</v>
      </c>
      <c r="B57" s="2" t="s">
        <v>955</v>
      </c>
      <c r="C57" s="5" t="s">
        <v>981</v>
      </c>
      <c r="D57" s="2" t="s">
        <v>982</v>
      </c>
    </row>
    <row r="58" spans="1:4" ht="13.05" customHeight="1" x14ac:dyDescent="0.3">
      <c r="A58" s="2" t="s">
        <v>23</v>
      </c>
      <c r="B58" s="2" t="s">
        <v>955</v>
      </c>
      <c r="C58" s="5" t="s">
        <v>983</v>
      </c>
      <c r="D58" s="2" t="s">
        <v>984</v>
      </c>
    </row>
    <row r="59" spans="1:4" ht="13.05" customHeight="1" x14ac:dyDescent="0.3">
      <c r="A59" s="2" t="s">
        <v>25</v>
      </c>
      <c r="B59" s="2" t="s">
        <v>955</v>
      </c>
      <c r="C59" s="5" t="s">
        <v>974</v>
      </c>
      <c r="D59" s="2" t="s">
        <v>975</v>
      </c>
    </row>
    <row r="60" spans="1:4" ht="13.05" customHeight="1" x14ac:dyDescent="0.3">
      <c r="A60" s="2" t="s">
        <v>25</v>
      </c>
      <c r="B60" s="2" t="s">
        <v>955</v>
      </c>
      <c r="C60" s="5" t="s">
        <v>956</v>
      </c>
      <c r="D60" s="2" t="s">
        <v>957</v>
      </c>
    </row>
    <row r="61" spans="1:4" ht="13.05" customHeight="1" x14ac:dyDescent="0.3">
      <c r="A61" s="2" t="s">
        <v>25</v>
      </c>
      <c r="B61" s="2" t="s">
        <v>955</v>
      </c>
      <c r="C61" s="5" t="s">
        <v>958</v>
      </c>
      <c r="D61" s="2" t="s">
        <v>959</v>
      </c>
    </row>
    <row r="62" spans="1:4" ht="13.05" customHeight="1" x14ac:dyDescent="0.3">
      <c r="A62" s="2" t="s">
        <v>25</v>
      </c>
      <c r="B62" s="2" t="s">
        <v>955</v>
      </c>
      <c r="C62" s="5" t="s">
        <v>960</v>
      </c>
      <c r="D62" s="2" t="s">
        <v>961</v>
      </c>
    </row>
    <row r="63" spans="1:4" ht="13.05" customHeight="1" x14ac:dyDescent="0.3">
      <c r="A63" s="2" t="s">
        <v>25</v>
      </c>
      <c r="B63" s="2" t="s">
        <v>955</v>
      </c>
      <c r="C63" s="5" t="s">
        <v>962</v>
      </c>
      <c r="D63" s="2" t="s">
        <v>976</v>
      </c>
    </row>
    <row r="64" spans="1:4" ht="13.05" customHeight="1" x14ac:dyDescent="0.3">
      <c r="A64" s="2" t="s">
        <v>25</v>
      </c>
      <c r="B64" s="2" t="s">
        <v>955</v>
      </c>
      <c r="C64" s="5" t="s">
        <v>964</v>
      </c>
      <c r="D64" s="2" t="s">
        <v>977</v>
      </c>
    </row>
    <row r="65" spans="1:4" ht="13.05" customHeight="1" x14ac:dyDescent="0.3">
      <c r="A65" s="2" t="s">
        <v>25</v>
      </c>
      <c r="B65" s="2" t="s">
        <v>955</v>
      </c>
      <c r="C65" s="5" t="s">
        <v>966</v>
      </c>
      <c r="D65" s="2" t="s">
        <v>978</v>
      </c>
    </row>
    <row r="66" spans="1:4" ht="13.05" customHeight="1" x14ac:dyDescent="0.3">
      <c r="A66" s="2" t="s">
        <v>25</v>
      </c>
      <c r="B66" s="2" t="s">
        <v>955</v>
      </c>
      <c r="C66" s="5" t="s">
        <v>968</v>
      </c>
      <c r="D66" s="2" t="s">
        <v>979</v>
      </c>
    </row>
    <row r="67" spans="1:4" ht="13.05" customHeight="1" x14ac:dyDescent="0.3">
      <c r="A67" s="2" t="s">
        <v>25</v>
      </c>
      <c r="B67" s="2" t="s">
        <v>955</v>
      </c>
      <c r="C67" s="5" t="s">
        <v>970</v>
      </c>
      <c r="D67" s="2" t="s">
        <v>827</v>
      </c>
    </row>
    <row r="68" spans="1:4" ht="13.05" customHeight="1" x14ac:dyDescent="0.3">
      <c r="A68" s="2" t="s">
        <v>25</v>
      </c>
      <c r="B68" s="2" t="s">
        <v>955</v>
      </c>
      <c r="C68" s="5" t="s">
        <v>972</v>
      </c>
      <c r="D68" s="2" t="s">
        <v>980</v>
      </c>
    </row>
    <row r="69" spans="1:4" ht="13.05" customHeight="1" x14ac:dyDescent="0.3">
      <c r="A69" s="2" t="s">
        <v>25</v>
      </c>
      <c r="B69" s="2" t="s">
        <v>955</v>
      </c>
      <c r="C69" s="5" t="s">
        <v>981</v>
      </c>
      <c r="D69" s="2" t="s">
        <v>982</v>
      </c>
    </row>
    <row r="70" spans="1:4" ht="13.05" customHeight="1" x14ac:dyDescent="0.3">
      <c r="A70" s="2" t="s">
        <v>25</v>
      </c>
      <c r="B70" s="2" t="s">
        <v>955</v>
      </c>
      <c r="C70" s="5" t="s">
        <v>983</v>
      </c>
      <c r="D70" s="2" t="s">
        <v>984</v>
      </c>
    </row>
    <row r="71" spans="1:4" ht="13.05" customHeight="1" x14ac:dyDescent="0.3">
      <c r="A71" s="2" t="s">
        <v>27</v>
      </c>
      <c r="B71" s="2" t="s">
        <v>955</v>
      </c>
      <c r="C71" s="5" t="s">
        <v>974</v>
      </c>
      <c r="D71" s="2" t="s">
        <v>975</v>
      </c>
    </row>
    <row r="72" spans="1:4" ht="13.05" customHeight="1" x14ac:dyDescent="0.3">
      <c r="A72" s="2" t="s">
        <v>27</v>
      </c>
      <c r="B72" s="2" t="s">
        <v>955</v>
      </c>
      <c r="C72" s="5" t="s">
        <v>956</v>
      </c>
      <c r="D72" s="2" t="s">
        <v>957</v>
      </c>
    </row>
    <row r="73" spans="1:4" ht="13.05" customHeight="1" x14ac:dyDescent="0.3">
      <c r="A73" s="2" t="s">
        <v>27</v>
      </c>
      <c r="B73" s="2" t="s">
        <v>955</v>
      </c>
      <c r="C73" s="5" t="s">
        <v>958</v>
      </c>
      <c r="D73" s="2" t="s">
        <v>959</v>
      </c>
    </row>
    <row r="74" spans="1:4" ht="13.05" customHeight="1" x14ac:dyDescent="0.3">
      <c r="A74" s="2" t="s">
        <v>27</v>
      </c>
      <c r="B74" s="2" t="s">
        <v>955</v>
      </c>
      <c r="C74" s="5" t="s">
        <v>960</v>
      </c>
      <c r="D74" s="2" t="s">
        <v>961</v>
      </c>
    </row>
    <row r="75" spans="1:4" ht="13.05" customHeight="1" x14ac:dyDescent="0.3">
      <c r="A75" s="2" t="s">
        <v>27</v>
      </c>
      <c r="B75" s="2" t="s">
        <v>955</v>
      </c>
      <c r="C75" s="5" t="s">
        <v>962</v>
      </c>
      <c r="D75" s="2" t="s">
        <v>976</v>
      </c>
    </row>
    <row r="76" spans="1:4" ht="13.05" customHeight="1" x14ac:dyDescent="0.3">
      <c r="A76" s="2" t="s">
        <v>27</v>
      </c>
      <c r="B76" s="2" t="s">
        <v>955</v>
      </c>
      <c r="C76" s="5" t="s">
        <v>964</v>
      </c>
      <c r="D76" s="2" t="s">
        <v>977</v>
      </c>
    </row>
    <row r="77" spans="1:4" ht="13.05" customHeight="1" x14ac:dyDescent="0.3">
      <c r="A77" s="2" t="s">
        <v>27</v>
      </c>
      <c r="B77" s="2" t="s">
        <v>955</v>
      </c>
      <c r="C77" s="5" t="s">
        <v>966</v>
      </c>
      <c r="D77" s="2" t="s">
        <v>978</v>
      </c>
    </row>
    <row r="78" spans="1:4" ht="13.05" customHeight="1" x14ac:dyDescent="0.3">
      <c r="A78" s="2" t="s">
        <v>27</v>
      </c>
      <c r="B78" s="2" t="s">
        <v>955</v>
      </c>
      <c r="C78" s="5" t="s">
        <v>968</v>
      </c>
      <c r="D78" s="2" t="s">
        <v>979</v>
      </c>
    </row>
    <row r="79" spans="1:4" ht="13.05" customHeight="1" x14ac:dyDescent="0.3">
      <c r="A79" s="2" t="s">
        <v>27</v>
      </c>
      <c r="B79" s="2" t="s">
        <v>955</v>
      </c>
      <c r="C79" s="5" t="s">
        <v>970</v>
      </c>
      <c r="D79" s="2" t="s">
        <v>827</v>
      </c>
    </row>
    <row r="80" spans="1:4" ht="13.05" customHeight="1" x14ac:dyDescent="0.3">
      <c r="A80" s="2" t="s">
        <v>27</v>
      </c>
      <c r="B80" s="2" t="s">
        <v>955</v>
      </c>
      <c r="C80" s="5" t="s">
        <v>972</v>
      </c>
      <c r="D80" s="2" t="s">
        <v>980</v>
      </c>
    </row>
    <row r="81" spans="1:4" ht="13.05" customHeight="1" x14ac:dyDescent="0.3">
      <c r="A81" s="2" t="s">
        <v>27</v>
      </c>
      <c r="B81" s="2" t="s">
        <v>955</v>
      </c>
      <c r="C81" s="5" t="s">
        <v>981</v>
      </c>
      <c r="D81" s="2" t="s">
        <v>982</v>
      </c>
    </row>
    <row r="82" spans="1:4" ht="13.05" customHeight="1" x14ac:dyDescent="0.3">
      <c r="A82" s="2" t="s">
        <v>27</v>
      </c>
      <c r="B82" s="2" t="s">
        <v>955</v>
      </c>
      <c r="C82" s="5" t="s">
        <v>983</v>
      </c>
      <c r="D82" s="2" t="s">
        <v>984</v>
      </c>
    </row>
    <row r="83" spans="1:4" ht="13.05" customHeight="1" x14ac:dyDescent="0.3">
      <c r="A83" s="2" t="s">
        <v>29</v>
      </c>
      <c r="B83" s="2" t="s">
        <v>955</v>
      </c>
      <c r="C83" s="5" t="s">
        <v>974</v>
      </c>
      <c r="D83" s="2" t="s">
        <v>975</v>
      </c>
    </row>
    <row r="84" spans="1:4" ht="13.05" customHeight="1" x14ac:dyDescent="0.3">
      <c r="A84" s="2" t="s">
        <v>29</v>
      </c>
      <c r="B84" s="2" t="s">
        <v>955</v>
      </c>
      <c r="C84" s="5" t="s">
        <v>956</v>
      </c>
      <c r="D84" s="2" t="s">
        <v>957</v>
      </c>
    </row>
    <row r="85" spans="1:4" ht="13.05" customHeight="1" x14ac:dyDescent="0.3">
      <c r="A85" s="2" t="s">
        <v>29</v>
      </c>
      <c r="B85" s="2" t="s">
        <v>955</v>
      </c>
      <c r="C85" s="5" t="s">
        <v>958</v>
      </c>
      <c r="D85" s="2" t="s">
        <v>959</v>
      </c>
    </row>
    <row r="86" spans="1:4" ht="13.05" customHeight="1" x14ac:dyDescent="0.3">
      <c r="A86" s="2" t="s">
        <v>29</v>
      </c>
      <c r="B86" s="2" t="s">
        <v>955</v>
      </c>
      <c r="C86" s="5" t="s">
        <v>960</v>
      </c>
      <c r="D86" s="2" t="s">
        <v>961</v>
      </c>
    </row>
    <row r="87" spans="1:4" ht="13.05" customHeight="1" x14ac:dyDescent="0.3">
      <c r="A87" s="2" t="s">
        <v>29</v>
      </c>
      <c r="B87" s="2" t="s">
        <v>955</v>
      </c>
      <c r="C87" s="5" t="s">
        <v>962</v>
      </c>
      <c r="D87" s="2" t="s">
        <v>976</v>
      </c>
    </row>
    <row r="88" spans="1:4" ht="13.05" customHeight="1" x14ac:dyDescent="0.3">
      <c r="A88" s="2" t="s">
        <v>29</v>
      </c>
      <c r="B88" s="2" t="s">
        <v>955</v>
      </c>
      <c r="C88" s="5" t="s">
        <v>964</v>
      </c>
      <c r="D88" s="2" t="s">
        <v>977</v>
      </c>
    </row>
    <row r="89" spans="1:4" ht="13.05" customHeight="1" x14ac:dyDescent="0.3">
      <c r="A89" s="2" t="s">
        <v>29</v>
      </c>
      <c r="B89" s="2" t="s">
        <v>955</v>
      </c>
      <c r="C89" s="5" t="s">
        <v>966</v>
      </c>
      <c r="D89" s="2" t="s">
        <v>978</v>
      </c>
    </row>
    <row r="90" spans="1:4" ht="13.05" customHeight="1" x14ac:dyDescent="0.3">
      <c r="A90" s="2" t="s">
        <v>29</v>
      </c>
      <c r="B90" s="2" t="s">
        <v>955</v>
      </c>
      <c r="C90" s="5" t="s">
        <v>968</v>
      </c>
      <c r="D90" s="2" t="s">
        <v>979</v>
      </c>
    </row>
    <row r="91" spans="1:4" ht="13.05" customHeight="1" x14ac:dyDescent="0.3">
      <c r="A91" s="2" t="s">
        <v>29</v>
      </c>
      <c r="B91" s="2" t="s">
        <v>955</v>
      </c>
      <c r="C91" s="5" t="s">
        <v>970</v>
      </c>
      <c r="D91" s="2" t="s">
        <v>827</v>
      </c>
    </row>
    <row r="92" spans="1:4" ht="13.05" customHeight="1" x14ac:dyDescent="0.3">
      <c r="A92" s="2" t="s">
        <v>29</v>
      </c>
      <c r="B92" s="2" t="s">
        <v>955</v>
      </c>
      <c r="C92" s="5" t="s">
        <v>972</v>
      </c>
      <c r="D92" s="2" t="s">
        <v>980</v>
      </c>
    </row>
    <row r="93" spans="1:4" ht="13.05" customHeight="1" x14ac:dyDescent="0.3">
      <c r="A93" s="2" t="s">
        <v>29</v>
      </c>
      <c r="B93" s="2" t="s">
        <v>955</v>
      </c>
      <c r="C93" s="5" t="s">
        <v>981</v>
      </c>
      <c r="D93" s="2" t="s">
        <v>982</v>
      </c>
    </row>
    <row r="94" spans="1:4" ht="13.05" customHeight="1" x14ac:dyDescent="0.3">
      <c r="A94" s="2" t="s">
        <v>29</v>
      </c>
      <c r="B94" s="2" t="s">
        <v>955</v>
      </c>
      <c r="C94" s="5" t="s">
        <v>983</v>
      </c>
      <c r="D94" s="2" t="s">
        <v>984</v>
      </c>
    </row>
    <row r="95" spans="1:4" ht="13.05" customHeight="1" x14ac:dyDescent="0.3">
      <c r="A95" s="2" t="s">
        <v>31</v>
      </c>
      <c r="B95" s="2" t="s">
        <v>955</v>
      </c>
      <c r="C95" s="5" t="s">
        <v>974</v>
      </c>
      <c r="D95" s="2" t="s">
        <v>975</v>
      </c>
    </row>
    <row r="96" spans="1:4" ht="13.05" customHeight="1" x14ac:dyDescent="0.3">
      <c r="A96" s="2" t="s">
        <v>31</v>
      </c>
      <c r="B96" s="2" t="s">
        <v>955</v>
      </c>
      <c r="C96" s="5" t="s">
        <v>956</v>
      </c>
      <c r="D96" s="2" t="s">
        <v>957</v>
      </c>
    </row>
    <row r="97" spans="1:4" ht="13.05" customHeight="1" x14ac:dyDescent="0.3">
      <c r="A97" s="2" t="s">
        <v>31</v>
      </c>
      <c r="B97" s="2" t="s">
        <v>955</v>
      </c>
      <c r="C97" s="5" t="s">
        <v>958</v>
      </c>
      <c r="D97" s="2" t="s">
        <v>959</v>
      </c>
    </row>
    <row r="98" spans="1:4" ht="13.05" customHeight="1" x14ac:dyDescent="0.3">
      <c r="A98" s="2" t="s">
        <v>31</v>
      </c>
      <c r="B98" s="2" t="s">
        <v>955</v>
      </c>
      <c r="C98" s="5" t="s">
        <v>960</v>
      </c>
      <c r="D98" s="2" t="s">
        <v>961</v>
      </c>
    </row>
    <row r="99" spans="1:4" ht="13.05" customHeight="1" x14ac:dyDescent="0.3">
      <c r="A99" s="2" t="s">
        <v>31</v>
      </c>
      <c r="B99" s="2" t="s">
        <v>955</v>
      </c>
      <c r="C99" s="5" t="s">
        <v>962</v>
      </c>
      <c r="D99" s="2" t="s">
        <v>976</v>
      </c>
    </row>
    <row r="100" spans="1:4" ht="13.05" customHeight="1" x14ac:dyDescent="0.3">
      <c r="A100" s="2" t="s">
        <v>31</v>
      </c>
      <c r="B100" s="2" t="s">
        <v>955</v>
      </c>
      <c r="C100" s="5" t="s">
        <v>964</v>
      </c>
      <c r="D100" s="2" t="s">
        <v>977</v>
      </c>
    </row>
    <row r="101" spans="1:4" ht="13.05" customHeight="1" x14ac:dyDescent="0.3">
      <c r="A101" s="2" t="s">
        <v>31</v>
      </c>
      <c r="B101" s="2" t="s">
        <v>955</v>
      </c>
      <c r="C101" s="5" t="s">
        <v>966</v>
      </c>
      <c r="D101" s="2" t="s">
        <v>978</v>
      </c>
    </row>
    <row r="102" spans="1:4" ht="13.05" customHeight="1" x14ac:dyDescent="0.3">
      <c r="A102" s="2" t="s">
        <v>31</v>
      </c>
      <c r="B102" s="2" t="s">
        <v>955</v>
      </c>
      <c r="C102" s="5" t="s">
        <v>968</v>
      </c>
      <c r="D102" s="2" t="s">
        <v>979</v>
      </c>
    </row>
    <row r="103" spans="1:4" ht="13.05" customHeight="1" x14ac:dyDescent="0.3">
      <c r="A103" s="2" t="s">
        <v>31</v>
      </c>
      <c r="B103" s="2" t="s">
        <v>955</v>
      </c>
      <c r="C103" s="5" t="s">
        <v>970</v>
      </c>
      <c r="D103" s="2" t="s">
        <v>827</v>
      </c>
    </row>
    <row r="104" spans="1:4" ht="13.05" customHeight="1" x14ac:dyDescent="0.3">
      <c r="A104" s="2" t="s">
        <v>31</v>
      </c>
      <c r="B104" s="2" t="s">
        <v>955</v>
      </c>
      <c r="C104" s="5" t="s">
        <v>972</v>
      </c>
      <c r="D104" s="2" t="s">
        <v>980</v>
      </c>
    </row>
    <row r="105" spans="1:4" ht="13.05" customHeight="1" x14ac:dyDescent="0.3">
      <c r="A105" s="2" t="s">
        <v>31</v>
      </c>
      <c r="B105" s="2" t="s">
        <v>955</v>
      </c>
      <c r="C105" s="5" t="s">
        <v>981</v>
      </c>
      <c r="D105" s="2" t="s">
        <v>982</v>
      </c>
    </row>
    <row r="106" spans="1:4" ht="13.05" customHeight="1" x14ac:dyDescent="0.3">
      <c r="A106" s="2" t="s">
        <v>31</v>
      </c>
      <c r="B106" s="2" t="s">
        <v>955</v>
      </c>
      <c r="C106" s="5" t="s">
        <v>983</v>
      </c>
      <c r="D106" s="2" t="s">
        <v>984</v>
      </c>
    </row>
    <row r="107" spans="1:4" ht="13.05" customHeight="1" x14ac:dyDescent="0.3">
      <c r="A107" s="2" t="s">
        <v>33</v>
      </c>
      <c r="B107" s="2" t="s">
        <v>955</v>
      </c>
      <c r="C107" s="5" t="s">
        <v>974</v>
      </c>
      <c r="D107" s="2" t="s">
        <v>975</v>
      </c>
    </row>
    <row r="108" spans="1:4" ht="13.05" customHeight="1" x14ac:dyDescent="0.3">
      <c r="A108" s="2" t="s">
        <v>33</v>
      </c>
      <c r="B108" s="2" t="s">
        <v>955</v>
      </c>
      <c r="C108" s="5" t="s">
        <v>960</v>
      </c>
      <c r="D108" s="2" t="s">
        <v>961</v>
      </c>
    </row>
    <row r="109" spans="1:4" ht="13.05" customHeight="1" x14ac:dyDescent="0.3">
      <c r="A109" s="2" t="s">
        <v>35</v>
      </c>
      <c r="B109" s="2" t="s">
        <v>955</v>
      </c>
      <c r="C109" s="5" t="s">
        <v>974</v>
      </c>
      <c r="D109" s="2" t="s">
        <v>975</v>
      </c>
    </row>
    <row r="110" spans="1:4" ht="13.05" customHeight="1" x14ac:dyDescent="0.3">
      <c r="A110" s="2" t="s">
        <v>35</v>
      </c>
      <c r="B110" s="2" t="s">
        <v>955</v>
      </c>
      <c r="C110" s="5" t="s">
        <v>956</v>
      </c>
      <c r="D110" s="2" t="s">
        <v>957</v>
      </c>
    </row>
    <row r="111" spans="1:4" ht="13.05" customHeight="1" x14ac:dyDescent="0.3">
      <c r="A111" s="2" t="s">
        <v>35</v>
      </c>
      <c r="B111" s="2" t="s">
        <v>955</v>
      </c>
      <c r="C111" s="5" t="s">
        <v>958</v>
      </c>
      <c r="D111" s="2" t="s">
        <v>959</v>
      </c>
    </row>
    <row r="112" spans="1:4" ht="13.05" customHeight="1" x14ac:dyDescent="0.3">
      <c r="A112" s="2" t="s">
        <v>35</v>
      </c>
      <c r="B112" s="2" t="s">
        <v>955</v>
      </c>
      <c r="C112" s="5" t="s">
        <v>960</v>
      </c>
      <c r="D112" s="2" t="s">
        <v>961</v>
      </c>
    </row>
    <row r="113" spans="1:4" ht="13.05" customHeight="1" x14ac:dyDescent="0.3">
      <c r="A113" s="2" t="s">
        <v>35</v>
      </c>
      <c r="B113" s="2" t="s">
        <v>955</v>
      </c>
      <c r="C113" s="5" t="s">
        <v>962</v>
      </c>
      <c r="D113" s="2" t="s">
        <v>976</v>
      </c>
    </row>
    <row r="114" spans="1:4" ht="13.05" customHeight="1" x14ac:dyDescent="0.3">
      <c r="A114" s="2" t="s">
        <v>35</v>
      </c>
      <c r="B114" s="2" t="s">
        <v>955</v>
      </c>
      <c r="C114" s="5" t="s">
        <v>964</v>
      </c>
      <c r="D114" s="2" t="s">
        <v>977</v>
      </c>
    </row>
    <row r="115" spans="1:4" ht="13.05" customHeight="1" x14ac:dyDescent="0.3">
      <c r="A115" s="2" t="s">
        <v>35</v>
      </c>
      <c r="B115" s="2" t="s">
        <v>955</v>
      </c>
      <c r="C115" s="5" t="s">
        <v>966</v>
      </c>
      <c r="D115" s="2" t="s">
        <v>978</v>
      </c>
    </row>
    <row r="116" spans="1:4" ht="13.05" customHeight="1" x14ac:dyDescent="0.3">
      <c r="A116" s="2" t="s">
        <v>35</v>
      </c>
      <c r="B116" s="2" t="s">
        <v>955</v>
      </c>
      <c r="C116" s="5" t="s">
        <v>968</v>
      </c>
      <c r="D116" s="2" t="s">
        <v>979</v>
      </c>
    </row>
    <row r="117" spans="1:4" ht="13.05" customHeight="1" x14ac:dyDescent="0.3">
      <c r="A117" s="2" t="s">
        <v>35</v>
      </c>
      <c r="B117" s="2" t="s">
        <v>955</v>
      </c>
      <c r="C117" s="5" t="s">
        <v>970</v>
      </c>
      <c r="D117" s="2" t="s">
        <v>827</v>
      </c>
    </row>
    <row r="118" spans="1:4" ht="13.05" customHeight="1" x14ac:dyDescent="0.3">
      <c r="A118" s="2" t="s">
        <v>35</v>
      </c>
      <c r="B118" s="2" t="s">
        <v>955</v>
      </c>
      <c r="C118" s="5" t="s">
        <v>972</v>
      </c>
      <c r="D118" s="2" t="s">
        <v>980</v>
      </c>
    </row>
    <row r="119" spans="1:4" ht="13.05" customHeight="1" x14ac:dyDescent="0.3">
      <c r="A119" s="2" t="s">
        <v>35</v>
      </c>
      <c r="B119" s="2" t="s">
        <v>955</v>
      </c>
      <c r="C119" s="5" t="s">
        <v>981</v>
      </c>
      <c r="D119" s="2" t="s">
        <v>982</v>
      </c>
    </row>
    <row r="120" spans="1:4" ht="13.05" customHeight="1" x14ac:dyDescent="0.3">
      <c r="A120" s="2" t="s">
        <v>35</v>
      </c>
      <c r="B120" s="2" t="s">
        <v>955</v>
      </c>
      <c r="C120" s="5" t="s">
        <v>983</v>
      </c>
      <c r="D120" s="2" t="s">
        <v>984</v>
      </c>
    </row>
    <row r="121" spans="1:4" ht="13.05" customHeight="1" x14ac:dyDescent="0.3">
      <c r="A121" s="2" t="s">
        <v>37</v>
      </c>
      <c r="B121" s="2" t="s">
        <v>955</v>
      </c>
      <c r="C121" s="5" t="s">
        <v>974</v>
      </c>
      <c r="D121" s="2" t="s">
        <v>975</v>
      </c>
    </row>
    <row r="122" spans="1:4" ht="13.05" customHeight="1" x14ac:dyDescent="0.3">
      <c r="A122" s="2" t="s">
        <v>37</v>
      </c>
      <c r="B122" s="2" t="s">
        <v>955</v>
      </c>
      <c r="C122" s="5" t="s">
        <v>956</v>
      </c>
      <c r="D122" s="2" t="s">
        <v>957</v>
      </c>
    </row>
    <row r="123" spans="1:4" ht="13.05" customHeight="1" x14ac:dyDescent="0.3">
      <c r="A123" s="2" t="s">
        <v>37</v>
      </c>
      <c r="B123" s="2" t="s">
        <v>955</v>
      </c>
      <c r="C123" s="5" t="s">
        <v>958</v>
      </c>
      <c r="D123" s="2" t="s">
        <v>959</v>
      </c>
    </row>
    <row r="124" spans="1:4" ht="13.05" customHeight="1" x14ac:dyDescent="0.3">
      <c r="A124" s="2" t="s">
        <v>37</v>
      </c>
      <c r="B124" s="2" t="s">
        <v>955</v>
      </c>
      <c r="C124" s="5" t="s">
        <v>960</v>
      </c>
      <c r="D124" s="2" t="s">
        <v>961</v>
      </c>
    </row>
    <row r="125" spans="1:4" ht="13.05" customHeight="1" x14ac:dyDescent="0.3">
      <c r="A125" s="2" t="s">
        <v>37</v>
      </c>
      <c r="B125" s="2" t="s">
        <v>955</v>
      </c>
      <c r="C125" s="5" t="s">
        <v>962</v>
      </c>
      <c r="D125" s="2" t="s">
        <v>976</v>
      </c>
    </row>
    <row r="126" spans="1:4" ht="13.05" customHeight="1" x14ac:dyDescent="0.3">
      <c r="A126" s="2" t="s">
        <v>37</v>
      </c>
      <c r="B126" s="2" t="s">
        <v>955</v>
      </c>
      <c r="C126" s="5" t="s">
        <v>964</v>
      </c>
      <c r="D126" s="2" t="s">
        <v>977</v>
      </c>
    </row>
    <row r="127" spans="1:4" ht="13.05" customHeight="1" x14ac:dyDescent="0.3">
      <c r="A127" s="2" t="s">
        <v>37</v>
      </c>
      <c r="B127" s="2" t="s">
        <v>955</v>
      </c>
      <c r="C127" s="5" t="s">
        <v>966</v>
      </c>
      <c r="D127" s="2" t="s">
        <v>978</v>
      </c>
    </row>
    <row r="128" spans="1:4" ht="13.05" customHeight="1" x14ac:dyDescent="0.3">
      <c r="A128" s="2" t="s">
        <v>37</v>
      </c>
      <c r="B128" s="2" t="s">
        <v>955</v>
      </c>
      <c r="C128" s="5" t="s">
        <v>968</v>
      </c>
      <c r="D128" s="2" t="s">
        <v>979</v>
      </c>
    </row>
    <row r="129" spans="1:4" ht="13.05" customHeight="1" x14ac:dyDescent="0.3">
      <c r="A129" s="2" t="s">
        <v>37</v>
      </c>
      <c r="B129" s="2" t="s">
        <v>955</v>
      </c>
      <c r="C129" s="5" t="s">
        <v>970</v>
      </c>
      <c r="D129" s="2" t="s">
        <v>827</v>
      </c>
    </row>
    <row r="130" spans="1:4" ht="13.05" customHeight="1" x14ac:dyDescent="0.3">
      <c r="A130" s="2" t="s">
        <v>37</v>
      </c>
      <c r="B130" s="2" t="s">
        <v>955</v>
      </c>
      <c r="C130" s="5" t="s">
        <v>972</v>
      </c>
      <c r="D130" s="2" t="s">
        <v>980</v>
      </c>
    </row>
    <row r="131" spans="1:4" ht="13.05" customHeight="1" x14ac:dyDescent="0.3">
      <c r="A131" s="2" t="s">
        <v>37</v>
      </c>
      <c r="B131" s="2" t="s">
        <v>955</v>
      </c>
      <c r="C131" s="5" t="s">
        <v>981</v>
      </c>
      <c r="D131" s="2" t="s">
        <v>982</v>
      </c>
    </row>
    <row r="132" spans="1:4" ht="13.05" customHeight="1" x14ac:dyDescent="0.3">
      <c r="A132" s="2" t="s">
        <v>37</v>
      </c>
      <c r="B132" s="2" t="s">
        <v>955</v>
      </c>
      <c r="C132" s="5" t="s">
        <v>983</v>
      </c>
      <c r="D132" s="2" t="s">
        <v>984</v>
      </c>
    </row>
    <row r="133" spans="1:4" ht="13.05" customHeight="1" x14ac:dyDescent="0.3">
      <c r="A133" s="2" t="s">
        <v>39</v>
      </c>
      <c r="B133" s="2" t="s">
        <v>985</v>
      </c>
      <c r="C133" s="5" t="s">
        <v>974</v>
      </c>
      <c r="D133" s="2" t="s">
        <v>975</v>
      </c>
    </row>
    <row r="134" spans="1:4" ht="13.05" customHeight="1" x14ac:dyDescent="0.3">
      <c r="A134" s="2" t="s">
        <v>39</v>
      </c>
      <c r="B134" s="2" t="s">
        <v>985</v>
      </c>
      <c r="C134" s="5" t="s">
        <v>960</v>
      </c>
      <c r="D134" s="2" t="s">
        <v>961</v>
      </c>
    </row>
    <row r="135" spans="1:4" ht="13.05" customHeight="1" x14ac:dyDescent="0.3">
      <c r="A135" s="2" t="s">
        <v>42</v>
      </c>
      <c r="B135" s="2" t="s">
        <v>955</v>
      </c>
      <c r="C135" s="5" t="s">
        <v>974</v>
      </c>
      <c r="D135" s="2" t="s">
        <v>975</v>
      </c>
    </row>
    <row r="136" spans="1:4" ht="13.05" customHeight="1" x14ac:dyDescent="0.3">
      <c r="A136" s="2" t="s">
        <v>42</v>
      </c>
      <c r="B136" s="2" t="s">
        <v>955</v>
      </c>
      <c r="C136" s="5" t="s">
        <v>956</v>
      </c>
      <c r="D136" s="2" t="s">
        <v>957</v>
      </c>
    </row>
    <row r="137" spans="1:4" ht="13.05" customHeight="1" x14ac:dyDescent="0.3">
      <c r="A137" s="2" t="s">
        <v>42</v>
      </c>
      <c r="B137" s="2" t="s">
        <v>955</v>
      </c>
      <c r="C137" s="5" t="s">
        <v>958</v>
      </c>
      <c r="D137" s="2" t="s">
        <v>959</v>
      </c>
    </row>
    <row r="138" spans="1:4" ht="13.05" customHeight="1" x14ac:dyDescent="0.3">
      <c r="A138" s="2" t="s">
        <v>42</v>
      </c>
      <c r="B138" s="2" t="s">
        <v>955</v>
      </c>
      <c r="C138" s="5" t="s">
        <v>960</v>
      </c>
      <c r="D138" s="2" t="s">
        <v>961</v>
      </c>
    </row>
    <row r="139" spans="1:4" ht="13.05" customHeight="1" x14ac:dyDescent="0.3">
      <c r="A139" s="2" t="s">
        <v>42</v>
      </c>
      <c r="B139" s="2" t="s">
        <v>955</v>
      </c>
      <c r="C139" s="5" t="s">
        <v>966</v>
      </c>
      <c r="D139" s="2" t="s">
        <v>986</v>
      </c>
    </row>
    <row r="140" spans="1:4" ht="13.05" customHeight="1" x14ac:dyDescent="0.3">
      <c r="A140" s="2" t="s">
        <v>42</v>
      </c>
      <c r="B140" s="2" t="s">
        <v>955</v>
      </c>
      <c r="C140" s="5" t="s">
        <v>968</v>
      </c>
      <c r="D140" s="2" t="s">
        <v>987</v>
      </c>
    </row>
    <row r="141" spans="1:4" ht="13.05" customHeight="1" x14ac:dyDescent="0.3">
      <c r="A141" s="2" t="s">
        <v>42</v>
      </c>
      <c r="B141" s="2" t="s">
        <v>955</v>
      </c>
      <c r="C141" s="5" t="s">
        <v>970</v>
      </c>
      <c r="D141" s="2" t="s">
        <v>988</v>
      </c>
    </row>
    <row r="142" spans="1:4" ht="13.05" customHeight="1" x14ac:dyDescent="0.3">
      <c r="A142" s="2" t="s">
        <v>42</v>
      </c>
      <c r="B142" s="2" t="s">
        <v>955</v>
      </c>
      <c r="C142" s="5" t="s">
        <v>972</v>
      </c>
      <c r="D142" s="2" t="s">
        <v>989</v>
      </c>
    </row>
    <row r="143" spans="1:4" ht="13.05" customHeight="1" x14ac:dyDescent="0.3">
      <c r="A143" s="2" t="s">
        <v>42</v>
      </c>
      <c r="B143" s="2" t="s">
        <v>955</v>
      </c>
      <c r="C143" s="5" t="s">
        <v>981</v>
      </c>
      <c r="D143" s="2" t="s">
        <v>990</v>
      </c>
    </row>
    <row r="144" spans="1:4" ht="13.05" customHeight="1" x14ac:dyDescent="0.3">
      <c r="A144" s="2" t="s">
        <v>42</v>
      </c>
      <c r="B144" s="2" t="s">
        <v>955</v>
      </c>
      <c r="C144" s="5" t="s">
        <v>991</v>
      </c>
      <c r="D144" s="2" t="s">
        <v>992</v>
      </c>
    </row>
    <row r="145" spans="1:4" ht="13.05" customHeight="1" x14ac:dyDescent="0.3">
      <c r="A145" s="2" t="s">
        <v>42</v>
      </c>
      <c r="B145" s="2" t="s">
        <v>955</v>
      </c>
      <c r="C145" s="5" t="s">
        <v>993</v>
      </c>
      <c r="D145" s="2" t="s">
        <v>994</v>
      </c>
    </row>
    <row r="146" spans="1:4" ht="13.05" customHeight="1" x14ac:dyDescent="0.3">
      <c r="A146" s="2" t="s">
        <v>42</v>
      </c>
      <c r="B146" s="2" t="s">
        <v>955</v>
      </c>
      <c r="C146" s="5" t="s">
        <v>995</v>
      </c>
      <c r="D146" s="2" t="s">
        <v>996</v>
      </c>
    </row>
    <row r="147" spans="1:4" ht="13.05" customHeight="1" x14ac:dyDescent="0.3">
      <c r="A147" s="2" t="s">
        <v>42</v>
      </c>
      <c r="B147" s="2" t="s">
        <v>955</v>
      </c>
      <c r="C147" s="5" t="s">
        <v>997</v>
      </c>
      <c r="D147" s="2" t="s">
        <v>998</v>
      </c>
    </row>
    <row r="148" spans="1:4" ht="13.05" customHeight="1" x14ac:dyDescent="0.3">
      <c r="A148" s="2" t="s">
        <v>42</v>
      </c>
      <c r="B148" s="2" t="s">
        <v>955</v>
      </c>
      <c r="C148" s="5" t="s">
        <v>999</v>
      </c>
      <c r="D148" s="2" t="s">
        <v>1000</v>
      </c>
    </row>
    <row r="149" spans="1:4" ht="13.05" customHeight="1" x14ac:dyDescent="0.3">
      <c r="A149" s="2" t="s">
        <v>42</v>
      </c>
      <c r="B149" s="2" t="s">
        <v>955</v>
      </c>
      <c r="C149" s="5" t="s">
        <v>1001</v>
      </c>
      <c r="D149" s="2" t="s">
        <v>1002</v>
      </c>
    </row>
    <row r="150" spans="1:4" ht="13.05" customHeight="1" x14ac:dyDescent="0.3">
      <c r="A150" s="2" t="s">
        <v>42</v>
      </c>
      <c r="B150" s="2" t="s">
        <v>955</v>
      </c>
      <c r="C150" s="5" t="s">
        <v>1003</v>
      </c>
      <c r="D150" s="2" t="s">
        <v>1004</v>
      </c>
    </row>
    <row r="151" spans="1:4" ht="13.05" customHeight="1" x14ac:dyDescent="0.3">
      <c r="A151" s="2" t="s">
        <v>42</v>
      </c>
      <c r="B151" s="2" t="s">
        <v>955</v>
      </c>
      <c r="C151" s="5" t="s">
        <v>1005</v>
      </c>
      <c r="D151" s="2" t="s">
        <v>1006</v>
      </c>
    </row>
    <row r="152" spans="1:4" ht="13.05" customHeight="1" x14ac:dyDescent="0.3">
      <c r="A152" s="2" t="s">
        <v>42</v>
      </c>
      <c r="B152" s="2" t="s">
        <v>955</v>
      </c>
      <c r="C152" s="5" t="s">
        <v>1007</v>
      </c>
      <c r="D152" s="2" t="s">
        <v>1008</v>
      </c>
    </row>
    <row r="153" spans="1:4" ht="13.05" customHeight="1" x14ac:dyDescent="0.3">
      <c r="A153" s="2" t="s">
        <v>42</v>
      </c>
      <c r="B153" s="2" t="s">
        <v>955</v>
      </c>
      <c r="C153" s="5" t="s">
        <v>1009</v>
      </c>
      <c r="D153" s="2" t="s">
        <v>1010</v>
      </c>
    </row>
    <row r="154" spans="1:4" ht="13.05" customHeight="1" x14ac:dyDescent="0.3">
      <c r="A154" s="2" t="s">
        <v>42</v>
      </c>
      <c r="B154" s="2" t="s">
        <v>955</v>
      </c>
      <c r="C154" s="5" t="s">
        <v>1011</v>
      </c>
      <c r="D154" s="2" t="s">
        <v>1012</v>
      </c>
    </row>
    <row r="155" spans="1:4" ht="13.05" customHeight="1" x14ac:dyDescent="0.3">
      <c r="A155" s="2" t="s">
        <v>42</v>
      </c>
      <c r="B155" s="2" t="s">
        <v>955</v>
      </c>
      <c r="C155" s="5" t="s">
        <v>1013</v>
      </c>
      <c r="D155" s="2" t="s">
        <v>1014</v>
      </c>
    </row>
    <row r="156" spans="1:4" ht="13.05" customHeight="1" x14ac:dyDescent="0.3">
      <c r="A156" s="2" t="s">
        <v>42</v>
      </c>
      <c r="B156" s="2" t="s">
        <v>955</v>
      </c>
      <c r="C156" s="5" t="s">
        <v>983</v>
      </c>
      <c r="D156" s="2" t="s">
        <v>1015</v>
      </c>
    </row>
    <row r="157" spans="1:4" ht="13.05" customHeight="1" x14ac:dyDescent="0.3">
      <c r="A157" s="2" t="s">
        <v>44</v>
      </c>
      <c r="B157" s="2" t="s">
        <v>955</v>
      </c>
      <c r="C157" s="5" t="s">
        <v>974</v>
      </c>
      <c r="D157" s="2" t="s">
        <v>975</v>
      </c>
    </row>
    <row r="158" spans="1:4" ht="13.05" customHeight="1" x14ac:dyDescent="0.3">
      <c r="A158" s="2" t="s">
        <v>44</v>
      </c>
      <c r="B158" s="2" t="s">
        <v>955</v>
      </c>
      <c r="C158" s="5" t="s">
        <v>956</v>
      </c>
      <c r="D158" s="2" t="s">
        <v>957</v>
      </c>
    </row>
    <row r="159" spans="1:4" ht="13.05" customHeight="1" x14ac:dyDescent="0.3">
      <c r="A159" s="2" t="s">
        <v>44</v>
      </c>
      <c r="B159" s="2" t="s">
        <v>955</v>
      </c>
      <c r="C159" s="5" t="s">
        <v>958</v>
      </c>
      <c r="D159" s="2" t="s">
        <v>959</v>
      </c>
    </row>
    <row r="160" spans="1:4" ht="13.05" customHeight="1" x14ac:dyDescent="0.3">
      <c r="A160" s="2" t="s">
        <v>44</v>
      </c>
      <c r="B160" s="2" t="s">
        <v>955</v>
      </c>
      <c r="C160" s="5" t="s">
        <v>960</v>
      </c>
      <c r="D160" s="2" t="s">
        <v>961</v>
      </c>
    </row>
    <row r="161" spans="1:4" ht="13.05" customHeight="1" x14ac:dyDescent="0.3">
      <c r="A161" s="2" t="s">
        <v>44</v>
      </c>
      <c r="B161" s="2" t="s">
        <v>955</v>
      </c>
      <c r="C161" s="5" t="s">
        <v>962</v>
      </c>
      <c r="D161" s="2" t="s">
        <v>1016</v>
      </c>
    </row>
    <row r="162" spans="1:4" ht="13.05" customHeight="1" x14ac:dyDescent="0.3">
      <c r="A162" s="2" t="s">
        <v>44</v>
      </c>
      <c r="B162" s="2" t="s">
        <v>955</v>
      </c>
      <c r="C162" s="5" t="s">
        <v>964</v>
      </c>
      <c r="D162" s="2" t="s">
        <v>1017</v>
      </c>
    </row>
    <row r="163" spans="1:4" ht="13.05" customHeight="1" x14ac:dyDescent="0.3">
      <c r="A163" s="2" t="s">
        <v>44</v>
      </c>
      <c r="B163" s="2" t="s">
        <v>955</v>
      </c>
      <c r="C163" s="5" t="s">
        <v>966</v>
      </c>
      <c r="D163" s="2" t="s">
        <v>986</v>
      </c>
    </row>
    <row r="164" spans="1:4" ht="13.05" customHeight="1" x14ac:dyDescent="0.3">
      <c r="A164" s="2" t="s">
        <v>44</v>
      </c>
      <c r="B164" s="2" t="s">
        <v>955</v>
      </c>
      <c r="C164" s="5" t="s">
        <v>968</v>
      </c>
      <c r="D164" s="2" t="s">
        <v>987</v>
      </c>
    </row>
    <row r="165" spans="1:4" ht="13.05" customHeight="1" x14ac:dyDescent="0.3">
      <c r="A165" s="2" t="s">
        <v>44</v>
      </c>
      <c r="B165" s="2" t="s">
        <v>955</v>
      </c>
      <c r="C165" s="5" t="s">
        <v>970</v>
      </c>
      <c r="D165" s="2" t="s">
        <v>988</v>
      </c>
    </row>
    <row r="166" spans="1:4" ht="13.05" customHeight="1" x14ac:dyDescent="0.3">
      <c r="A166" s="2" t="s">
        <v>44</v>
      </c>
      <c r="B166" s="2" t="s">
        <v>955</v>
      </c>
      <c r="C166" s="5" t="s">
        <v>972</v>
      </c>
      <c r="D166" s="2" t="s">
        <v>989</v>
      </c>
    </row>
    <row r="167" spans="1:4" ht="13.05" customHeight="1" x14ac:dyDescent="0.3">
      <c r="A167" s="2" t="s">
        <v>44</v>
      </c>
      <c r="B167" s="2" t="s">
        <v>955</v>
      </c>
      <c r="C167" s="5" t="s">
        <v>981</v>
      </c>
      <c r="D167" s="2" t="s">
        <v>990</v>
      </c>
    </row>
    <row r="168" spans="1:4" ht="13.05" customHeight="1" x14ac:dyDescent="0.3">
      <c r="A168" s="2" t="s">
        <v>44</v>
      </c>
      <c r="B168" s="2" t="s">
        <v>955</v>
      </c>
      <c r="C168" s="5" t="s">
        <v>991</v>
      </c>
      <c r="D168" s="2" t="s">
        <v>992</v>
      </c>
    </row>
    <row r="169" spans="1:4" ht="13.05" customHeight="1" x14ac:dyDescent="0.3">
      <c r="A169" s="2" t="s">
        <v>44</v>
      </c>
      <c r="B169" s="2" t="s">
        <v>955</v>
      </c>
      <c r="C169" s="5" t="s">
        <v>993</v>
      </c>
      <c r="D169" s="2" t="s">
        <v>994</v>
      </c>
    </row>
    <row r="170" spans="1:4" ht="13.05" customHeight="1" x14ac:dyDescent="0.3">
      <c r="A170" s="2" t="s">
        <v>44</v>
      </c>
      <c r="B170" s="2" t="s">
        <v>955</v>
      </c>
      <c r="C170" s="5" t="s">
        <v>995</v>
      </c>
      <c r="D170" s="2" t="s">
        <v>996</v>
      </c>
    </row>
    <row r="171" spans="1:4" ht="13.05" customHeight="1" x14ac:dyDescent="0.3">
      <c r="A171" s="2" t="s">
        <v>44</v>
      </c>
      <c r="B171" s="2" t="s">
        <v>955</v>
      </c>
      <c r="C171" s="5" t="s">
        <v>997</v>
      </c>
      <c r="D171" s="2" t="s">
        <v>998</v>
      </c>
    </row>
    <row r="172" spans="1:4" ht="13.05" customHeight="1" x14ac:dyDescent="0.3">
      <c r="A172" s="2" t="s">
        <v>44</v>
      </c>
      <c r="B172" s="2" t="s">
        <v>955</v>
      </c>
      <c r="C172" s="5" t="s">
        <v>999</v>
      </c>
      <c r="D172" s="2" t="s">
        <v>1000</v>
      </c>
    </row>
    <row r="173" spans="1:4" ht="13.05" customHeight="1" x14ac:dyDescent="0.3">
      <c r="A173" s="2" t="s">
        <v>44</v>
      </c>
      <c r="B173" s="2" t="s">
        <v>955</v>
      </c>
      <c r="C173" s="5" t="s">
        <v>1001</v>
      </c>
      <c r="D173" s="2" t="s">
        <v>1002</v>
      </c>
    </row>
    <row r="174" spans="1:4" ht="13.05" customHeight="1" x14ac:dyDescent="0.3">
      <c r="A174" s="2" t="s">
        <v>44</v>
      </c>
      <c r="B174" s="2" t="s">
        <v>955</v>
      </c>
      <c r="C174" s="5" t="s">
        <v>1003</v>
      </c>
      <c r="D174" s="2" t="s">
        <v>1004</v>
      </c>
    </row>
    <row r="175" spans="1:4" ht="13.05" customHeight="1" x14ac:dyDescent="0.3">
      <c r="A175" s="2" t="s">
        <v>44</v>
      </c>
      <c r="B175" s="2" t="s">
        <v>955</v>
      </c>
      <c r="C175" s="5" t="s">
        <v>1005</v>
      </c>
      <c r="D175" s="2" t="s">
        <v>1006</v>
      </c>
    </row>
    <row r="176" spans="1:4" ht="13.05" customHeight="1" x14ac:dyDescent="0.3">
      <c r="A176" s="2" t="s">
        <v>44</v>
      </c>
      <c r="B176" s="2" t="s">
        <v>955</v>
      </c>
      <c r="C176" s="5" t="s">
        <v>1007</v>
      </c>
      <c r="D176" s="2" t="s">
        <v>1008</v>
      </c>
    </row>
    <row r="177" spans="1:4" ht="13.05" customHeight="1" x14ac:dyDescent="0.3">
      <c r="A177" s="2" t="s">
        <v>44</v>
      </c>
      <c r="B177" s="2" t="s">
        <v>955</v>
      </c>
      <c r="C177" s="5" t="s">
        <v>1009</v>
      </c>
      <c r="D177" s="2" t="s">
        <v>1010</v>
      </c>
    </row>
    <row r="178" spans="1:4" ht="13.05" customHeight="1" x14ac:dyDescent="0.3">
      <c r="A178" s="2" t="s">
        <v>44</v>
      </c>
      <c r="B178" s="2" t="s">
        <v>955</v>
      </c>
      <c r="C178" s="5" t="s">
        <v>1011</v>
      </c>
      <c r="D178" s="2" t="s">
        <v>1012</v>
      </c>
    </row>
    <row r="179" spans="1:4" ht="13.05" customHeight="1" x14ac:dyDescent="0.3">
      <c r="A179" s="2" t="s">
        <v>44</v>
      </c>
      <c r="B179" s="2" t="s">
        <v>955</v>
      </c>
      <c r="C179" s="5" t="s">
        <v>1013</v>
      </c>
      <c r="D179" s="2" t="s">
        <v>1014</v>
      </c>
    </row>
    <row r="180" spans="1:4" ht="13.05" customHeight="1" x14ac:dyDescent="0.3">
      <c r="A180" s="2" t="s">
        <v>44</v>
      </c>
      <c r="B180" s="2" t="s">
        <v>955</v>
      </c>
      <c r="C180" s="5" t="s">
        <v>983</v>
      </c>
      <c r="D180" s="2" t="s">
        <v>1015</v>
      </c>
    </row>
    <row r="181" spans="1:4" ht="13.05" customHeight="1" x14ac:dyDescent="0.3">
      <c r="A181" s="2" t="s">
        <v>46</v>
      </c>
      <c r="B181" s="2" t="s">
        <v>1018</v>
      </c>
      <c r="C181" s="5" t="s">
        <v>956</v>
      </c>
      <c r="D181" s="2" t="s">
        <v>957</v>
      </c>
    </row>
    <row r="182" spans="1:4" ht="13.05" customHeight="1" x14ac:dyDescent="0.3">
      <c r="A182" s="2" t="s">
        <v>46</v>
      </c>
      <c r="B182" s="2" t="s">
        <v>1018</v>
      </c>
      <c r="C182" s="5" t="s">
        <v>958</v>
      </c>
      <c r="D182" s="2" t="s">
        <v>1019</v>
      </c>
    </row>
    <row r="183" spans="1:4" ht="13.05" customHeight="1" x14ac:dyDescent="0.3">
      <c r="A183" s="2" t="s">
        <v>46</v>
      </c>
      <c r="B183" s="2" t="s">
        <v>1018</v>
      </c>
      <c r="C183" s="5" t="s">
        <v>960</v>
      </c>
      <c r="D183" s="2" t="s">
        <v>961</v>
      </c>
    </row>
    <row r="184" spans="1:4" ht="13.05" customHeight="1" x14ac:dyDescent="0.3">
      <c r="A184" s="2" t="s">
        <v>46</v>
      </c>
      <c r="B184" s="2" t="s">
        <v>1018</v>
      </c>
      <c r="C184" s="5" t="s">
        <v>962</v>
      </c>
      <c r="D184" s="2" t="s">
        <v>1020</v>
      </c>
    </row>
    <row r="185" spans="1:4" ht="13.05" customHeight="1" x14ac:dyDescent="0.3">
      <c r="A185" s="2" t="s">
        <v>46</v>
      </c>
      <c r="B185" s="2" t="s">
        <v>1018</v>
      </c>
      <c r="C185" s="5" t="s">
        <v>964</v>
      </c>
      <c r="D185" s="2" t="s">
        <v>1021</v>
      </c>
    </row>
    <row r="186" spans="1:4" ht="13.05" customHeight="1" x14ac:dyDescent="0.3">
      <c r="A186" s="2" t="s">
        <v>46</v>
      </c>
      <c r="B186" s="2" t="s">
        <v>1018</v>
      </c>
      <c r="C186" s="5" t="s">
        <v>966</v>
      </c>
      <c r="D186" s="2" t="s">
        <v>1022</v>
      </c>
    </row>
    <row r="187" spans="1:4" ht="13.05" customHeight="1" x14ac:dyDescent="0.3">
      <c r="A187" s="2" t="s">
        <v>46</v>
      </c>
      <c r="B187" s="2" t="s">
        <v>1018</v>
      </c>
      <c r="C187" s="5" t="s">
        <v>968</v>
      </c>
      <c r="D187" s="2" t="s">
        <v>1023</v>
      </c>
    </row>
    <row r="188" spans="1:4" ht="13.05" customHeight="1" x14ac:dyDescent="0.3">
      <c r="A188" s="2" t="s">
        <v>46</v>
      </c>
      <c r="B188" s="2" t="s">
        <v>1018</v>
      </c>
      <c r="C188" s="5" t="s">
        <v>970</v>
      </c>
      <c r="D188" s="2" t="s">
        <v>1024</v>
      </c>
    </row>
    <row r="189" spans="1:4" ht="13.05" customHeight="1" x14ac:dyDescent="0.3">
      <c r="A189" s="2" t="s">
        <v>49</v>
      </c>
      <c r="B189" s="2" t="s">
        <v>1018</v>
      </c>
      <c r="C189" s="5" t="s">
        <v>956</v>
      </c>
      <c r="D189" s="2" t="s">
        <v>1025</v>
      </c>
    </row>
    <row r="190" spans="1:4" ht="13.05" customHeight="1" x14ac:dyDescent="0.3">
      <c r="A190" s="2" t="s">
        <v>49</v>
      </c>
      <c r="B190" s="2" t="s">
        <v>1018</v>
      </c>
      <c r="C190" s="5" t="s">
        <v>958</v>
      </c>
      <c r="D190" s="2" t="s">
        <v>959</v>
      </c>
    </row>
    <row r="191" spans="1:4" ht="13.05" customHeight="1" x14ac:dyDescent="0.3">
      <c r="A191" s="2" t="s">
        <v>49</v>
      </c>
      <c r="B191" s="2" t="s">
        <v>1018</v>
      </c>
      <c r="C191" s="5" t="s">
        <v>960</v>
      </c>
      <c r="D191" s="2" t="s">
        <v>961</v>
      </c>
    </row>
    <row r="192" spans="1:4" ht="13.05" customHeight="1" x14ac:dyDescent="0.3">
      <c r="A192" s="2" t="s">
        <v>49</v>
      </c>
      <c r="B192" s="2" t="s">
        <v>1018</v>
      </c>
      <c r="C192" s="5" t="s">
        <v>962</v>
      </c>
      <c r="D192" s="2" t="s">
        <v>1026</v>
      </c>
    </row>
    <row r="193" spans="1:4" ht="13.05" customHeight="1" x14ac:dyDescent="0.3">
      <c r="A193" s="2" t="s">
        <v>49</v>
      </c>
      <c r="B193" s="2" t="s">
        <v>1018</v>
      </c>
      <c r="C193" s="5" t="s">
        <v>964</v>
      </c>
      <c r="D193" s="2" t="s">
        <v>1027</v>
      </c>
    </row>
    <row r="194" spans="1:4" ht="13.05" customHeight="1" x14ac:dyDescent="0.3">
      <c r="A194" s="2" t="s">
        <v>49</v>
      </c>
      <c r="B194" s="2" t="s">
        <v>1018</v>
      </c>
      <c r="C194" s="5" t="s">
        <v>966</v>
      </c>
      <c r="D194" s="2" t="s">
        <v>1028</v>
      </c>
    </row>
    <row r="195" spans="1:4" ht="13.05" customHeight="1" x14ac:dyDescent="0.3">
      <c r="A195" s="2" t="s">
        <v>49</v>
      </c>
      <c r="B195" s="2" t="s">
        <v>1018</v>
      </c>
      <c r="C195" s="5" t="s">
        <v>968</v>
      </c>
      <c r="D195" s="2" t="s">
        <v>1029</v>
      </c>
    </row>
    <row r="196" spans="1:4" ht="13.05" customHeight="1" x14ac:dyDescent="0.3">
      <c r="A196" s="2" t="s">
        <v>49</v>
      </c>
      <c r="B196" s="2" t="s">
        <v>1018</v>
      </c>
      <c r="C196" s="5" t="s">
        <v>970</v>
      </c>
      <c r="D196" s="2" t="s">
        <v>1030</v>
      </c>
    </row>
    <row r="197" spans="1:4" ht="13.05" customHeight="1" x14ac:dyDescent="0.3">
      <c r="A197" s="2" t="s">
        <v>52</v>
      </c>
      <c r="B197" s="2" t="s">
        <v>955</v>
      </c>
      <c r="C197" s="5" t="s">
        <v>956</v>
      </c>
      <c r="D197" s="2" t="s">
        <v>1025</v>
      </c>
    </row>
    <row r="198" spans="1:4" ht="13.05" customHeight="1" x14ac:dyDescent="0.3">
      <c r="A198" s="2" t="s">
        <v>52</v>
      </c>
      <c r="B198" s="2" t="s">
        <v>955</v>
      </c>
      <c r="C198" s="5" t="s">
        <v>958</v>
      </c>
      <c r="D198" s="2" t="s">
        <v>1019</v>
      </c>
    </row>
    <row r="199" spans="1:4" ht="13.05" customHeight="1" x14ac:dyDescent="0.3">
      <c r="A199" s="2" t="s">
        <v>52</v>
      </c>
      <c r="B199" s="2" t="s">
        <v>955</v>
      </c>
      <c r="C199" s="5" t="s">
        <v>960</v>
      </c>
      <c r="D199" s="2" t="s">
        <v>961</v>
      </c>
    </row>
    <row r="200" spans="1:4" ht="13.05" customHeight="1" x14ac:dyDescent="0.3">
      <c r="A200" s="2" t="s">
        <v>55</v>
      </c>
      <c r="B200" s="2" t="s">
        <v>955</v>
      </c>
      <c r="C200" s="5" t="s">
        <v>974</v>
      </c>
      <c r="D200" s="2" t="s">
        <v>975</v>
      </c>
    </row>
    <row r="201" spans="1:4" ht="13.05" customHeight="1" x14ac:dyDescent="0.3">
      <c r="A201" s="2" t="s">
        <v>55</v>
      </c>
      <c r="B201" s="2" t="s">
        <v>955</v>
      </c>
      <c r="C201" s="5" t="s">
        <v>956</v>
      </c>
      <c r="D201" s="2" t="s">
        <v>957</v>
      </c>
    </row>
    <row r="202" spans="1:4" ht="13.05" customHeight="1" x14ac:dyDescent="0.3">
      <c r="A202" s="2" t="s">
        <v>55</v>
      </c>
      <c r="B202" s="2" t="s">
        <v>955</v>
      </c>
      <c r="C202" s="5" t="s">
        <v>958</v>
      </c>
      <c r="D202" s="2" t="s">
        <v>959</v>
      </c>
    </row>
    <row r="203" spans="1:4" ht="13.05" customHeight="1" x14ac:dyDescent="0.3">
      <c r="A203" s="2" t="s">
        <v>55</v>
      </c>
      <c r="B203" s="2" t="s">
        <v>955</v>
      </c>
      <c r="C203" s="5" t="s">
        <v>960</v>
      </c>
      <c r="D203" s="2" t="s">
        <v>961</v>
      </c>
    </row>
    <row r="204" spans="1:4" ht="13.05" customHeight="1" x14ac:dyDescent="0.3">
      <c r="A204" s="2" t="s">
        <v>55</v>
      </c>
      <c r="B204" s="2" t="s">
        <v>955</v>
      </c>
      <c r="C204" s="5" t="s">
        <v>962</v>
      </c>
      <c r="D204" s="2" t="s">
        <v>1031</v>
      </c>
    </row>
    <row r="205" spans="1:4" ht="13.05" customHeight="1" x14ac:dyDescent="0.3">
      <c r="A205" s="2" t="s">
        <v>55</v>
      </c>
      <c r="B205" s="2" t="s">
        <v>955</v>
      </c>
      <c r="C205" s="5" t="s">
        <v>964</v>
      </c>
      <c r="D205" s="2" t="s">
        <v>1032</v>
      </c>
    </row>
    <row r="206" spans="1:4" ht="13.05" customHeight="1" x14ac:dyDescent="0.3">
      <c r="A206" s="2" t="s">
        <v>55</v>
      </c>
      <c r="B206" s="2" t="s">
        <v>955</v>
      </c>
      <c r="C206" s="5" t="s">
        <v>966</v>
      </c>
      <c r="D206" s="2" t="s">
        <v>1033</v>
      </c>
    </row>
    <row r="207" spans="1:4" ht="13.05" customHeight="1" x14ac:dyDescent="0.3">
      <c r="A207" s="2" t="s">
        <v>55</v>
      </c>
      <c r="B207" s="2" t="s">
        <v>955</v>
      </c>
      <c r="C207" s="5" t="s">
        <v>968</v>
      </c>
      <c r="D207" s="2" t="s">
        <v>1034</v>
      </c>
    </row>
    <row r="208" spans="1:4" ht="13.05" customHeight="1" x14ac:dyDescent="0.3">
      <c r="A208" s="2" t="s">
        <v>55</v>
      </c>
      <c r="B208" s="2" t="s">
        <v>955</v>
      </c>
      <c r="C208" s="5" t="s">
        <v>970</v>
      </c>
      <c r="D208" s="2" t="s">
        <v>1035</v>
      </c>
    </row>
    <row r="209" spans="1:4" ht="13.05" customHeight="1" x14ac:dyDescent="0.3">
      <c r="A209" s="2" t="s">
        <v>55</v>
      </c>
      <c r="B209" s="2" t="s">
        <v>955</v>
      </c>
      <c r="C209" s="5" t="s">
        <v>972</v>
      </c>
      <c r="D209" s="2" t="s">
        <v>1036</v>
      </c>
    </row>
    <row r="210" spans="1:4" ht="13.05" customHeight="1" x14ac:dyDescent="0.3">
      <c r="A210" s="2" t="s">
        <v>55</v>
      </c>
      <c r="B210" s="2" t="s">
        <v>955</v>
      </c>
      <c r="C210" s="5" t="s">
        <v>981</v>
      </c>
      <c r="D210" s="2" t="s">
        <v>1037</v>
      </c>
    </row>
    <row r="211" spans="1:4" ht="13.05" customHeight="1" x14ac:dyDescent="0.3">
      <c r="A211" s="2" t="s">
        <v>58</v>
      </c>
      <c r="B211" s="2" t="s">
        <v>955</v>
      </c>
      <c r="C211" s="5" t="s">
        <v>974</v>
      </c>
      <c r="D211" s="2" t="s">
        <v>975</v>
      </c>
    </row>
    <row r="212" spans="1:4" ht="13.05" customHeight="1" x14ac:dyDescent="0.3">
      <c r="A212" s="2" t="s">
        <v>58</v>
      </c>
      <c r="B212" s="2" t="s">
        <v>955</v>
      </c>
      <c r="C212" s="5" t="s">
        <v>956</v>
      </c>
      <c r="D212" s="2" t="s">
        <v>957</v>
      </c>
    </row>
    <row r="213" spans="1:4" ht="13.05" customHeight="1" x14ac:dyDescent="0.3">
      <c r="A213" s="2" t="s">
        <v>58</v>
      </c>
      <c r="B213" s="2" t="s">
        <v>955</v>
      </c>
      <c r="C213" s="5" t="s">
        <v>958</v>
      </c>
      <c r="D213" s="2" t="s">
        <v>959</v>
      </c>
    </row>
    <row r="214" spans="1:4" ht="13.05" customHeight="1" x14ac:dyDescent="0.3">
      <c r="A214" s="2" t="s">
        <v>58</v>
      </c>
      <c r="B214" s="2" t="s">
        <v>955</v>
      </c>
      <c r="C214" s="5" t="s">
        <v>960</v>
      </c>
      <c r="D214" s="2" t="s">
        <v>961</v>
      </c>
    </row>
    <row r="215" spans="1:4" ht="13.05" customHeight="1" x14ac:dyDescent="0.3">
      <c r="A215" s="2" t="s">
        <v>58</v>
      </c>
      <c r="B215" s="2" t="s">
        <v>955</v>
      </c>
      <c r="C215" s="5" t="s">
        <v>962</v>
      </c>
      <c r="D215" s="2" t="s">
        <v>1031</v>
      </c>
    </row>
    <row r="216" spans="1:4" ht="13.05" customHeight="1" x14ac:dyDescent="0.3">
      <c r="A216" s="2" t="s">
        <v>58</v>
      </c>
      <c r="B216" s="2" t="s">
        <v>955</v>
      </c>
      <c r="C216" s="5" t="s">
        <v>964</v>
      </c>
      <c r="D216" s="2" t="s">
        <v>1032</v>
      </c>
    </row>
    <row r="217" spans="1:4" ht="13.05" customHeight="1" x14ac:dyDescent="0.3">
      <c r="A217" s="2" t="s">
        <v>58</v>
      </c>
      <c r="B217" s="2" t="s">
        <v>955</v>
      </c>
      <c r="C217" s="5" t="s">
        <v>966</v>
      </c>
      <c r="D217" s="2" t="s">
        <v>1033</v>
      </c>
    </row>
    <row r="218" spans="1:4" ht="13.05" customHeight="1" x14ac:dyDescent="0.3">
      <c r="A218" s="2" t="s">
        <v>58</v>
      </c>
      <c r="B218" s="2" t="s">
        <v>955</v>
      </c>
      <c r="C218" s="5" t="s">
        <v>968</v>
      </c>
      <c r="D218" s="2" t="s">
        <v>1034</v>
      </c>
    </row>
    <row r="219" spans="1:4" ht="13.05" customHeight="1" x14ac:dyDescent="0.3">
      <c r="A219" s="2" t="s">
        <v>58</v>
      </c>
      <c r="B219" s="2" t="s">
        <v>955</v>
      </c>
      <c r="C219" s="5" t="s">
        <v>970</v>
      </c>
      <c r="D219" s="2" t="s">
        <v>1035</v>
      </c>
    </row>
    <row r="220" spans="1:4" ht="13.05" customHeight="1" x14ac:dyDescent="0.3">
      <c r="A220" s="2" t="s">
        <v>58</v>
      </c>
      <c r="B220" s="2" t="s">
        <v>955</v>
      </c>
      <c r="C220" s="5" t="s">
        <v>972</v>
      </c>
      <c r="D220" s="2" t="s">
        <v>1036</v>
      </c>
    </row>
    <row r="221" spans="1:4" ht="13.05" customHeight="1" x14ac:dyDescent="0.3">
      <c r="A221" s="2" t="s">
        <v>58</v>
      </c>
      <c r="B221" s="2" t="s">
        <v>955</v>
      </c>
      <c r="C221" s="5" t="s">
        <v>981</v>
      </c>
      <c r="D221" s="2" t="s">
        <v>1037</v>
      </c>
    </row>
    <row r="222" spans="1:4" ht="13.05" customHeight="1" x14ac:dyDescent="0.3">
      <c r="A222" s="2" t="s">
        <v>60</v>
      </c>
      <c r="B222" s="2" t="s">
        <v>955</v>
      </c>
      <c r="C222" s="5" t="s">
        <v>974</v>
      </c>
      <c r="D222" s="2" t="s">
        <v>975</v>
      </c>
    </row>
    <row r="223" spans="1:4" ht="13.05" customHeight="1" x14ac:dyDescent="0.3">
      <c r="A223" s="2" t="s">
        <v>60</v>
      </c>
      <c r="B223" s="2" t="s">
        <v>955</v>
      </c>
      <c r="C223" s="5" t="s">
        <v>956</v>
      </c>
      <c r="D223" s="2" t="s">
        <v>957</v>
      </c>
    </row>
    <row r="224" spans="1:4" ht="13.05" customHeight="1" x14ac:dyDescent="0.3">
      <c r="A224" s="2" t="s">
        <v>60</v>
      </c>
      <c r="B224" s="2" t="s">
        <v>955</v>
      </c>
      <c r="C224" s="5" t="s">
        <v>958</v>
      </c>
      <c r="D224" s="2" t="s">
        <v>959</v>
      </c>
    </row>
    <row r="225" spans="1:4" ht="13.05" customHeight="1" x14ac:dyDescent="0.3">
      <c r="A225" s="2" t="s">
        <v>60</v>
      </c>
      <c r="B225" s="2" t="s">
        <v>955</v>
      </c>
      <c r="C225" s="5" t="s">
        <v>960</v>
      </c>
      <c r="D225" s="2" t="s">
        <v>961</v>
      </c>
    </row>
    <row r="226" spans="1:4" ht="13.05" customHeight="1" x14ac:dyDescent="0.3">
      <c r="A226" s="2" t="s">
        <v>60</v>
      </c>
      <c r="B226" s="2" t="s">
        <v>955</v>
      </c>
      <c r="C226" s="5" t="s">
        <v>962</v>
      </c>
      <c r="D226" s="2" t="s">
        <v>1031</v>
      </c>
    </row>
    <row r="227" spans="1:4" ht="13.05" customHeight="1" x14ac:dyDescent="0.3">
      <c r="A227" s="2" t="s">
        <v>60</v>
      </c>
      <c r="B227" s="2" t="s">
        <v>955</v>
      </c>
      <c r="C227" s="5" t="s">
        <v>964</v>
      </c>
      <c r="D227" s="2" t="s">
        <v>1032</v>
      </c>
    </row>
    <row r="228" spans="1:4" ht="13.05" customHeight="1" x14ac:dyDescent="0.3">
      <c r="A228" s="2" t="s">
        <v>60</v>
      </c>
      <c r="B228" s="2" t="s">
        <v>955</v>
      </c>
      <c r="C228" s="5" t="s">
        <v>966</v>
      </c>
      <c r="D228" s="2" t="s">
        <v>1033</v>
      </c>
    </row>
    <row r="229" spans="1:4" ht="13.05" customHeight="1" x14ac:dyDescent="0.3">
      <c r="A229" s="2" t="s">
        <v>60</v>
      </c>
      <c r="B229" s="2" t="s">
        <v>955</v>
      </c>
      <c r="C229" s="5" t="s">
        <v>968</v>
      </c>
      <c r="D229" s="2" t="s">
        <v>1034</v>
      </c>
    </row>
    <row r="230" spans="1:4" ht="13.05" customHeight="1" x14ac:dyDescent="0.3">
      <c r="A230" s="2" t="s">
        <v>60</v>
      </c>
      <c r="B230" s="2" t="s">
        <v>955</v>
      </c>
      <c r="C230" s="5" t="s">
        <v>970</v>
      </c>
      <c r="D230" s="2" t="s">
        <v>1035</v>
      </c>
    </row>
    <row r="231" spans="1:4" ht="13.05" customHeight="1" x14ac:dyDescent="0.3">
      <c r="A231" s="2" t="s">
        <v>60</v>
      </c>
      <c r="B231" s="2" t="s">
        <v>955</v>
      </c>
      <c r="C231" s="5" t="s">
        <v>972</v>
      </c>
      <c r="D231" s="2" t="s">
        <v>1036</v>
      </c>
    </row>
    <row r="232" spans="1:4" ht="13.05" customHeight="1" x14ac:dyDescent="0.3">
      <c r="A232" s="2" t="s">
        <v>60</v>
      </c>
      <c r="B232" s="2" t="s">
        <v>955</v>
      </c>
      <c r="C232" s="5" t="s">
        <v>981</v>
      </c>
      <c r="D232" s="2" t="s">
        <v>1037</v>
      </c>
    </row>
    <row r="233" spans="1:4" ht="13.05" customHeight="1" x14ac:dyDescent="0.3">
      <c r="A233" s="2" t="s">
        <v>62</v>
      </c>
      <c r="B233" s="2" t="s">
        <v>955</v>
      </c>
      <c r="C233" s="5" t="s">
        <v>974</v>
      </c>
      <c r="D233" s="2" t="s">
        <v>975</v>
      </c>
    </row>
    <row r="234" spans="1:4" ht="13.05" customHeight="1" x14ac:dyDescent="0.3">
      <c r="A234" s="2" t="s">
        <v>62</v>
      </c>
      <c r="B234" s="2" t="s">
        <v>955</v>
      </c>
      <c r="C234" s="5" t="s">
        <v>956</v>
      </c>
      <c r="D234" s="2" t="s">
        <v>957</v>
      </c>
    </row>
    <row r="235" spans="1:4" ht="13.05" customHeight="1" x14ac:dyDescent="0.3">
      <c r="A235" s="2" t="s">
        <v>62</v>
      </c>
      <c r="B235" s="2" t="s">
        <v>955</v>
      </c>
      <c r="C235" s="5" t="s">
        <v>958</v>
      </c>
      <c r="D235" s="2" t="s">
        <v>959</v>
      </c>
    </row>
    <row r="236" spans="1:4" ht="13.05" customHeight="1" x14ac:dyDescent="0.3">
      <c r="A236" s="2" t="s">
        <v>62</v>
      </c>
      <c r="B236" s="2" t="s">
        <v>955</v>
      </c>
      <c r="C236" s="5" t="s">
        <v>960</v>
      </c>
      <c r="D236" s="2" t="s">
        <v>961</v>
      </c>
    </row>
    <row r="237" spans="1:4" ht="13.05" customHeight="1" x14ac:dyDescent="0.3">
      <c r="A237" s="2" t="s">
        <v>62</v>
      </c>
      <c r="B237" s="2" t="s">
        <v>955</v>
      </c>
      <c r="C237" s="5" t="s">
        <v>962</v>
      </c>
      <c r="D237" s="2" t="s">
        <v>1031</v>
      </c>
    </row>
    <row r="238" spans="1:4" ht="13.05" customHeight="1" x14ac:dyDescent="0.3">
      <c r="A238" s="2" t="s">
        <v>62</v>
      </c>
      <c r="B238" s="2" t="s">
        <v>955</v>
      </c>
      <c r="C238" s="5" t="s">
        <v>964</v>
      </c>
      <c r="D238" s="2" t="s">
        <v>1032</v>
      </c>
    </row>
    <row r="239" spans="1:4" ht="13.05" customHeight="1" x14ac:dyDescent="0.3">
      <c r="A239" s="2" t="s">
        <v>62</v>
      </c>
      <c r="B239" s="2" t="s">
        <v>955</v>
      </c>
      <c r="C239" s="5" t="s">
        <v>966</v>
      </c>
      <c r="D239" s="2" t="s">
        <v>1033</v>
      </c>
    </row>
    <row r="240" spans="1:4" ht="13.05" customHeight="1" x14ac:dyDescent="0.3">
      <c r="A240" s="2" t="s">
        <v>62</v>
      </c>
      <c r="B240" s="2" t="s">
        <v>955</v>
      </c>
      <c r="C240" s="5" t="s">
        <v>968</v>
      </c>
      <c r="D240" s="2" t="s">
        <v>1034</v>
      </c>
    </row>
    <row r="241" spans="1:4" ht="13.05" customHeight="1" x14ac:dyDescent="0.3">
      <c r="A241" s="2" t="s">
        <v>62</v>
      </c>
      <c r="B241" s="2" t="s">
        <v>955</v>
      </c>
      <c r="C241" s="5" t="s">
        <v>970</v>
      </c>
      <c r="D241" s="2" t="s">
        <v>1035</v>
      </c>
    </row>
    <row r="242" spans="1:4" ht="13.05" customHeight="1" x14ac:dyDescent="0.3">
      <c r="A242" s="2" t="s">
        <v>62</v>
      </c>
      <c r="B242" s="2" t="s">
        <v>955</v>
      </c>
      <c r="C242" s="5" t="s">
        <v>972</v>
      </c>
      <c r="D242" s="2" t="s">
        <v>1036</v>
      </c>
    </row>
    <row r="243" spans="1:4" ht="13.05" customHeight="1" x14ac:dyDescent="0.3">
      <c r="A243" s="2" t="s">
        <v>62</v>
      </c>
      <c r="B243" s="2" t="s">
        <v>955</v>
      </c>
      <c r="C243" s="5" t="s">
        <v>981</v>
      </c>
      <c r="D243" s="2" t="s">
        <v>1037</v>
      </c>
    </row>
    <row r="244" spans="1:4" ht="13.05" customHeight="1" x14ac:dyDescent="0.3">
      <c r="A244" s="2" t="s">
        <v>64</v>
      </c>
      <c r="B244" s="2" t="s">
        <v>955</v>
      </c>
      <c r="C244" s="5" t="s">
        <v>974</v>
      </c>
      <c r="D244" s="2" t="s">
        <v>975</v>
      </c>
    </row>
    <row r="245" spans="1:4" ht="13.05" customHeight="1" x14ac:dyDescent="0.3">
      <c r="A245" s="2" t="s">
        <v>64</v>
      </c>
      <c r="B245" s="2" t="s">
        <v>955</v>
      </c>
      <c r="C245" s="5" t="s">
        <v>956</v>
      </c>
      <c r="D245" s="2" t="s">
        <v>957</v>
      </c>
    </row>
    <row r="246" spans="1:4" ht="13.05" customHeight="1" x14ac:dyDescent="0.3">
      <c r="A246" s="2" t="s">
        <v>64</v>
      </c>
      <c r="B246" s="2" t="s">
        <v>955</v>
      </c>
      <c r="C246" s="5" t="s">
        <v>958</v>
      </c>
      <c r="D246" s="2" t="s">
        <v>959</v>
      </c>
    </row>
    <row r="247" spans="1:4" ht="13.05" customHeight="1" x14ac:dyDescent="0.3">
      <c r="A247" s="2" t="s">
        <v>64</v>
      </c>
      <c r="B247" s="2" t="s">
        <v>955</v>
      </c>
      <c r="C247" s="5" t="s">
        <v>960</v>
      </c>
      <c r="D247" s="2" t="s">
        <v>961</v>
      </c>
    </row>
    <row r="248" spans="1:4" ht="13.05" customHeight="1" x14ac:dyDescent="0.3">
      <c r="A248" s="2" t="s">
        <v>64</v>
      </c>
      <c r="B248" s="2" t="s">
        <v>955</v>
      </c>
      <c r="C248" s="5" t="s">
        <v>962</v>
      </c>
      <c r="D248" s="2" t="s">
        <v>1031</v>
      </c>
    </row>
    <row r="249" spans="1:4" ht="13.05" customHeight="1" x14ac:dyDescent="0.3">
      <c r="A249" s="2" t="s">
        <v>64</v>
      </c>
      <c r="B249" s="2" t="s">
        <v>955</v>
      </c>
      <c r="C249" s="5" t="s">
        <v>964</v>
      </c>
      <c r="D249" s="2" t="s">
        <v>1032</v>
      </c>
    </row>
    <row r="250" spans="1:4" ht="13.05" customHeight="1" x14ac:dyDescent="0.3">
      <c r="A250" s="2" t="s">
        <v>64</v>
      </c>
      <c r="B250" s="2" t="s">
        <v>955</v>
      </c>
      <c r="C250" s="5" t="s">
        <v>966</v>
      </c>
      <c r="D250" s="2" t="s">
        <v>1033</v>
      </c>
    </row>
    <row r="251" spans="1:4" ht="13.05" customHeight="1" x14ac:dyDescent="0.3">
      <c r="A251" s="2" t="s">
        <v>64</v>
      </c>
      <c r="B251" s="2" t="s">
        <v>955</v>
      </c>
      <c r="C251" s="5" t="s">
        <v>968</v>
      </c>
      <c r="D251" s="2" t="s">
        <v>1034</v>
      </c>
    </row>
    <row r="252" spans="1:4" ht="13.05" customHeight="1" x14ac:dyDescent="0.3">
      <c r="A252" s="2" t="s">
        <v>64</v>
      </c>
      <c r="B252" s="2" t="s">
        <v>955</v>
      </c>
      <c r="C252" s="5" t="s">
        <v>970</v>
      </c>
      <c r="D252" s="2" t="s">
        <v>1035</v>
      </c>
    </row>
    <row r="253" spans="1:4" ht="13.05" customHeight="1" x14ac:dyDescent="0.3">
      <c r="A253" s="2" t="s">
        <v>64</v>
      </c>
      <c r="B253" s="2" t="s">
        <v>955</v>
      </c>
      <c r="C253" s="5" t="s">
        <v>972</v>
      </c>
      <c r="D253" s="2" t="s">
        <v>1036</v>
      </c>
    </row>
    <row r="254" spans="1:4" ht="13.05" customHeight="1" x14ac:dyDescent="0.3">
      <c r="A254" s="2" t="s">
        <v>64</v>
      </c>
      <c r="B254" s="2" t="s">
        <v>955</v>
      </c>
      <c r="C254" s="5" t="s">
        <v>981</v>
      </c>
      <c r="D254" s="2" t="s">
        <v>1037</v>
      </c>
    </row>
    <row r="255" spans="1:4" ht="13.05" customHeight="1" x14ac:dyDescent="0.3">
      <c r="A255" s="2" t="s">
        <v>66</v>
      </c>
      <c r="B255" s="2" t="s">
        <v>955</v>
      </c>
      <c r="C255" s="5" t="s">
        <v>974</v>
      </c>
      <c r="D255" s="2" t="s">
        <v>975</v>
      </c>
    </row>
    <row r="256" spans="1:4" ht="13.05" customHeight="1" x14ac:dyDescent="0.3">
      <c r="A256" s="2" t="s">
        <v>66</v>
      </c>
      <c r="B256" s="2" t="s">
        <v>955</v>
      </c>
      <c r="C256" s="5" t="s">
        <v>956</v>
      </c>
      <c r="D256" s="2" t="s">
        <v>957</v>
      </c>
    </row>
    <row r="257" spans="1:4" ht="13.05" customHeight="1" x14ac:dyDescent="0.3">
      <c r="A257" s="2" t="s">
        <v>66</v>
      </c>
      <c r="B257" s="2" t="s">
        <v>955</v>
      </c>
      <c r="C257" s="5" t="s">
        <v>958</v>
      </c>
      <c r="D257" s="2" t="s">
        <v>959</v>
      </c>
    </row>
    <row r="258" spans="1:4" ht="13.05" customHeight="1" x14ac:dyDescent="0.3">
      <c r="A258" s="2" t="s">
        <v>66</v>
      </c>
      <c r="B258" s="2" t="s">
        <v>955</v>
      </c>
      <c r="C258" s="5" t="s">
        <v>960</v>
      </c>
      <c r="D258" s="2" t="s">
        <v>961</v>
      </c>
    </row>
    <row r="259" spans="1:4" ht="13.05" customHeight="1" x14ac:dyDescent="0.3">
      <c r="A259" s="2" t="s">
        <v>66</v>
      </c>
      <c r="B259" s="2" t="s">
        <v>955</v>
      </c>
      <c r="C259" s="5" t="s">
        <v>962</v>
      </c>
      <c r="D259" s="2" t="s">
        <v>1031</v>
      </c>
    </row>
    <row r="260" spans="1:4" ht="13.05" customHeight="1" x14ac:dyDescent="0.3">
      <c r="A260" s="2" t="s">
        <v>66</v>
      </c>
      <c r="B260" s="2" t="s">
        <v>955</v>
      </c>
      <c r="C260" s="5" t="s">
        <v>964</v>
      </c>
      <c r="D260" s="2" t="s">
        <v>1032</v>
      </c>
    </row>
    <row r="261" spans="1:4" ht="13.05" customHeight="1" x14ac:dyDescent="0.3">
      <c r="A261" s="2" t="s">
        <v>66</v>
      </c>
      <c r="B261" s="2" t="s">
        <v>955</v>
      </c>
      <c r="C261" s="5" t="s">
        <v>966</v>
      </c>
      <c r="D261" s="2" t="s">
        <v>1033</v>
      </c>
    </row>
    <row r="262" spans="1:4" ht="13.05" customHeight="1" x14ac:dyDescent="0.3">
      <c r="A262" s="2" t="s">
        <v>66</v>
      </c>
      <c r="B262" s="2" t="s">
        <v>955</v>
      </c>
      <c r="C262" s="5" t="s">
        <v>968</v>
      </c>
      <c r="D262" s="2" t="s">
        <v>1034</v>
      </c>
    </row>
    <row r="263" spans="1:4" ht="13.05" customHeight="1" x14ac:dyDescent="0.3">
      <c r="A263" s="2" t="s">
        <v>66</v>
      </c>
      <c r="B263" s="2" t="s">
        <v>955</v>
      </c>
      <c r="C263" s="5" t="s">
        <v>970</v>
      </c>
      <c r="D263" s="2" t="s">
        <v>1035</v>
      </c>
    </row>
    <row r="264" spans="1:4" ht="13.05" customHeight="1" x14ac:dyDescent="0.3">
      <c r="A264" s="2" t="s">
        <v>66</v>
      </c>
      <c r="B264" s="2" t="s">
        <v>955</v>
      </c>
      <c r="C264" s="5" t="s">
        <v>972</v>
      </c>
      <c r="D264" s="2" t="s">
        <v>1036</v>
      </c>
    </row>
    <row r="265" spans="1:4" ht="13.05" customHeight="1" x14ac:dyDescent="0.3">
      <c r="A265" s="2" t="s">
        <v>66</v>
      </c>
      <c r="B265" s="2" t="s">
        <v>955</v>
      </c>
      <c r="C265" s="5" t="s">
        <v>981</v>
      </c>
      <c r="D265" s="2" t="s">
        <v>1037</v>
      </c>
    </row>
    <row r="266" spans="1:4" ht="13.05" customHeight="1" x14ac:dyDescent="0.3">
      <c r="A266" s="2" t="s">
        <v>68</v>
      </c>
      <c r="B266" s="2" t="s">
        <v>955</v>
      </c>
      <c r="C266" s="5" t="s">
        <v>974</v>
      </c>
      <c r="D266" s="2" t="s">
        <v>975</v>
      </c>
    </row>
    <row r="267" spans="1:4" ht="13.05" customHeight="1" x14ac:dyDescent="0.3">
      <c r="A267" s="2" t="s">
        <v>68</v>
      </c>
      <c r="B267" s="2" t="s">
        <v>955</v>
      </c>
      <c r="C267" s="5" t="s">
        <v>956</v>
      </c>
      <c r="D267" s="2" t="s">
        <v>957</v>
      </c>
    </row>
    <row r="268" spans="1:4" ht="13.05" customHeight="1" x14ac:dyDescent="0.3">
      <c r="A268" s="2" t="s">
        <v>68</v>
      </c>
      <c r="B268" s="2" t="s">
        <v>955</v>
      </c>
      <c r="C268" s="5" t="s">
        <v>958</v>
      </c>
      <c r="D268" s="2" t="s">
        <v>959</v>
      </c>
    </row>
    <row r="269" spans="1:4" ht="13.05" customHeight="1" x14ac:dyDescent="0.3">
      <c r="A269" s="2" t="s">
        <v>68</v>
      </c>
      <c r="B269" s="2" t="s">
        <v>955</v>
      </c>
      <c r="C269" s="5" t="s">
        <v>960</v>
      </c>
      <c r="D269" s="2" t="s">
        <v>961</v>
      </c>
    </row>
    <row r="270" spans="1:4" ht="13.05" customHeight="1" x14ac:dyDescent="0.3">
      <c r="A270" s="2" t="s">
        <v>68</v>
      </c>
      <c r="B270" s="2" t="s">
        <v>955</v>
      </c>
      <c r="C270" s="5" t="s">
        <v>962</v>
      </c>
      <c r="D270" s="2" t="s">
        <v>1031</v>
      </c>
    </row>
    <row r="271" spans="1:4" ht="13.05" customHeight="1" x14ac:dyDescent="0.3">
      <c r="A271" s="2" t="s">
        <v>68</v>
      </c>
      <c r="B271" s="2" t="s">
        <v>955</v>
      </c>
      <c r="C271" s="5" t="s">
        <v>964</v>
      </c>
      <c r="D271" s="2" t="s">
        <v>1032</v>
      </c>
    </row>
    <row r="272" spans="1:4" ht="13.05" customHeight="1" x14ac:dyDescent="0.3">
      <c r="A272" s="2" t="s">
        <v>68</v>
      </c>
      <c r="B272" s="2" t="s">
        <v>955</v>
      </c>
      <c r="C272" s="5" t="s">
        <v>966</v>
      </c>
      <c r="D272" s="2" t="s">
        <v>1033</v>
      </c>
    </row>
    <row r="273" spans="1:4" ht="13.05" customHeight="1" x14ac:dyDescent="0.3">
      <c r="A273" s="2" t="s">
        <v>68</v>
      </c>
      <c r="B273" s="2" t="s">
        <v>955</v>
      </c>
      <c r="C273" s="5" t="s">
        <v>968</v>
      </c>
      <c r="D273" s="2" t="s">
        <v>1034</v>
      </c>
    </row>
    <row r="274" spans="1:4" ht="13.05" customHeight="1" x14ac:dyDescent="0.3">
      <c r="A274" s="2" t="s">
        <v>68</v>
      </c>
      <c r="B274" s="2" t="s">
        <v>955</v>
      </c>
      <c r="C274" s="5" t="s">
        <v>970</v>
      </c>
      <c r="D274" s="2" t="s">
        <v>1035</v>
      </c>
    </row>
    <row r="275" spans="1:4" ht="13.05" customHeight="1" x14ac:dyDescent="0.3">
      <c r="A275" s="2" t="s">
        <v>68</v>
      </c>
      <c r="B275" s="2" t="s">
        <v>955</v>
      </c>
      <c r="C275" s="5" t="s">
        <v>972</v>
      </c>
      <c r="D275" s="2" t="s">
        <v>1036</v>
      </c>
    </row>
    <row r="276" spans="1:4" ht="13.05" customHeight="1" x14ac:dyDescent="0.3">
      <c r="A276" s="2" t="s">
        <v>68</v>
      </c>
      <c r="B276" s="2" t="s">
        <v>955</v>
      </c>
      <c r="C276" s="5" t="s">
        <v>981</v>
      </c>
      <c r="D276" s="2" t="s">
        <v>1037</v>
      </c>
    </row>
    <row r="277" spans="1:4" ht="13.05" customHeight="1" x14ac:dyDescent="0.3">
      <c r="A277" s="2" t="s">
        <v>70</v>
      </c>
      <c r="B277" s="2" t="s">
        <v>955</v>
      </c>
      <c r="C277" s="5" t="s">
        <v>974</v>
      </c>
      <c r="D277" s="2" t="s">
        <v>975</v>
      </c>
    </row>
    <row r="278" spans="1:4" ht="13.05" customHeight="1" x14ac:dyDescent="0.3">
      <c r="A278" s="2" t="s">
        <v>70</v>
      </c>
      <c r="B278" s="2" t="s">
        <v>955</v>
      </c>
      <c r="C278" s="5" t="s">
        <v>956</v>
      </c>
      <c r="D278" s="2" t="s">
        <v>957</v>
      </c>
    </row>
    <row r="279" spans="1:4" ht="13.05" customHeight="1" x14ac:dyDescent="0.3">
      <c r="A279" s="2" t="s">
        <v>70</v>
      </c>
      <c r="B279" s="2" t="s">
        <v>955</v>
      </c>
      <c r="C279" s="5" t="s">
        <v>958</v>
      </c>
      <c r="D279" s="2" t="s">
        <v>959</v>
      </c>
    </row>
    <row r="280" spans="1:4" ht="13.05" customHeight="1" x14ac:dyDescent="0.3">
      <c r="A280" s="2" t="s">
        <v>70</v>
      </c>
      <c r="B280" s="2" t="s">
        <v>955</v>
      </c>
      <c r="C280" s="5" t="s">
        <v>960</v>
      </c>
      <c r="D280" s="2" t="s">
        <v>961</v>
      </c>
    </row>
    <row r="281" spans="1:4" ht="13.05" customHeight="1" x14ac:dyDescent="0.3">
      <c r="A281" s="2" t="s">
        <v>70</v>
      </c>
      <c r="B281" s="2" t="s">
        <v>955</v>
      </c>
      <c r="C281" s="5" t="s">
        <v>962</v>
      </c>
      <c r="D281" s="2" t="s">
        <v>1031</v>
      </c>
    </row>
    <row r="282" spans="1:4" ht="13.05" customHeight="1" x14ac:dyDescent="0.3">
      <c r="A282" s="2" t="s">
        <v>70</v>
      </c>
      <c r="B282" s="2" t="s">
        <v>955</v>
      </c>
      <c r="C282" s="5" t="s">
        <v>964</v>
      </c>
      <c r="D282" s="2" t="s">
        <v>1032</v>
      </c>
    </row>
    <row r="283" spans="1:4" ht="13.05" customHeight="1" x14ac:dyDescent="0.3">
      <c r="A283" s="2" t="s">
        <v>70</v>
      </c>
      <c r="B283" s="2" t="s">
        <v>955</v>
      </c>
      <c r="C283" s="5" t="s">
        <v>966</v>
      </c>
      <c r="D283" s="2" t="s">
        <v>1033</v>
      </c>
    </row>
    <row r="284" spans="1:4" ht="13.05" customHeight="1" x14ac:dyDescent="0.3">
      <c r="A284" s="2" t="s">
        <v>70</v>
      </c>
      <c r="B284" s="2" t="s">
        <v>955</v>
      </c>
      <c r="C284" s="5" t="s">
        <v>968</v>
      </c>
      <c r="D284" s="2" t="s">
        <v>1034</v>
      </c>
    </row>
    <row r="285" spans="1:4" ht="13.05" customHeight="1" x14ac:dyDescent="0.3">
      <c r="A285" s="2" t="s">
        <v>70</v>
      </c>
      <c r="B285" s="2" t="s">
        <v>955</v>
      </c>
      <c r="C285" s="5" t="s">
        <v>970</v>
      </c>
      <c r="D285" s="2" t="s">
        <v>1035</v>
      </c>
    </row>
    <row r="286" spans="1:4" ht="13.05" customHeight="1" x14ac:dyDescent="0.3">
      <c r="A286" s="2" t="s">
        <v>70</v>
      </c>
      <c r="B286" s="2" t="s">
        <v>955</v>
      </c>
      <c r="C286" s="5" t="s">
        <v>972</v>
      </c>
      <c r="D286" s="2" t="s">
        <v>1036</v>
      </c>
    </row>
    <row r="287" spans="1:4" ht="13.05" customHeight="1" x14ac:dyDescent="0.3">
      <c r="A287" s="2" t="s">
        <v>70</v>
      </c>
      <c r="B287" s="2" t="s">
        <v>955</v>
      </c>
      <c r="C287" s="5" t="s">
        <v>981</v>
      </c>
      <c r="D287" s="2" t="s">
        <v>1037</v>
      </c>
    </row>
    <row r="288" spans="1:4" ht="13.05" customHeight="1" x14ac:dyDescent="0.3">
      <c r="A288" s="2" t="s">
        <v>72</v>
      </c>
      <c r="B288" s="2" t="s">
        <v>955</v>
      </c>
      <c r="C288" s="5" t="s">
        <v>956</v>
      </c>
      <c r="D288" s="2" t="s">
        <v>1025</v>
      </c>
    </row>
    <row r="289" spans="1:4" ht="13.05" customHeight="1" x14ac:dyDescent="0.3">
      <c r="A289" s="2" t="s">
        <v>72</v>
      </c>
      <c r="B289" s="2" t="s">
        <v>955</v>
      </c>
      <c r="C289" s="5" t="s">
        <v>958</v>
      </c>
      <c r="D289" s="2" t="s">
        <v>1019</v>
      </c>
    </row>
    <row r="290" spans="1:4" ht="13.05" customHeight="1" x14ac:dyDescent="0.3">
      <c r="A290" s="2" t="s">
        <v>72</v>
      </c>
      <c r="B290" s="2" t="s">
        <v>955</v>
      </c>
      <c r="C290" s="5" t="s">
        <v>960</v>
      </c>
      <c r="D290" s="2" t="s">
        <v>961</v>
      </c>
    </row>
    <row r="291" spans="1:4" ht="13.05" customHeight="1" x14ac:dyDescent="0.3">
      <c r="A291" s="2" t="s">
        <v>75</v>
      </c>
      <c r="B291" s="2" t="s">
        <v>955</v>
      </c>
      <c r="C291" s="5" t="s">
        <v>974</v>
      </c>
      <c r="D291" s="2" t="s">
        <v>975</v>
      </c>
    </row>
    <row r="292" spans="1:4" ht="13.05" customHeight="1" x14ac:dyDescent="0.3">
      <c r="A292" s="2" t="s">
        <v>75</v>
      </c>
      <c r="B292" s="2" t="s">
        <v>955</v>
      </c>
      <c r="C292" s="5" t="s">
        <v>956</v>
      </c>
      <c r="D292" s="2" t="s">
        <v>957</v>
      </c>
    </row>
    <row r="293" spans="1:4" ht="13.05" customHeight="1" x14ac:dyDescent="0.3">
      <c r="A293" s="2" t="s">
        <v>75</v>
      </c>
      <c r="B293" s="2" t="s">
        <v>955</v>
      </c>
      <c r="C293" s="5" t="s">
        <v>958</v>
      </c>
      <c r="D293" s="2" t="s">
        <v>959</v>
      </c>
    </row>
    <row r="294" spans="1:4" ht="13.05" customHeight="1" x14ac:dyDescent="0.3">
      <c r="A294" s="2" t="s">
        <v>75</v>
      </c>
      <c r="B294" s="2" t="s">
        <v>955</v>
      </c>
      <c r="C294" s="5" t="s">
        <v>960</v>
      </c>
      <c r="D294" s="2" t="s">
        <v>961</v>
      </c>
    </row>
    <row r="295" spans="1:4" ht="13.05" customHeight="1" x14ac:dyDescent="0.3">
      <c r="A295" s="2" t="s">
        <v>75</v>
      </c>
      <c r="B295" s="2" t="s">
        <v>955</v>
      </c>
      <c r="C295" s="5" t="s">
        <v>962</v>
      </c>
      <c r="D295" s="2" t="s">
        <v>1031</v>
      </c>
    </row>
    <row r="296" spans="1:4" ht="13.05" customHeight="1" x14ac:dyDescent="0.3">
      <c r="A296" s="2" t="s">
        <v>75</v>
      </c>
      <c r="B296" s="2" t="s">
        <v>955</v>
      </c>
      <c r="C296" s="5" t="s">
        <v>964</v>
      </c>
      <c r="D296" s="2" t="s">
        <v>1032</v>
      </c>
    </row>
    <row r="297" spans="1:4" ht="13.05" customHeight="1" x14ac:dyDescent="0.3">
      <c r="A297" s="2" t="s">
        <v>75</v>
      </c>
      <c r="B297" s="2" t="s">
        <v>955</v>
      </c>
      <c r="C297" s="5" t="s">
        <v>966</v>
      </c>
      <c r="D297" s="2" t="s">
        <v>1033</v>
      </c>
    </row>
    <row r="298" spans="1:4" ht="13.05" customHeight="1" x14ac:dyDescent="0.3">
      <c r="A298" s="2" t="s">
        <v>75</v>
      </c>
      <c r="B298" s="2" t="s">
        <v>955</v>
      </c>
      <c r="C298" s="5" t="s">
        <v>968</v>
      </c>
      <c r="D298" s="2" t="s">
        <v>1034</v>
      </c>
    </row>
    <row r="299" spans="1:4" ht="13.05" customHeight="1" x14ac:dyDescent="0.3">
      <c r="A299" s="2" t="s">
        <v>75</v>
      </c>
      <c r="B299" s="2" t="s">
        <v>955</v>
      </c>
      <c r="C299" s="5" t="s">
        <v>970</v>
      </c>
      <c r="D299" s="2" t="s">
        <v>1035</v>
      </c>
    </row>
    <row r="300" spans="1:4" ht="13.05" customHeight="1" x14ac:dyDescent="0.3">
      <c r="A300" s="2" t="s">
        <v>75</v>
      </c>
      <c r="B300" s="2" t="s">
        <v>955</v>
      </c>
      <c r="C300" s="5" t="s">
        <v>972</v>
      </c>
      <c r="D300" s="2" t="s">
        <v>1036</v>
      </c>
    </row>
    <row r="301" spans="1:4" ht="13.05" customHeight="1" x14ac:dyDescent="0.3">
      <c r="A301" s="2" t="s">
        <v>75</v>
      </c>
      <c r="B301" s="2" t="s">
        <v>955</v>
      </c>
      <c r="C301" s="5" t="s">
        <v>981</v>
      </c>
      <c r="D301" s="2" t="s">
        <v>1037</v>
      </c>
    </row>
    <row r="302" spans="1:4" ht="13.05" customHeight="1" x14ac:dyDescent="0.3">
      <c r="A302" s="2" t="s">
        <v>77</v>
      </c>
      <c r="B302" s="2" t="s">
        <v>1038</v>
      </c>
      <c r="C302" s="5" t="s">
        <v>974</v>
      </c>
      <c r="D302" s="2" t="s">
        <v>975</v>
      </c>
    </row>
    <row r="303" spans="1:4" ht="13.05" customHeight="1" x14ac:dyDescent="0.3">
      <c r="A303" s="2" t="s">
        <v>77</v>
      </c>
      <c r="B303" s="2" t="s">
        <v>1038</v>
      </c>
      <c r="C303" s="5" t="s">
        <v>960</v>
      </c>
      <c r="D303" s="2" t="s">
        <v>961</v>
      </c>
    </row>
    <row r="304" spans="1:4" ht="13.05" customHeight="1" x14ac:dyDescent="0.3">
      <c r="A304" s="2" t="s">
        <v>79</v>
      </c>
      <c r="B304" s="2" t="s">
        <v>955</v>
      </c>
      <c r="C304" s="5" t="s">
        <v>974</v>
      </c>
      <c r="D304" s="2" t="s">
        <v>975</v>
      </c>
    </row>
    <row r="305" spans="1:4" ht="13.05" customHeight="1" x14ac:dyDescent="0.3">
      <c r="A305" s="2" t="s">
        <v>79</v>
      </c>
      <c r="B305" s="2" t="s">
        <v>955</v>
      </c>
      <c r="C305" s="5" t="s">
        <v>956</v>
      </c>
      <c r="D305" s="2" t="s">
        <v>1025</v>
      </c>
    </row>
    <row r="306" spans="1:4" ht="13.05" customHeight="1" x14ac:dyDescent="0.3">
      <c r="A306" s="2" t="s">
        <v>79</v>
      </c>
      <c r="B306" s="2" t="s">
        <v>955</v>
      </c>
      <c r="C306" s="5" t="s">
        <v>958</v>
      </c>
      <c r="D306" s="2" t="s">
        <v>1019</v>
      </c>
    </row>
    <row r="307" spans="1:4" ht="13.05" customHeight="1" x14ac:dyDescent="0.3">
      <c r="A307" s="2" t="s">
        <v>79</v>
      </c>
      <c r="B307" s="2" t="s">
        <v>955</v>
      </c>
      <c r="C307" s="5" t="s">
        <v>962</v>
      </c>
      <c r="D307" s="2" t="s">
        <v>1039</v>
      </c>
    </row>
    <row r="308" spans="1:4" ht="13.05" customHeight="1" x14ac:dyDescent="0.3">
      <c r="A308" s="2" t="s">
        <v>79</v>
      </c>
      <c r="B308" s="2" t="s">
        <v>955</v>
      </c>
      <c r="C308" s="5" t="s">
        <v>964</v>
      </c>
      <c r="D308" s="2" t="s">
        <v>1040</v>
      </c>
    </row>
    <row r="309" spans="1:4" ht="13.05" customHeight="1" x14ac:dyDescent="0.3">
      <c r="A309" s="2" t="s">
        <v>82</v>
      </c>
      <c r="B309" s="2" t="s">
        <v>1018</v>
      </c>
      <c r="C309" s="5" t="s">
        <v>956</v>
      </c>
      <c r="D309" s="2" t="s">
        <v>1025</v>
      </c>
    </row>
    <row r="310" spans="1:4" ht="13.05" customHeight="1" x14ac:dyDescent="0.3">
      <c r="A310" s="2" t="s">
        <v>82</v>
      </c>
      <c r="B310" s="2" t="s">
        <v>1018</v>
      </c>
      <c r="C310" s="5" t="s">
        <v>958</v>
      </c>
      <c r="D310" s="2" t="s">
        <v>959</v>
      </c>
    </row>
    <row r="311" spans="1:4" ht="13.05" customHeight="1" x14ac:dyDescent="0.3">
      <c r="A311" s="2" t="s">
        <v>82</v>
      </c>
      <c r="B311" s="2" t="s">
        <v>1018</v>
      </c>
      <c r="C311" s="5" t="s">
        <v>960</v>
      </c>
      <c r="D311" s="2" t="s">
        <v>961</v>
      </c>
    </row>
    <row r="312" spans="1:4" ht="13.05" customHeight="1" x14ac:dyDescent="0.3">
      <c r="A312" s="2" t="s">
        <v>82</v>
      </c>
      <c r="B312" s="2" t="s">
        <v>1018</v>
      </c>
      <c r="C312" s="5" t="s">
        <v>962</v>
      </c>
      <c r="D312" s="2" t="s">
        <v>1041</v>
      </c>
    </row>
    <row r="313" spans="1:4" ht="13.05" customHeight="1" x14ac:dyDescent="0.3">
      <c r="A313" s="2" t="s">
        <v>82</v>
      </c>
      <c r="B313" s="2" t="s">
        <v>1018</v>
      </c>
      <c r="C313" s="5" t="s">
        <v>964</v>
      </c>
      <c r="D313" s="2" t="s">
        <v>1021</v>
      </c>
    </row>
    <row r="314" spans="1:4" ht="13.05" customHeight="1" x14ac:dyDescent="0.3">
      <c r="A314" s="2" t="s">
        <v>82</v>
      </c>
      <c r="B314" s="2" t="s">
        <v>1018</v>
      </c>
      <c r="C314" s="5" t="s">
        <v>966</v>
      </c>
      <c r="D314" s="2" t="s">
        <v>1022</v>
      </c>
    </row>
    <row r="315" spans="1:4" ht="13.05" customHeight="1" x14ac:dyDescent="0.3">
      <c r="A315" s="2" t="s">
        <v>82</v>
      </c>
      <c r="B315" s="2" t="s">
        <v>1018</v>
      </c>
      <c r="C315" s="5" t="s">
        <v>968</v>
      </c>
      <c r="D315" s="2" t="s">
        <v>1023</v>
      </c>
    </row>
    <row r="316" spans="1:4" ht="13.05" customHeight="1" x14ac:dyDescent="0.3">
      <c r="A316" s="2" t="s">
        <v>82</v>
      </c>
      <c r="B316" s="2" t="s">
        <v>1018</v>
      </c>
      <c r="C316" s="5" t="s">
        <v>970</v>
      </c>
      <c r="D316" s="2" t="s">
        <v>1024</v>
      </c>
    </row>
    <row r="317" spans="1:4" ht="13.05" customHeight="1" x14ac:dyDescent="0.3">
      <c r="A317" s="2" t="s">
        <v>85</v>
      </c>
      <c r="B317" s="2" t="s">
        <v>1018</v>
      </c>
      <c r="C317" s="5" t="s">
        <v>956</v>
      </c>
      <c r="D317" s="2" t="s">
        <v>1025</v>
      </c>
    </row>
    <row r="318" spans="1:4" ht="13.05" customHeight="1" x14ac:dyDescent="0.3">
      <c r="A318" s="2" t="s">
        <v>85</v>
      </c>
      <c r="B318" s="2" t="s">
        <v>1018</v>
      </c>
      <c r="C318" s="5" t="s">
        <v>958</v>
      </c>
      <c r="D318" s="2" t="s">
        <v>959</v>
      </c>
    </row>
    <row r="319" spans="1:4" ht="13.05" customHeight="1" x14ac:dyDescent="0.3">
      <c r="A319" s="2" t="s">
        <v>85</v>
      </c>
      <c r="B319" s="2" t="s">
        <v>1018</v>
      </c>
      <c r="C319" s="5" t="s">
        <v>960</v>
      </c>
      <c r="D319" s="2" t="s">
        <v>961</v>
      </c>
    </row>
    <row r="320" spans="1:4" ht="13.05" customHeight="1" x14ac:dyDescent="0.3">
      <c r="A320" s="2" t="s">
        <v>85</v>
      </c>
      <c r="B320" s="2" t="s">
        <v>1018</v>
      </c>
      <c r="C320" s="5" t="s">
        <v>962</v>
      </c>
      <c r="D320" s="2" t="s">
        <v>1020</v>
      </c>
    </row>
    <row r="321" spans="1:4" ht="13.05" customHeight="1" x14ac:dyDescent="0.3">
      <c r="A321" s="2" t="s">
        <v>85</v>
      </c>
      <c r="B321" s="2" t="s">
        <v>1018</v>
      </c>
      <c r="C321" s="5" t="s">
        <v>964</v>
      </c>
      <c r="D321" s="2" t="s">
        <v>1042</v>
      </c>
    </row>
    <row r="322" spans="1:4" ht="13.05" customHeight="1" x14ac:dyDescent="0.3">
      <c r="A322" s="2" t="s">
        <v>85</v>
      </c>
      <c r="B322" s="2" t="s">
        <v>1018</v>
      </c>
      <c r="C322" s="5" t="s">
        <v>966</v>
      </c>
      <c r="D322" s="2" t="s">
        <v>1022</v>
      </c>
    </row>
    <row r="323" spans="1:4" ht="13.05" customHeight="1" x14ac:dyDescent="0.3">
      <c r="A323" s="2" t="s">
        <v>85</v>
      </c>
      <c r="B323" s="2" t="s">
        <v>1018</v>
      </c>
      <c r="C323" s="5" t="s">
        <v>968</v>
      </c>
      <c r="D323" s="2" t="s">
        <v>1023</v>
      </c>
    </row>
    <row r="324" spans="1:4" ht="13.05" customHeight="1" x14ac:dyDescent="0.3">
      <c r="A324" s="2" t="s">
        <v>85</v>
      </c>
      <c r="B324" s="2" t="s">
        <v>1018</v>
      </c>
      <c r="C324" s="5" t="s">
        <v>970</v>
      </c>
      <c r="D324" s="2" t="s">
        <v>1024</v>
      </c>
    </row>
    <row r="325" spans="1:4" ht="13.05" customHeight="1" x14ac:dyDescent="0.3">
      <c r="A325" s="2" t="s">
        <v>88</v>
      </c>
      <c r="B325" s="2" t="s">
        <v>955</v>
      </c>
      <c r="C325" s="5" t="s">
        <v>974</v>
      </c>
      <c r="D325" s="2" t="s">
        <v>975</v>
      </c>
    </row>
    <row r="326" spans="1:4" ht="13.05" customHeight="1" x14ac:dyDescent="0.3">
      <c r="A326" s="2" t="s">
        <v>88</v>
      </c>
      <c r="B326" s="2" t="s">
        <v>955</v>
      </c>
      <c r="C326" s="5" t="s">
        <v>956</v>
      </c>
      <c r="D326" s="2" t="s">
        <v>1025</v>
      </c>
    </row>
    <row r="327" spans="1:4" ht="13.05" customHeight="1" x14ac:dyDescent="0.3">
      <c r="A327" s="2" t="s">
        <v>88</v>
      </c>
      <c r="B327" s="2" t="s">
        <v>955</v>
      </c>
      <c r="C327" s="5" t="s">
        <v>958</v>
      </c>
      <c r="D327" s="2" t="s">
        <v>1019</v>
      </c>
    </row>
    <row r="328" spans="1:4" ht="13.05" customHeight="1" x14ac:dyDescent="0.3">
      <c r="A328" s="2" t="s">
        <v>91</v>
      </c>
      <c r="B328" s="2" t="s">
        <v>955</v>
      </c>
      <c r="C328" s="5" t="s">
        <v>974</v>
      </c>
      <c r="D328" s="2" t="s">
        <v>975</v>
      </c>
    </row>
    <row r="329" spans="1:4" ht="13.05" customHeight="1" x14ac:dyDescent="0.3">
      <c r="A329" s="2" t="s">
        <v>91</v>
      </c>
      <c r="B329" s="2" t="s">
        <v>955</v>
      </c>
      <c r="C329" s="5" t="s">
        <v>956</v>
      </c>
      <c r="D329" s="2" t="s">
        <v>1025</v>
      </c>
    </row>
    <row r="330" spans="1:4" ht="13.05" customHeight="1" x14ac:dyDescent="0.3">
      <c r="A330" s="2" t="s">
        <v>91</v>
      </c>
      <c r="B330" s="2" t="s">
        <v>955</v>
      </c>
      <c r="C330" s="5" t="s">
        <v>958</v>
      </c>
      <c r="D330" s="2" t="s">
        <v>1019</v>
      </c>
    </row>
    <row r="331" spans="1:4" ht="13.05" customHeight="1" x14ac:dyDescent="0.3">
      <c r="A331" s="2" t="s">
        <v>91</v>
      </c>
      <c r="B331" s="2" t="s">
        <v>955</v>
      </c>
      <c r="C331" s="5" t="s">
        <v>960</v>
      </c>
      <c r="D331" s="2" t="s">
        <v>961</v>
      </c>
    </row>
    <row r="332" spans="1:4" ht="13.05" customHeight="1" x14ac:dyDescent="0.3">
      <c r="A332" s="2" t="s">
        <v>94</v>
      </c>
      <c r="B332" s="2" t="s">
        <v>1038</v>
      </c>
      <c r="C332" s="5" t="s">
        <v>960</v>
      </c>
      <c r="D332" s="2" t="s">
        <v>961</v>
      </c>
    </row>
    <row r="333" spans="1:4" ht="13.05" customHeight="1" x14ac:dyDescent="0.3">
      <c r="A333" s="2" t="s">
        <v>96</v>
      </c>
      <c r="B333" s="2" t="s">
        <v>1018</v>
      </c>
      <c r="C333" s="5" t="s">
        <v>974</v>
      </c>
      <c r="D333" s="2" t="s">
        <v>975</v>
      </c>
    </row>
    <row r="334" spans="1:4" ht="13.05" customHeight="1" x14ac:dyDescent="0.3">
      <c r="A334" s="2" t="s">
        <v>96</v>
      </c>
      <c r="B334" s="2" t="s">
        <v>1018</v>
      </c>
      <c r="C334" s="5" t="s">
        <v>997</v>
      </c>
      <c r="D334" s="2" t="s">
        <v>1043</v>
      </c>
    </row>
    <row r="335" spans="1:4" ht="13.05" customHeight="1" x14ac:dyDescent="0.3">
      <c r="A335" s="2" t="s">
        <v>96</v>
      </c>
      <c r="B335" s="2" t="s">
        <v>1018</v>
      </c>
      <c r="C335" s="5" t="s">
        <v>999</v>
      </c>
      <c r="D335" s="2" t="s">
        <v>1044</v>
      </c>
    </row>
    <row r="336" spans="1:4" ht="13.05" customHeight="1" x14ac:dyDescent="0.3">
      <c r="A336" s="2" t="s">
        <v>96</v>
      </c>
      <c r="B336" s="2" t="s">
        <v>1018</v>
      </c>
      <c r="C336" s="5" t="s">
        <v>1001</v>
      </c>
      <c r="D336" s="2" t="s">
        <v>1045</v>
      </c>
    </row>
    <row r="337" spans="1:4" ht="13.05" customHeight="1" x14ac:dyDescent="0.3">
      <c r="A337" s="2" t="s">
        <v>96</v>
      </c>
      <c r="B337" s="2" t="s">
        <v>1018</v>
      </c>
      <c r="C337" s="5" t="s">
        <v>1003</v>
      </c>
      <c r="D337" s="2" t="s">
        <v>1046</v>
      </c>
    </row>
    <row r="338" spans="1:4" ht="13.05" customHeight="1" x14ac:dyDescent="0.3">
      <c r="A338" s="2" t="s">
        <v>96</v>
      </c>
      <c r="B338" s="2" t="s">
        <v>1018</v>
      </c>
      <c r="C338" s="5" t="s">
        <v>1047</v>
      </c>
      <c r="D338" s="2" t="s">
        <v>1048</v>
      </c>
    </row>
    <row r="339" spans="1:4" ht="13.05" customHeight="1" x14ac:dyDescent="0.3">
      <c r="A339" s="2" t="s">
        <v>96</v>
      </c>
      <c r="B339" s="2" t="s">
        <v>1018</v>
      </c>
      <c r="C339" s="5" t="s">
        <v>1049</v>
      </c>
      <c r="D339" s="2" t="s">
        <v>1050</v>
      </c>
    </row>
    <row r="340" spans="1:4" ht="13.05" customHeight="1" x14ac:dyDescent="0.3">
      <c r="A340" s="2" t="s">
        <v>96</v>
      </c>
      <c r="B340" s="2" t="s">
        <v>1018</v>
      </c>
      <c r="C340" s="5" t="s">
        <v>1051</v>
      </c>
      <c r="D340" s="2" t="s">
        <v>1052</v>
      </c>
    </row>
    <row r="341" spans="1:4" ht="13.05" customHeight="1" x14ac:dyDescent="0.3">
      <c r="A341" s="2" t="s">
        <v>96</v>
      </c>
      <c r="B341" s="2" t="s">
        <v>1018</v>
      </c>
      <c r="C341" s="5" t="s">
        <v>1053</v>
      </c>
      <c r="D341" s="2" t="s">
        <v>1054</v>
      </c>
    </row>
    <row r="342" spans="1:4" ht="13.05" customHeight="1" x14ac:dyDescent="0.3">
      <c r="A342" s="2" t="s">
        <v>96</v>
      </c>
      <c r="B342" s="2" t="s">
        <v>1018</v>
      </c>
      <c r="C342" s="5" t="s">
        <v>1055</v>
      </c>
      <c r="D342" s="2" t="s">
        <v>1056</v>
      </c>
    </row>
    <row r="343" spans="1:4" ht="13.05" customHeight="1" x14ac:dyDescent="0.3">
      <c r="A343" s="2" t="s">
        <v>96</v>
      </c>
      <c r="B343" s="2" t="s">
        <v>1018</v>
      </c>
      <c r="C343" s="5" t="s">
        <v>1057</v>
      </c>
      <c r="D343" s="2" t="s">
        <v>1058</v>
      </c>
    </row>
    <row r="344" spans="1:4" ht="13.05" customHeight="1" x14ac:dyDescent="0.3">
      <c r="A344" s="2" t="s">
        <v>96</v>
      </c>
      <c r="B344" s="2" t="s">
        <v>1018</v>
      </c>
      <c r="C344" s="5" t="s">
        <v>1059</v>
      </c>
      <c r="D344" s="2" t="s">
        <v>1060</v>
      </c>
    </row>
    <row r="345" spans="1:4" ht="13.05" customHeight="1" x14ac:dyDescent="0.3">
      <c r="A345" s="2" t="s">
        <v>96</v>
      </c>
      <c r="B345" s="2" t="s">
        <v>1018</v>
      </c>
      <c r="C345" s="5" t="s">
        <v>1061</v>
      </c>
      <c r="D345" s="2" t="s">
        <v>1062</v>
      </c>
    </row>
    <row r="346" spans="1:4" ht="13.05" customHeight="1" x14ac:dyDescent="0.3">
      <c r="A346" s="2" t="s">
        <v>96</v>
      </c>
      <c r="B346" s="2" t="s">
        <v>1018</v>
      </c>
      <c r="C346" s="5" t="s">
        <v>1063</v>
      </c>
      <c r="D346" s="2" t="s">
        <v>1064</v>
      </c>
    </row>
    <row r="347" spans="1:4" ht="13.05" customHeight="1" x14ac:dyDescent="0.3">
      <c r="A347" s="2" t="s">
        <v>96</v>
      </c>
      <c r="B347" s="2" t="s">
        <v>1018</v>
      </c>
      <c r="C347" s="5" t="s">
        <v>1065</v>
      </c>
      <c r="D347" s="2" t="s">
        <v>1066</v>
      </c>
    </row>
    <row r="348" spans="1:4" ht="13.05" customHeight="1" x14ac:dyDescent="0.3">
      <c r="A348" s="2" t="s">
        <v>96</v>
      </c>
      <c r="B348" s="2" t="s">
        <v>1018</v>
      </c>
      <c r="C348" s="5" t="s">
        <v>1067</v>
      </c>
      <c r="D348" s="2" t="s">
        <v>1068</v>
      </c>
    </row>
    <row r="349" spans="1:4" ht="13.05" customHeight="1" x14ac:dyDescent="0.3">
      <c r="A349" s="2" t="s">
        <v>96</v>
      </c>
      <c r="B349" s="2" t="s">
        <v>1018</v>
      </c>
      <c r="C349" s="5" t="s">
        <v>1069</v>
      </c>
      <c r="D349" s="2" t="s">
        <v>1070</v>
      </c>
    </row>
    <row r="350" spans="1:4" ht="13.05" customHeight="1" x14ac:dyDescent="0.3">
      <c r="A350" s="2" t="s">
        <v>96</v>
      </c>
      <c r="B350" s="2" t="s">
        <v>1018</v>
      </c>
      <c r="C350" s="5" t="s">
        <v>1071</v>
      </c>
      <c r="D350" s="2" t="s">
        <v>1072</v>
      </c>
    </row>
    <row r="351" spans="1:4" ht="13.05" customHeight="1" x14ac:dyDescent="0.3">
      <c r="A351" s="2" t="s">
        <v>96</v>
      </c>
      <c r="B351" s="2" t="s">
        <v>1018</v>
      </c>
      <c r="C351" s="5" t="s">
        <v>1073</v>
      </c>
      <c r="D351" s="2" t="s">
        <v>1074</v>
      </c>
    </row>
    <row r="352" spans="1:4" ht="13.05" customHeight="1" x14ac:dyDescent="0.3">
      <c r="A352" s="2" t="s">
        <v>96</v>
      </c>
      <c r="B352" s="2" t="s">
        <v>1018</v>
      </c>
      <c r="C352" s="5" t="s">
        <v>1075</v>
      </c>
      <c r="D352" s="2" t="s">
        <v>1076</v>
      </c>
    </row>
    <row r="353" spans="1:4" ht="13.05" customHeight="1" x14ac:dyDescent="0.3">
      <c r="A353" s="2" t="s">
        <v>96</v>
      </c>
      <c r="B353" s="2" t="s">
        <v>1018</v>
      </c>
      <c r="C353" s="5" t="s">
        <v>1077</v>
      </c>
      <c r="D353" s="2" t="s">
        <v>1078</v>
      </c>
    </row>
    <row r="354" spans="1:4" ht="13.05" customHeight="1" x14ac:dyDescent="0.3">
      <c r="A354" s="2" t="s">
        <v>96</v>
      </c>
      <c r="B354" s="2" t="s">
        <v>1018</v>
      </c>
      <c r="C354" s="5" t="s">
        <v>1079</v>
      </c>
      <c r="D354" s="2" t="s">
        <v>1080</v>
      </c>
    </row>
    <row r="355" spans="1:4" ht="13.05" customHeight="1" x14ac:dyDescent="0.3">
      <c r="A355" s="2" t="s">
        <v>96</v>
      </c>
      <c r="B355" s="2" t="s">
        <v>1018</v>
      </c>
      <c r="C355" s="5" t="s">
        <v>1081</v>
      </c>
      <c r="D355" s="2" t="s">
        <v>1082</v>
      </c>
    </row>
    <row r="356" spans="1:4" ht="13.05" customHeight="1" x14ac:dyDescent="0.3">
      <c r="A356" s="2" t="s">
        <v>96</v>
      </c>
      <c r="B356" s="2" t="s">
        <v>1018</v>
      </c>
      <c r="C356" s="5" t="s">
        <v>1083</v>
      </c>
      <c r="D356" s="2" t="s">
        <v>1084</v>
      </c>
    </row>
    <row r="357" spans="1:4" ht="13.05" customHeight="1" x14ac:dyDescent="0.3">
      <c r="A357" s="2" t="s">
        <v>96</v>
      </c>
      <c r="B357" s="2" t="s">
        <v>1018</v>
      </c>
      <c r="C357" s="5" t="s">
        <v>1085</v>
      </c>
      <c r="D357" s="2" t="s">
        <v>1086</v>
      </c>
    </row>
    <row r="358" spans="1:4" ht="13.05" customHeight="1" x14ac:dyDescent="0.3">
      <c r="A358" s="2" t="s">
        <v>96</v>
      </c>
      <c r="B358" s="2" t="s">
        <v>1018</v>
      </c>
      <c r="C358" s="5" t="s">
        <v>1087</v>
      </c>
      <c r="D358" s="2" t="s">
        <v>1088</v>
      </c>
    </row>
    <row r="359" spans="1:4" ht="13.05" customHeight="1" x14ac:dyDescent="0.3">
      <c r="A359" s="2" t="s">
        <v>96</v>
      </c>
      <c r="B359" s="2" t="s">
        <v>1018</v>
      </c>
      <c r="C359" s="5" t="s">
        <v>1089</v>
      </c>
      <c r="D359" s="2" t="s">
        <v>1090</v>
      </c>
    </row>
    <row r="360" spans="1:4" ht="13.05" customHeight="1" x14ac:dyDescent="0.3">
      <c r="A360" s="2" t="s">
        <v>96</v>
      </c>
      <c r="B360" s="2" t="s">
        <v>1018</v>
      </c>
      <c r="C360" s="5" t="s">
        <v>1091</v>
      </c>
      <c r="D360" s="2" t="s">
        <v>1092</v>
      </c>
    </row>
    <row r="361" spans="1:4" ht="13.05" customHeight="1" x14ac:dyDescent="0.3">
      <c r="A361" s="2" t="s">
        <v>96</v>
      </c>
      <c r="B361" s="2" t="s">
        <v>1018</v>
      </c>
      <c r="C361" s="5" t="s">
        <v>1093</v>
      </c>
      <c r="D361" s="2" t="s">
        <v>1094</v>
      </c>
    </row>
    <row r="362" spans="1:4" ht="13.05" customHeight="1" x14ac:dyDescent="0.3">
      <c r="A362" s="2" t="s">
        <v>96</v>
      </c>
      <c r="B362" s="2" t="s">
        <v>1018</v>
      </c>
      <c r="C362" s="5" t="s">
        <v>1095</v>
      </c>
      <c r="D362" s="2" t="s">
        <v>1096</v>
      </c>
    </row>
    <row r="363" spans="1:4" ht="13.05" customHeight="1" x14ac:dyDescent="0.3">
      <c r="A363" s="2" t="s">
        <v>96</v>
      </c>
      <c r="B363" s="2" t="s">
        <v>1018</v>
      </c>
      <c r="C363" s="5" t="s">
        <v>1097</v>
      </c>
      <c r="D363" s="2" t="s">
        <v>1098</v>
      </c>
    </row>
    <row r="364" spans="1:4" ht="13.05" customHeight="1" x14ac:dyDescent="0.3">
      <c r="A364" s="2" t="s">
        <v>96</v>
      </c>
      <c r="B364" s="2" t="s">
        <v>1018</v>
      </c>
      <c r="C364" s="5" t="s">
        <v>1099</v>
      </c>
      <c r="D364" s="2" t="s">
        <v>1100</v>
      </c>
    </row>
    <row r="365" spans="1:4" ht="13.05" customHeight="1" x14ac:dyDescent="0.3">
      <c r="A365" s="2" t="s">
        <v>96</v>
      </c>
      <c r="B365" s="2" t="s">
        <v>1018</v>
      </c>
      <c r="C365" s="5" t="s">
        <v>1101</v>
      </c>
      <c r="D365" s="2" t="s">
        <v>1102</v>
      </c>
    </row>
    <row r="366" spans="1:4" ht="13.05" customHeight="1" x14ac:dyDescent="0.3">
      <c r="A366" s="2" t="s">
        <v>96</v>
      </c>
      <c r="B366" s="2" t="s">
        <v>1018</v>
      </c>
      <c r="C366" s="5" t="s">
        <v>1103</v>
      </c>
      <c r="D366" s="2" t="s">
        <v>1104</v>
      </c>
    </row>
    <row r="367" spans="1:4" ht="13.05" customHeight="1" x14ac:dyDescent="0.3">
      <c r="A367" s="2" t="s">
        <v>96</v>
      </c>
      <c r="B367" s="2" t="s">
        <v>1018</v>
      </c>
      <c r="C367" s="5" t="s">
        <v>1105</v>
      </c>
      <c r="D367" s="2" t="s">
        <v>1106</v>
      </c>
    </row>
    <row r="368" spans="1:4" ht="13.05" customHeight="1" x14ac:dyDescent="0.3">
      <c r="A368" s="2" t="s">
        <v>96</v>
      </c>
      <c r="B368" s="2" t="s">
        <v>1018</v>
      </c>
      <c r="C368" s="5" t="s">
        <v>1107</v>
      </c>
      <c r="D368" s="2" t="s">
        <v>1108</v>
      </c>
    </row>
    <row r="369" spans="1:4" ht="13.05" customHeight="1" x14ac:dyDescent="0.3">
      <c r="A369" s="2" t="s">
        <v>96</v>
      </c>
      <c r="B369" s="2" t="s">
        <v>1018</v>
      </c>
      <c r="C369" s="5" t="s">
        <v>1109</v>
      </c>
      <c r="D369" s="2" t="s">
        <v>1110</v>
      </c>
    </row>
    <row r="370" spans="1:4" ht="13.05" customHeight="1" x14ac:dyDescent="0.3">
      <c r="A370" s="2" t="s">
        <v>98</v>
      </c>
      <c r="B370" s="2" t="s">
        <v>1018</v>
      </c>
      <c r="C370" s="5" t="s">
        <v>962</v>
      </c>
      <c r="D370" s="2" t="s">
        <v>1111</v>
      </c>
    </row>
    <row r="371" spans="1:4" ht="13.05" customHeight="1" x14ac:dyDescent="0.3">
      <c r="A371" s="2" t="s">
        <v>98</v>
      </c>
      <c r="B371" s="2" t="s">
        <v>1018</v>
      </c>
      <c r="C371" s="5" t="s">
        <v>964</v>
      </c>
      <c r="D371" s="2" t="s">
        <v>1112</v>
      </c>
    </row>
    <row r="372" spans="1:4" ht="13.05" customHeight="1" x14ac:dyDescent="0.3">
      <c r="A372" s="2" t="s">
        <v>98</v>
      </c>
      <c r="B372" s="2" t="s">
        <v>1018</v>
      </c>
      <c r="C372" s="5" t="s">
        <v>966</v>
      </c>
      <c r="D372" s="2" t="s">
        <v>1113</v>
      </c>
    </row>
    <row r="373" spans="1:4" ht="13.05" customHeight="1" x14ac:dyDescent="0.3">
      <c r="A373" s="2" t="s">
        <v>98</v>
      </c>
      <c r="B373" s="2" t="s">
        <v>1018</v>
      </c>
      <c r="C373" s="5" t="s">
        <v>968</v>
      </c>
      <c r="D373" s="2" t="s">
        <v>1114</v>
      </c>
    </row>
    <row r="374" spans="1:4" ht="13.05" customHeight="1" x14ac:dyDescent="0.3">
      <c r="A374" s="2" t="s">
        <v>98</v>
      </c>
      <c r="B374" s="2" t="s">
        <v>1018</v>
      </c>
      <c r="C374" s="5" t="s">
        <v>970</v>
      </c>
      <c r="D374" s="2" t="s">
        <v>1115</v>
      </c>
    </row>
    <row r="375" spans="1:4" ht="13.05" customHeight="1" x14ac:dyDescent="0.3">
      <c r="A375" s="2" t="s">
        <v>98</v>
      </c>
      <c r="B375" s="2" t="s">
        <v>1018</v>
      </c>
      <c r="C375" s="5" t="s">
        <v>972</v>
      </c>
      <c r="D375" s="2" t="s">
        <v>1116</v>
      </c>
    </row>
    <row r="376" spans="1:4" ht="13.05" customHeight="1" x14ac:dyDescent="0.3">
      <c r="A376" s="2" t="s">
        <v>98</v>
      </c>
      <c r="B376" s="2" t="s">
        <v>1018</v>
      </c>
      <c r="C376" s="5" t="s">
        <v>981</v>
      </c>
      <c r="D376" s="2" t="s">
        <v>1117</v>
      </c>
    </row>
    <row r="377" spans="1:4" ht="13.05" customHeight="1" x14ac:dyDescent="0.3">
      <c r="A377" s="2" t="s">
        <v>98</v>
      </c>
      <c r="B377" s="2" t="s">
        <v>1018</v>
      </c>
      <c r="C377" s="5" t="s">
        <v>991</v>
      </c>
      <c r="D377" s="2" t="s">
        <v>1118</v>
      </c>
    </row>
    <row r="378" spans="1:4" ht="13.05" customHeight="1" x14ac:dyDescent="0.3">
      <c r="A378" s="2" t="s">
        <v>98</v>
      </c>
      <c r="B378" s="2" t="s">
        <v>1018</v>
      </c>
      <c r="C378" s="5" t="s">
        <v>993</v>
      </c>
      <c r="D378" s="2" t="s">
        <v>1119</v>
      </c>
    </row>
    <row r="379" spans="1:4" ht="13.05" customHeight="1" x14ac:dyDescent="0.3">
      <c r="A379" s="2" t="s">
        <v>100</v>
      </c>
      <c r="B379" s="2" t="s">
        <v>1018</v>
      </c>
      <c r="C379" s="5" t="s">
        <v>962</v>
      </c>
      <c r="D379" s="2" t="s">
        <v>1120</v>
      </c>
    </row>
    <row r="380" spans="1:4" ht="13.05" customHeight="1" x14ac:dyDescent="0.3">
      <c r="A380" s="2" t="s">
        <v>100</v>
      </c>
      <c r="B380" s="2" t="s">
        <v>1018</v>
      </c>
      <c r="C380" s="5" t="s">
        <v>964</v>
      </c>
      <c r="D380" s="2" t="s">
        <v>1121</v>
      </c>
    </row>
    <row r="381" spans="1:4" ht="13.05" customHeight="1" x14ac:dyDescent="0.3">
      <c r="A381" s="2" t="s">
        <v>100</v>
      </c>
      <c r="B381" s="2" t="s">
        <v>1018</v>
      </c>
      <c r="C381" s="5" t="s">
        <v>966</v>
      </c>
      <c r="D381" s="2" t="s">
        <v>1122</v>
      </c>
    </row>
    <row r="382" spans="1:4" ht="13.05" customHeight="1" x14ac:dyDescent="0.3">
      <c r="A382" s="2" t="s">
        <v>100</v>
      </c>
      <c r="B382" s="2" t="s">
        <v>1018</v>
      </c>
      <c r="C382" s="5" t="s">
        <v>968</v>
      </c>
      <c r="D382" s="2" t="s">
        <v>1123</v>
      </c>
    </row>
    <row r="383" spans="1:4" ht="13.05" customHeight="1" x14ac:dyDescent="0.3">
      <c r="A383" s="2" t="s">
        <v>102</v>
      </c>
      <c r="B383" s="2" t="s">
        <v>1038</v>
      </c>
      <c r="C383" s="5" t="s">
        <v>974</v>
      </c>
      <c r="D383" s="2" t="s">
        <v>975</v>
      </c>
    </row>
    <row r="384" spans="1:4" ht="13.05" customHeight="1" x14ac:dyDescent="0.3">
      <c r="A384" s="2" t="s">
        <v>108</v>
      </c>
      <c r="B384" s="2" t="s">
        <v>1038</v>
      </c>
      <c r="C384" s="5" t="s">
        <v>974</v>
      </c>
      <c r="D384" s="2" t="s">
        <v>975</v>
      </c>
    </row>
    <row r="385" spans="1:4" ht="13.05" customHeight="1" x14ac:dyDescent="0.3">
      <c r="A385" s="2" t="s">
        <v>108</v>
      </c>
      <c r="B385" s="2" t="s">
        <v>1038</v>
      </c>
      <c r="C385" s="5" t="s">
        <v>960</v>
      </c>
      <c r="D385" s="2" t="s">
        <v>961</v>
      </c>
    </row>
    <row r="386" spans="1:4" ht="13.05" customHeight="1" x14ac:dyDescent="0.3">
      <c r="A386" s="2" t="s">
        <v>110</v>
      </c>
      <c r="B386" s="2" t="s">
        <v>955</v>
      </c>
      <c r="C386" s="5" t="s">
        <v>974</v>
      </c>
      <c r="D386" s="2" t="s">
        <v>975</v>
      </c>
    </row>
    <row r="387" spans="1:4" ht="13.05" customHeight="1" x14ac:dyDescent="0.3">
      <c r="A387" s="2" t="s">
        <v>110</v>
      </c>
      <c r="B387" s="2" t="s">
        <v>955</v>
      </c>
      <c r="C387" s="5" t="s">
        <v>956</v>
      </c>
      <c r="D387" s="2" t="s">
        <v>957</v>
      </c>
    </row>
    <row r="388" spans="1:4" ht="13.05" customHeight="1" x14ac:dyDescent="0.3">
      <c r="A388" s="2" t="s">
        <v>110</v>
      </c>
      <c r="B388" s="2" t="s">
        <v>955</v>
      </c>
      <c r="C388" s="5" t="s">
        <v>958</v>
      </c>
      <c r="D388" s="2" t="s">
        <v>959</v>
      </c>
    </row>
    <row r="389" spans="1:4" ht="13.05" customHeight="1" x14ac:dyDescent="0.3">
      <c r="A389" s="2" t="s">
        <v>110</v>
      </c>
      <c r="B389" s="2" t="s">
        <v>955</v>
      </c>
      <c r="C389" s="5" t="s">
        <v>960</v>
      </c>
      <c r="D389" s="2" t="s">
        <v>961</v>
      </c>
    </row>
    <row r="390" spans="1:4" ht="13.05" customHeight="1" x14ac:dyDescent="0.3">
      <c r="A390" s="2" t="s">
        <v>110</v>
      </c>
      <c r="B390" s="2" t="s">
        <v>955</v>
      </c>
      <c r="C390" s="5" t="s">
        <v>962</v>
      </c>
      <c r="D390" s="2" t="s">
        <v>1124</v>
      </c>
    </row>
    <row r="391" spans="1:4" ht="13.05" customHeight="1" x14ac:dyDescent="0.3">
      <c r="A391" s="2" t="s">
        <v>110</v>
      </c>
      <c r="B391" s="2" t="s">
        <v>955</v>
      </c>
      <c r="C391" s="5" t="s">
        <v>964</v>
      </c>
      <c r="D391" s="2" t="s">
        <v>1125</v>
      </c>
    </row>
    <row r="392" spans="1:4" ht="13.05" customHeight="1" x14ac:dyDescent="0.3">
      <c r="A392" s="2" t="s">
        <v>110</v>
      </c>
      <c r="B392" s="2" t="s">
        <v>955</v>
      </c>
      <c r="C392" s="5" t="s">
        <v>966</v>
      </c>
      <c r="D392" s="2" t="s">
        <v>1126</v>
      </c>
    </row>
    <row r="393" spans="1:4" ht="13.05" customHeight="1" x14ac:dyDescent="0.3">
      <c r="A393" s="2" t="s">
        <v>110</v>
      </c>
      <c r="B393" s="2" t="s">
        <v>955</v>
      </c>
      <c r="C393" s="5" t="s">
        <v>968</v>
      </c>
      <c r="D393" s="2" t="s">
        <v>1127</v>
      </c>
    </row>
    <row r="394" spans="1:4" ht="13.05" customHeight="1" x14ac:dyDescent="0.3">
      <c r="A394" s="2" t="s">
        <v>110</v>
      </c>
      <c r="B394" s="2" t="s">
        <v>955</v>
      </c>
      <c r="C394" s="5" t="s">
        <v>970</v>
      </c>
      <c r="D394" s="2" t="s">
        <v>1128</v>
      </c>
    </row>
    <row r="395" spans="1:4" ht="13.05" customHeight="1" x14ac:dyDescent="0.3">
      <c r="A395" s="2" t="s">
        <v>110</v>
      </c>
      <c r="B395" s="2" t="s">
        <v>955</v>
      </c>
      <c r="C395" s="5" t="s">
        <v>972</v>
      </c>
      <c r="D395" s="2" t="s">
        <v>1129</v>
      </c>
    </row>
    <row r="396" spans="1:4" ht="13.05" customHeight="1" x14ac:dyDescent="0.3">
      <c r="A396" s="2" t="s">
        <v>110</v>
      </c>
      <c r="B396" s="2" t="s">
        <v>955</v>
      </c>
      <c r="C396" s="5" t="s">
        <v>981</v>
      </c>
      <c r="D396" s="2" t="s">
        <v>1130</v>
      </c>
    </row>
    <row r="397" spans="1:4" ht="13.05" customHeight="1" x14ac:dyDescent="0.3">
      <c r="A397" s="2" t="s">
        <v>110</v>
      </c>
      <c r="B397" s="2" t="s">
        <v>955</v>
      </c>
      <c r="C397" s="5" t="s">
        <v>993</v>
      </c>
      <c r="D397" s="2" t="s">
        <v>1037</v>
      </c>
    </row>
    <row r="398" spans="1:4" ht="13.05" customHeight="1" x14ac:dyDescent="0.3">
      <c r="A398" s="2" t="s">
        <v>113</v>
      </c>
      <c r="B398" s="2" t="s">
        <v>955</v>
      </c>
      <c r="C398" s="5" t="s">
        <v>974</v>
      </c>
      <c r="D398" s="2" t="s">
        <v>975</v>
      </c>
    </row>
    <row r="399" spans="1:4" ht="13.05" customHeight="1" x14ac:dyDescent="0.3">
      <c r="A399" s="2" t="s">
        <v>113</v>
      </c>
      <c r="B399" s="2" t="s">
        <v>955</v>
      </c>
      <c r="C399" s="5" t="s">
        <v>956</v>
      </c>
      <c r="D399" s="2" t="s">
        <v>957</v>
      </c>
    </row>
    <row r="400" spans="1:4" ht="13.05" customHeight="1" x14ac:dyDescent="0.3">
      <c r="A400" s="2" t="s">
        <v>113</v>
      </c>
      <c r="B400" s="2" t="s">
        <v>955</v>
      </c>
      <c r="C400" s="5" t="s">
        <v>958</v>
      </c>
      <c r="D400" s="2" t="s">
        <v>959</v>
      </c>
    </row>
    <row r="401" spans="1:4" ht="13.05" customHeight="1" x14ac:dyDescent="0.3">
      <c r="A401" s="2" t="s">
        <v>113</v>
      </c>
      <c r="B401" s="2" t="s">
        <v>955</v>
      </c>
      <c r="C401" s="5" t="s">
        <v>960</v>
      </c>
      <c r="D401" s="2" t="s">
        <v>961</v>
      </c>
    </row>
    <row r="402" spans="1:4" ht="13.05" customHeight="1" x14ac:dyDescent="0.3">
      <c r="A402" s="2" t="s">
        <v>113</v>
      </c>
      <c r="B402" s="2" t="s">
        <v>955</v>
      </c>
      <c r="C402" s="5" t="s">
        <v>962</v>
      </c>
      <c r="D402" s="2" t="s">
        <v>1124</v>
      </c>
    </row>
    <row r="403" spans="1:4" ht="13.05" customHeight="1" x14ac:dyDescent="0.3">
      <c r="A403" s="2" t="s">
        <v>113</v>
      </c>
      <c r="B403" s="2" t="s">
        <v>955</v>
      </c>
      <c r="C403" s="5" t="s">
        <v>964</v>
      </c>
      <c r="D403" s="2" t="s">
        <v>1125</v>
      </c>
    </row>
    <row r="404" spans="1:4" ht="13.05" customHeight="1" x14ac:dyDescent="0.3">
      <c r="A404" s="2" t="s">
        <v>113</v>
      </c>
      <c r="B404" s="2" t="s">
        <v>955</v>
      </c>
      <c r="C404" s="5" t="s">
        <v>966</v>
      </c>
      <c r="D404" s="2" t="s">
        <v>1126</v>
      </c>
    </row>
    <row r="405" spans="1:4" ht="13.05" customHeight="1" x14ac:dyDescent="0.3">
      <c r="A405" s="2" t="s">
        <v>113</v>
      </c>
      <c r="B405" s="2" t="s">
        <v>955</v>
      </c>
      <c r="C405" s="5" t="s">
        <v>968</v>
      </c>
      <c r="D405" s="2" t="s">
        <v>1127</v>
      </c>
    </row>
    <row r="406" spans="1:4" ht="13.05" customHeight="1" x14ac:dyDescent="0.3">
      <c r="A406" s="2" t="s">
        <v>113</v>
      </c>
      <c r="B406" s="2" t="s">
        <v>955</v>
      </c>
      <c r="C406" s="5" t="s">
        <v>970</v>
      </c>
      <c r="D406" s="2" t="s">
        <v>1128</v>
      </c>
    </row>
    <row r="407" spans="1:4" ht="13.05" customHeight="1" x14ac:dyDescent="0.3">
      <c r="A407" s="2" t="s">
        <v>113</v>
      </c>
      <c r="B407" s="2" t="s">
        <v>955</v>
      </c>
      <c r="C407" s="5" t="s">
        <v>972</v>
      </c>
      <c r="D407" s="2" t="s">
        <v>1129</v>
      </c>
    </row>
    <row r="408" spans="1:4" ht="13.05" customHeight="1" x14ac:dyDescent="0.3">
      <c r="A408" s="2" t="s">
        <v>113</v>
      </c>
      <c r="B408" s="2" t="s">
        <v>955</v>
      </c>
      <c r="C408" s="5" t="s">
        <v>981</v>
      </c>
      <c r="D408" s="2" t="s">
        <v>1130</v>
      </c>
    </row>
    <row r="409" spans="1:4" ht="13.05" customHeight="1" x14ac:dyDescent="0.3">
      <c r="A409" s="2" t="s">
        <v>113</v>
      </c>
      <c r="B409" s="2" t="s">
        <v>955</v>
      </c>
      <c r="C409" s="5" t="s">
        <v>993</v>
      </c>
      <c r="D409" s="2" t="s">
        <v>1037</v>
      </c>
    </row>
    <row r="410" spans="1:4" ht="13.05" customHeight="1" x14ac:dyDescent="0.3">
      <c r="A410" s="2" t="s">
        <v>115</v>
      </c>
      <c r="B410" s="2" t="s">
        <v>955</v>
      </c>
      <c r="C410" s="5" t="s">
        <v>974</v>
      </c>
      <c r="D410" s="2" t="s">
        <v>975</v>
      </c>
    </row>
    <row r="411" spans="1:4" ht="13.05" customHeight="1" x14ac:dyDescent="0.3">
      <c r="A411" s="2" t="s">
        <v>115</v>
      </c>
      <c r="B411" s="2" t="s">
        <v>955</v>
      </c>
      <c r="C411" s="5" t="s">
        <v>956</v>
      </c>
      <c r="D411" s="2" t="s">
        <v>957</v>
      </c>
    </row>
    <row r="412" spans="1:4" ht="13.05" customHeight="1" x14ac:dyDescent="0.3">
      <c r="A412" s="2" t="s">
        <v>115</v>
      </c>
      <c r="B412" s="2" t="s">
        <v>955</v>
      </c>
      <c r="C412" s="5" t="s">
        <v>958</v>
      </c>
      <c r="D412" s="2" t="s">
        <v>959</v>
      </c>
    </row>
    <row r="413" spans="1:4" ht="13.05" customHeight="1" x14ac:dyDescent="0.3">
      <c r="A413" s="2" t="s">
        <v>115</v>
      </c>
      <c r="B413" s="2" t="s">
        <v>955</v>
      </c>
      <c r="C413" s="5" t="s">
        <v>960</v>
      </c>
      <c r="D413" s="2" t="s">
        <v>961</v>
      </c>
    </row>
    <row r="414" spans="1:4" ht="13.05" customHeight="1" x14ac:dyDescent="0.3">
      <c r="A414" s="2" t="s">
        <v>115</v>
      </c>
      <c r="B414" s="2" t="s">
        <v>955</v>
      </c>
      <c r="C414" s="5" t="s">
        <v>962</v>
      </c>
      <c r="D414" s="2" t="s">
        <v>1124</v>
      </c>
    </row>
    <row r="415" spans="1:4" ht="13.05" customHeight="1" x14ac:dyDescent="0.3">
      <c r="A415" s="2" t="s">
        <v>115</v>
      </c>
      <c r="B415" s="2" t="s">
        <v>955</v>
      </c>
      <c r="C415" s="5" t="s">
        <v>964</v>
      </c>
      <c r="D415" s="2" t="s">
        <v>1125</v>
      </c>
    </row>
    <row r="416" spans="1:4" ht="13.05" customHeight="1" x14ac:dyDescent="0.3">
      <c r="A416" s="2" t="s">
        <v>115</v>
      </c>
      <c r="B416" s="2" t="s">
        <v>955</v>
      </c>
      <c r="C416" s="5" t="s">
        <v>966</v>
      </c>
      <c r="D416" s="2" t="s">
        <v>1126</v>
      </c>
    </row>
    <row r="417" spans="1:4" ht="13.05" customHeight="1" x14ac:dyDescent="0.3">
      <c r="A417" s="2" t="s">
        <v>115</v>
      </c>
      <c r="B417" s="2" t="s">
        <v>955</v>
      </c>
      <c r="C417" s="5" t="s">
        <v>968</v>
      </c>
      <c r="D417" s="2" t="s">
        <v>1127</v>
      </c>
    </row>
    <row r="418" spans="1:4" ht="13.05" customHeight="1" x14ac:dyDescent="0.3">
      <c r="A418" s="2" t="s">
        <v>115</v>
      </c>
      <c r="B418" s="2" t="s">
        <v>955</v>
      </c>
      <c r="C418" s="5" t="s">
        <v>970</v>
      </c>
      <c r="D418" s="2" t="s">
        <v>1128</v>
      </c>
    </row>
    <row r="419" spans="1:4" ht="13.05" customHeight="1" x14ac:dyDescent="0.3">
      <c r="A419" s="2" t="s">
        <v>115</v>
      </c>
      <c r="B419" s="2" t="s">
        <v>955</v>
      </c>
      <c r="C419" s="5" t="s">
        <v>972</v>
      </c>
      <c r="D419" s="2" t="s">
        <v>1129</v>
      </c>
    </row>
    <row r="420" spans="1:4" ht="13.05" customHeight="1" x14ac:dyDescent="0.3">
      <c r="A420" s="2" t="s">
        <v>115</v>
      </c>
      <c r="B420" s="2" t="s">
        <v>955</v>
      </c>
      <c r="C420" s="5" t="s">
        <v>981</v>
      </c>
      <c r="D420" s="2" t="s">
        <v>1130</v>
      </c>
    </row>
    <row r="421" spans="1:4" ht="13.05" customHeight="1" x14ac:dyDescent="0.3">
      <c r="A421" s="2" t="s">
        <v>115</v>
      </c>
      <c r="B421" s="2" t="s">
        <v>955</v>
      </c>
      <c r="C421" s="5" t="s">
        <v>993</v>
      </c>
      <c r="D421" s="2" t="s">
        <v>1037</v>
      </c>
    </row>
    <row r="422" spans="1:4" ht="13.05" customHeight="1" x14ac:dyDescent="0.3">
      <c r="A422" s="2" t="s">
        <v>117</v>
      </c>
      <c r="B422" s="2" t="s">
        <v>955</v>
      </c>
      <c r="C422" s="5" t="s">
        <v>974</v>
      </c>
      <c r="D422" s="2" t="s">
        <v>975</v>
      </c>
    </row>
    <row r="423" spans="1:4" ht="13.05" customHeight="1" x14ac:dyDescent="0.3">
      <c r="A423" s="2" t="s">
        <v>117</v>
      </c>
      <c r="B423" s="2" t="s">
        <v>955</v>
      </c>
      <c r="C423" s="5" t="s">
        <v>956</v>
      </c>
      <c r="D423" s="2" t="s">
        <v>957</v>
      </c>
    </row>
    <row r="424" spans="1:4" ht="13.05" customHeight="1" x14ac:dyDescent="0.3">
      <c r="A424" s="2" t="s">
        <v>117</v>
      </c>
      <c r="B424" s="2" t="s">
        <v>955</v>
      </c>
      <c r="C424" s="5" t="s">
        <v>958</v>
      </c>
      <c r="D424" s="2" t="s">
        <v>959</v>
      </c>
    </row>
    <row r="425" spans="1:4" ht="13.05" customHeight="1" x14ac:dyDescent="0.3">
      <c r="A425" s="2" t="s">
        <v>117</v>
      </c>
      <c r="B425" s="2" t="s">
        <v>955</v>
      </c>
      <c r="C425" s="5" t="s">
        <v>960</v>
      </c>
      <c r="D425" s="2" t="s">
        <v>961</v>
      </c>
    </row>
    <row r="426" spans="1:4" ht="13.05" customHeight="1" x14ac:dyDescent="0.3">
      <c r="A426" s="2" t="s">
        <v>117</v>
      </c>
      <c r="B426" s="2" t="s">
        <v>955</v>
      </c>
      <c r="C426" s="5" t="s">
        <v>962</v>
      </c>
      <c r="D426" s="2" t="s">
        <v>1124</v>
      </c>
    </row>
    <row r="427" spans="1:4" ht="13.05" customHeight="1" x14ac:dyDescent="0.3">
      <c r="A427" s="2" t="s">
        <v>117</v>
      </c>
      <c r="B427" s="2" t="s">
        <v>955</v>
      </c>
      <c r="C427" s="5" t="s">
        <v>964</v>
      </c>
      <c r="D427" s="2" t="s">
        <v>1125</v>
      </c>
    </row>
    <row r="428" spans="1:4" ht="13.05" customHeight="1" x14ac:dyDescent="0.3">
      <c r="A428" s="2" t="s">
        <v>117</v>
      </c>
      <c r="B428" s="2" t="s">
        <v>955</v>
      </c>
      <c r="C428" s="5" t="s">
        <v>966</v>
      </c>
      <c r="D428" s="2" t="s">
        <v>1126</v>
      </c>
    </row>
    <row r="429" spans="1:4" ht="13.05" customHeight="1" x14ac:dyDescent="0.3">
      <c r="A429" s="2" t="s">
        <v>117</v>
      </c>
      <c r="B429" s="2" t="s">
        <v>955</v>
      </c>
      <c r="C429" s="5" t="s">
        <v>968</v>
      </c>
      <c r="D429" s="2" t="s">
        <v>1127</v>
      </c>
    </row>
    <row r="430" spans="1:4" ht="13.05" customHeight="1" x14ac:dyDescent="0.3">
      <c r="A430" s="2" t="s">
        <v>117</v>
      </c>
      <c r="B430" s="2" t="s">
        <v>955</v>
      </c>
      <c r="C430" s="5" t="s">
        <v>970</v>
      </c>
      <c r="D430" s="2" t="s">
        <v>1128</v>
      </c>
    </row>
    <row r="431" spans="1:4" ht="13.05" customHeight="1" x14ac:dyDescent="0.3">
      <c r="A431" s="2" t="s">
        <v>117</v>
      </c>
      <c r="B431" s="2" t="s">
        <v>955</v>
      </c>
      <c r="C431" s="5" t="s">
        <v>972</v>
      </c>
      <c r="D431" s="2" t="s">
        <v>1129</v>
      </c>
    </row>
    <row r="432" spans="1:4" ht="13.05" customHeight="1" x14ac:dyDescent="0.3">
      <c r="A432" s="2" t="s">
        <v>117</v>
      </c>
      <c r="B432" s="2" t="s">
        <v>955</v>
      </c>
      <c r="C432" s="5" t="s">
        <v>981</v>
      </c>
      <c r="D432" s="2" t="s">
        <v>1130</v>
      </c>
    </row>
    <row r="433" spans="1:4" ht="13.05" customHeight="1" x14ac:dyDescent="0.3">
      <c r="A433" s="2" t="s">
        <v>117</v>
      </c>
      <c r="B433" s="2" t="s">
        <v>955</v>
      </c>
      <c r="C433" s="5" t="s">
        <v>993</v>
      </c>
      <c r="D433" s="2" t="s">
        <v>1037</v>
      </c>
    </row>
    <row r="434" spans="1:4" ht="13.05" customHeight="1" x14ac:dyDescent="0.3">
      <c r="A434" s="2" t="s">
        <v>119</v>
      </c>
      <c r="B434" s="2" t="s">
        <v>955</v>
      </c>
      <c r="C434" s="5" t="s">
        <v>974</v>
      </c>
      <c r="D434" s="2" t="s">
        <v>975</v>
      </c>
    </row>
    <row r="435" spans="1:4" ht="13.05" customHeight="1" x14ac:dyDescent="0.3">
      <c r="A435" s="2" t="s">
        <v>119</v>
      </c>
      <c r="B435" s="2" t="s">
        <v>955</v>
      </c>
      <c r="C435" s="5" t="s">
        <v>956</v>
      </c>
      <c r="D435" s="2" t="s">
        <v>957</v>
      </c>
    </row>
    <row r="436" spans="1:4" ht="13.05" customHeight="1" x14ac:dyDescent="0.3">
      <c r="A436" s="2" t="s">
        <v>119</v>
      </c>
      <c r="B436" s="2" t="s">
        <v>955</v>
      </c>
      <c r="C436" s="5" t="s">
        <v>958</v>
      </c>
      <c r="D436" s="2" t="s">
        <v>959</v>
      </c>
    </row>
    <row r="437" spans="1:4" ht="13.05" customHeight="1" x14ac:dyDescent="0.3">
      <c r="A437" s="2" t="s">
        <v>119</v>
      </c>
      <c r="B437" s="2" t="s">
        <v>955</v>
      </c>
      <c r="C437" s="5" t="s">
        <v>960</v>
      </c>
      <c r="D437" s="2" t="s">
        <v>961</v>
      </c>
    </row>
    <row r="438" spans="1:4" ht="13.05" customHeight="1" x14ac:dyDescent="0.3">
      <c r="A438" s="2" t="s">
        <v>119</v>
      </c>
      <c r="B438" s="2" t="s">
        <v>955</v>
      </c>
      <c r="C438" s="5" t="s">
        <v>962</v>
      </c>
      <c r="D438" s="2" t="s">
        <v>1124</v>
      </c>
    </row>
    <row r="439" spans="1:4" ht="13.05" customHeight="1" x14ac:dyDescent="0.3">
      <c r="A439" s="2" t="s">
        <v>119</v>
      </c>
      <c r="B439" s="2" t="s">
        <v>955</v>
      </c>
      <c r="C439" s="5" t="s">
        <v>964</v>
      </c>
      <c r="D439" s="2" t="s">
        <v>1125</v>
      </c>
    </row>
    <row r="440" spans="1:4" ht="13.05" customHeight="1" x14ac:dyDescent="0.3">
      <c r="A440" s="2" t="s">
        <v>119</v>
      </c>
      <c r="B440" s="2" t="s">
        <v>955</v>
      </c>
      <c r="C440" s="5" t="s">
        <v>966</v>
      </c>
      <c r="D440" s="2" t="s">
        <v>1126</v>
      </c>
    </row>
    <row r="441" spans="1:4" ht="13.05" customHeight="1" x14ac:dyDescent="0.3">
      <c r="A441" s="2" t="s">
        <v>119</v>
      </c>
      <c r="B441" s="2" t="s">
        <v>955</v>
      </c>
      <c r="C441" s="5" t="s">
        <v>968</v>
      </c>
      <c r="D441" s="2" t="s">
        <v>1127</v>
      </c>
    </row>
    <row r="442" spans="1:4" ht="13.05" customHeight="1" x14ac:dyDescent="0.3">
      <c r="A442" s="2" t="s">
        <v>119</v>
      </c>
      <c r="B442" s="2" t="s">
        <v>955</v>
      </c>
      <c r="C442" s="5" t="s">
        <v>970</v>
      </c>
      <c r="D442" s="2" t="s">
        <v>1128</v>
      </c>
    </row>
    <row r="443" spans="1:4" ht="13.05" customHeight="1" x14ac:dyDescent="0.3">
      <c r="A443" s="2" t="s">
        <v>119</v>
      </c>
      <c r="B443" s="2" t="s">
        <v>955</v>
      </c>
      <c r="C443" s="5" t="s">
        <v>972</v>
      </c>
      <c r="D443" s="2" t="s">
        <v>1129</v>
      </c>
    </row>
    <row r="444" spans="1:4" ht="13.05" customHeight="1" x14ac:dyDescent="0.3">
      <c r="A444" s="2" t="s">
        <v>119</v>
      </c>
      <c r="B444" s="2" t="s">
        <v>955</v>
      </c>
      <c r="C444" s="5" t="s">
        <v>981</v>
      </c>
      <c r="D444" s="2" t="s">
        <v>1130</v>
      </c>
    </row>
    <row r="445" spans="1:4" ht="13.05" customHeight="1" x14ac:dyDescent="0.3">
      <c r="A445" s="2" t="s">
        <v>119</v>
      </c>
      <c r="B445" s="2" t="s">
        <v>955</v>
      </c>
      <c r="C445" s="5" t="s">
        <v>993</v>
      </c>
      <c r="D445" s="2" t="s">
        <v>1037</v>
      </c>
    </row>
    <row r="446" spans="1:4" ht="13.05" customHeight="1" x14ac:dyDescent="0.3">
      <c r="A446" s="2" t="s">
        <v>121</v>
      </c>
      <c r="B446" s="2" t="s">
        <v>955</v>
      </c>
      <c r="C446" s="5" t="s">
        <v>974</v>
      </c>
      <c r="D446" s="2" t="s">
        <v>975</v>
      </c>
    </row>
    <row r="447" spans="1:4" ht="13.05" customHeight="1" x14ac:dyDescent="0.3">
      <c r="A447" s="2" t="s">
        <v>121</v>
      </c>
      <c r="B447" s="2" t="s">
        <v>955</v>
      </c>
      <c r="C447" s="5" t="s">
        <v>956</v>
      </c>
      <c r="D447" s="2" t="s">
        <v>957</v>
      </c>
    </row>
    <row r="448" spans="1:4" ht="13.05" customHeight="1" x14ac:dyDescent="0.3">
      <c r="A448" s="2" t="s">
        <v>121</v>
      </c>
      <c r="B448" s="2" t="s">
        <v>955</v>
      </c>
      <c r="C448" s="5" t="s">
        <v>958</v>
      </c>
      <c r="D448" s="2" t="s">
        <v>959</v>
      </c>
    </row>
    <row r="449" spans="1:4" ht="13.05" customHeight="1" x14ac:dyDescent="0.3">
      <c r="A449" s="2" t="s">
        <v>121</v>
      </c>
      <c r="B449" s="2" t="s">
        <v>955</v>
      </c>
      <c r="C449" s="5" t="s">
        <v>960</v>
      </c>
      <c r="D449" s="2" t="s">
        <v>961</v>
      </c>
    </row>
    <row r="450" spans="1:4" ht="13.05" customHeight="1" x14ac:dyDescent="0.3">
      <c r="A450" s="2" t="s">
        <v>121</v>
      </c>
      <c r="B450" s="2" t="s">
        <v>955</v>
      </c>
      <c r="C450" s="5" t="s">
        <v>962</v>
      </c>
      <c r="D450" s="2" t="s">
        <v>1124</v>
      </c>
    </row>
    <row r="451" spans="1:4" ht="13.05" customHeight="1" x14ac:dyDescent="0.3">
      <c r="A451" s="2" t="s">
        <v>121</v>
      </c>
      <c r="B451" s="2" t="s">
        <v>955</v>
      </c>
      <c r="C451" s="5" t="s">
        <v>964</v>
      </c>
      <c r="D451" s="2" t="s">
        <v>1125</v>
      </c>
    </row>
    <row r="452" spans="1:4" ht="13.05" customHeight="1" x14ac:dyDescent="0.3">
      <c r="A452" s="2" t="s">
        <v>121</v>
      </c>
      <c r="B452" s="2" t="s">
        <v>955</v>
      </c>
      <c r="C452" s="5" t="s">
        <v>966</v>
      </c>
      <c r="D452" s="2" t="s">
        <v>1126</v>
      </c>
    </row>
    <row r="453" spans="1:4" ht="13.05" customHeight="1" x14ac:dyDescent="0.3">
      <c r="A453" s="2" t="s">
        <v>121</v>
      </c>
      <c r="B453" s="2" t="s">
        <v>955</v>
      </c>
      <c r="C453" s="5" t="s">
        <v>968</v>
      </c>
      <c r="D453" s="2" t="s">
        <v>1127</v>
      </c>
    </row>
    <row r="454" spans="1:4" ht="13.05" customHeight="1" x14ac:dyDescent="0.3">
      <c r="A454" s="2" t="s">
        <v>121</v>
      </c>
      <c r="B454" s="2" t="s">
        <v>955</v>
      </c>
      <c r="C454" s="5" t="s">
        <v>970</v>
      </c>
      <c r="D454" s="2" t="s">
        <v>1128</v>
      </c>
    </row>
    <row r="455" spans="1:4" ht="13.05" customHeight="1" x14ac:dyDescent="0.3">
      <c r="A455" s="2" t="s">
        <v>121</v>
      </c>
      <c r="B455" s="2" t="s">
        <v>955</v>
      </c>
      <c r="C455" s="5" t="s">
        <v>972</v>
      </c>
      <c r="D455" s="2" t="s">
        <v>1129</v>
      </c>
    </row>
    <row r="456" spans="1:4" ht="13.05" customHeight="1" x14ac:dyDescent="0.3">
      <c r="A456" s="2" t="s">
        <v>121</v>
      </c>
      <c r="B456" s="2" t="s">
        <v>955</v>
      </c>
      <c r="C456" s="5" t="s">
        <v>981</v>
      </c>
      <c r="D456" s="2" t="s">
        <v>1130</v>
      </c>
    </row>
    <row r="457" spans="1:4" ht="13.05" customHeight="1" x14ac:dyDescent="0.3">
      <c r="A457" s="2" t="s">
        <v>121</v>
      </c>
      <c r="B457" s="2" t="s">
        <v>955</v>
      </c>
      <c r="C457" s="5" t="s">
        <v>993</v>
      </c>
      <c r="D457" s="2" t="s">
        <v>1037</v>
      </c>
    </row>
    <row r="458" spans="1:4" ht="13.05" customHeight="1" x14ac:dyDescent="0.3">
      <c r="A458" s="2" t="s">
        <v>123</v>
      </c>
      <c r="B458" s="2" t="s">
        <v>955</v>
      </c>
      <c r="C458" s="5" t="s">
        <v>974</v>
      </c>
      <c r="D458" s="2" t="s">
        <v>975</v>
      </c>
    </row>
    <row r="459" spans="1:4" ht="13.05" customHeight="1" x14ac:dyDescent="0.3">
      <c r="A459" s="2" t="s">
        <v>123</v>
      </c>
      <c r="B459" s="2" t="s">
        <v>955</v>
      </c>
      <c r="C459" s="5" t="s">
        <v>956</v>
      </c>
      <c r="D459" s="2" t="s">
        <v>957</v>
      </c>
    </row>
    <row r="460" spans="1:4" ht="13.05" customHeight="1" x14ac:dyDescent="0.3">
      <c r="A460" s="2" t="s">
        <v>123</v>
      </c>
      <c r="B460" s="2" t="s">
        <v>955</v>
      </c>
      <c r="C460" s="5" t="s">
        <v>958</v>
      </c>
      <c r="D460" s="2" t="s">
        <v>959</v>
      </c>
    </row>
    <row r="461" spans="1:4" ht="13.05" customHeight="1" x14ac:dyDescent="0.3">
      <c r="A461" s="2" t="s">
        <v>123</v>
      </c>
      <c r="B461" s="2" t="s">
        <v>955</v>
      </c>
      <c r="C461" s="5" t="s">
        <v>960</v>
      </c>
      <c r="D461" s="2" t="s">
        <v>961</v>
      </c>
    </row>
    <row r="462" spans="1:4" ht="13.05" customHeight="1" x14ac:dyDescent="0.3">
      <c r="A462" s="2" t="s">
        <v>123</v>
      </c>
      <c r="B462" s="2" t="s">
        <v>955</v>
      </c>
      <c r="C462" s="5" t="s">
        <v>962</v>
      </c>
      <c r="D462" s="2" t="s">
        <v>1124</v>
      </c>
    </row>
    <row r="463" spans="1:4" ht="13.05" customHeight="1" x14ac:dyDescent="0.3">
      <c r="A463" s="2" t="s">
        <v>123</v>
      </c>
      <c r="B463" s="2" t="s">
        <v>955</v>
      </c>
      <c r="C463" s="5" t="s">
        <v>964</v>
      </c>
      <c r="D463" s="2" t="s">
        <v>1125</v>
      </c>
    </row>
    <row r="464" spans="1:4" ht="13.05" customHeight="1" x14ac:dyDescent="0.3">
      <c r="A464" s="2" t="s">
        <v>123</v>
      </c>
      <c r="B464" s="2" t="s">
        <v>955</v>
      </c>
      <c r="C464" s="5" t="s">
        <v>966</v>
      </c>
      <c r="D464" s="2" t="s">
        <v>1126</v>
      </c>
    </row>
    <row r="465" spans="1:4" ht="13.05" customHeight="1" x14ac:dyDescent="0.3">
      <c r="A465" s="2" t="s">
        <v>123</v>
      </c>
      <c r="B465" s="2" t="s">
        <v>955</v>
      </c>
      <c r="C465" s="5" t="s">
        <v>968</v>
      </c>
      <c r="D465" s="2" t="s">
        <v>1127</v>
      </c>
    </row>
    <row r="466" spans="1:4" ht="13.05" customHeight="1" x14ac:dyDescent="0.3">
      <c r="A466" s="2" t="s">
        <v>123</v>
      </c>
      <c r="B466" s="2" t="s">
        <v>955</v>
      </c>
      <c r="C466" s="5" t="s">
        <v>970</v>
      </c>
      <c r="D466" s="2" t="s">
        <v>1128</v>
      </c>
    </row>
    <row r="467" spans="1:4" ht="13.05" customHeight="1" x14ac:dyDescent="0.3">
      <c r="A467" s="2" t="s">
        <v>123</v>
      </c>
      <c r="B467" s="2" t="s">
        <v>955</v>
      </c>
      <c r="C467" s="5" t="s">
        <v>972</v>
      </c>
      <c r="D467" s="2" t="s">
        <v>1129</v>
      </c>
    </row>
    <row r="468" spans="1:4" ht="13.05" customHeight="1" x14ac:dyDescent="0.3">
      <c r="A468" s="2" t="s">
        <v>123</v>
      </c>
      <c r="B468" s="2" t="s">
        <v>955</v>
      </c>
      <c r="C468" s="5" t="s">
        <v>981</v>
      </c>
      <c r="D468" s="2" t="s">
        <v>1130</v>
      </c>
    </row>
    <row r="469" spans="1:4" ht="13.05" customHeight="1" x14ac:dyDescent="0.3">
      <c r="A469" s="2" t="s">
        <v>123</v>
      </c>
      <c r="B469" s="2" t="s">
        <v>955</v>
      </c>
      <c r="C469" s="5" t="s">
        <v>993</v>
      </c>
      <c r="D469" s="2" t="s">
        <v>1037</v>
      </c>
    </row>
    <row r="470" spans="1:4" ht="13.05" customHeight="1" x14ac:dyDescent="0.3">
      <c r="A470" s="2" t="s">
        <v>125</v>
      </c>
      <c r="B470" s="2" t="s">
        <v>955</v>
      </c>
      <c r="C470" s="5" t="s">
        <v>974</v>
      </c>
      <c r="D470" s="2" t="s">
        <v>975</v>
      </c>
    </row>
    <row r="471" spans="1:4" ht="13.05" customHeight="1" x14ac:dyDescent="0.3">
      <c r="A471" s="2" t="s">
        <v>125</v>
      </c>
      <c r="B471" s="2" t="s">
        <v>955</v>
      </c>
      <c r="C471" s="5" t="s">
        <v>956</v>
      </c>
      <c r="D471" s="2" t="s">
        <v>957</v>
      </c>
    </row>
    <row r="472" spans="1:4" ht="13.05" customHeight="1" x14ac:dyDescent="0.3">
      <c r="A472" s="2" t="s">
        <v>125</v>
      </c>
      <c r="B472" s="2" t="s">
        <v>955</v>
      </c>
      <c r="C472" s="5" t="s">
        <v>958</v>
      </c>
      <c r="D472" s="2" t="s">
        <v>959</v>
      </c>
    </row>
    <row r="473" spans="1:4" ht="13.05" customHeight="1" x14ac:dyDescent="0.3">
      <c r="A473" s="2" t="s">
        <v>125</v>
      </c>
      <c r="B473" s="2" t="s">
        <v>955</v>
      </c>
      <c r="C473" s="5" t="s">
        <v>960</v>
      </c>
      <c r="D473" s="2" t="s">
        <v>961</v>
      </c>
    </row>
    <row r="474" spans="1:4" ht="13.05" customHeight="1" x14ac:dyDescent="0.3">
      <c r="A474" s="2" t="s">
        <v>125</v>
      </c>
      <c r="B474" s="2" t="s">
        <v>955</v>
      </c>
      <c r="C474" s="5" t="s">
        <v>962</v>
      </c>
      <c r="D474" s="2" t="s">
        <v>1124</v>
      </c>
    </row>
    <row r="475" spans="1:4" ht="13.05" customHeight="1" x14ac:dyDescent="0.3">
      <c r="A475" s="2" t="s">
        <v>125</v>
      </c>
      <c r="B475" s="2" t="s">
        <v>955</v>
      </c>
      <c r="C475" s="5" t="s">
        <v>964</v>
      </c>
      <c r="D475" s="2" t="s">
        <v>1125</v>
      </c>
    </row>
    <row r="476" spans="1:4" ht="13.05" customHeight="1" x14ac:dyDescent="0.3">
      <c r="A476" s="2" t="s">
        <v>125</v>
      </c>
      <c r="B476" s="2" t="s">
        <v>955</v>
      </c>
      <c r="C476" s="5" t="s">
        <v>966</v>
      </c>
      <c r="D476" s="2" t="s">
        <v>1126</v>
      </c>
    </row>
    <row r="477" spans="1:4" ht="13.05" customHeight="1" x14ac:dyDescent="0.3">
      <c r="A477" s="2" t="s">
        <v>125</v>
      </c>
      <c r="B477" s="2" t="s">
        <v>955</v>
      </c>
      <c r="C477" s="5" t="s">
        <v>968</v>
      </c>
      <c r="D477" s="2" t="s">
        <v>1127</v>
      </c>
    </row>
    <row r="478" spans="1:4" ht="13.05" customHeight="1" x14ac:dyDescent="0.3">
      <c r="A478" s="2" t="s">
        <v>125</v>
      </c>
      <c r="B478" s="2" t="s">
        <v>955</v>
      </c>
      <c r="C478" s="5" t="s">
        <v>970</v>
      </c>
      <c r="D478" s="2" t="s">
        <v>1128</v>
      </c>
    </row>
    <row r="479" spans="1:4" ht="13.05" customHeight="1" x14ac:dyDescent="0.3">
      <c r="A479" s="2" t="s">
        <v>125</v>
      </c>
      <c r="B479" s="2" t="s">
        <v>955</v>
      </c>
      <c r="C479" s="5" t="s">
        <v>972</v>
      </c>
      <c r="D479" s="2" t="s">
        <v>1129</v>
      </c>
    </row>
    <row r="480" spans="1:4" ht="13.05" customHeight="1" x14ac:dyDescent="0.3">
      <c r="A480" s="2" t="s">
        <v>125</v>
      </c>
      <c r="B480" s="2" t="s">
        <v>955</v>
      </c>
      <c r="C480" s="5" t="s">
        <v>981</v>
      </c>
      <c r="D480" s="2" t="s">
        <v>1130</v>
      </c>
    </row>
    <row r="481" spans="1:4" ht="13.05" customHeight="1" x14ac:dyDescent="0.3">
      <c r="A481" s="2" t="s">
        <v>125</v>
      </c>
      <c r="B481" s="2" t="s">
        <v>955</v>
      </c>
      <c r="C481" s="5" t="s">
        <v>993</v>
      </c>
      <c r="D481" s="2" t="s">
        <v>1037</v>
      </c>
    </row>
    <row r="482" spans="1:4" ht="13.05" customHeight="1" x14ac:dyDescent="0.3">
      <c r="A482" s="2" t="s">
        <v>127</v>
      </c>
      <c r="B482" s="2" t="s">
        <v>955</v>
      </c>
      <c r="C482" s="5" t="s">
        <v>974</v>
      </c>
      <c r="D482" s="2" t="s">
        <v>975</v>
      </c>
    </row>
    <row r="483" spans="1:4" ht="13.05" customHeight="1" x14ac:dyDescent="0.3">
      <c r="A483" s="2" t="s">
        <v>127</v>
      </c>
      <c r="B483" s="2" t="s">
        <v>955</v>
      </c>
      <c r="C483" s="5" t="s">
        <v>956</v>
      </c>
      <c r="D483" s="2" t="s">
        <v>957</v>
      </c>
    </row>
    <row r="484" spans="1:4" ht="13.05" customHeight="1" x14ac:dyDescent="0.3">
      <c r="A484" s="2" t="s">
        <v>127</v>
      </c>
      <c r="B484" s="2" t="s">
        <v>955</v>
      </c>
      <c r="C484" s="5" t="s">
        <v>958</v>
      </c>
      <c r="D484" s="2" t="s">
        <v>959</v>
      </c>
    </row>
    <row r="485" spans="1:4" ht="13.05" customHeight="1" x14ac:dyDescent="0.3">
      <c r="A485" s="2" t="s">
        <v>127</v>
      </c>
      <c r="B485" s="2" t="s">
        <v>955</v>
      </c>
      <c r="C485" s="5" t="s">
        <v>960</v>
      </c>
      <c r="D485" s="2" t="s">
        <v>961</v>
      </c>
    </row>
    <row r="486" spans="1:4" ht="13.05" customHeight="1" x14ac:dyDescent="0.3">
      <c r="A486" s="2" t="s">
        <v>127</v>
      </c>
      <c r="B486" s="2" t="s">
        <v>955</v>
      </c>
      <c r="C486" s="5" t="s">
        <v>962</v>
      </c>
      <c r="D486" s="2" t="s">
        <v>1124</v>
      </c>
    </row>
    <row r="487" spans="1:4" ht="13.05" customHeight="1" x14ac:dyDescent="0.3">
      <c r="A487" s="2" t="s">
        <v>127</v>
      </c>
      <c r="B487" s="2" t="s">
        <v>955</v>
      </c>
      <c r="C487" s="5" t="s">
        <v>964</v>
      </c>
      <c r="D487" s="2" t="s">
        <v>1125</v>
      </c>
    </row>
    <row r="488" spans="1:4" ht="13.05" customHeight="1" x14ac:dyDescent="0.3">
      <c r="A488" s="2" t="s">
        <v>127</v>
      </c>
      <c r="B488" s="2" t="s">
        <v>955</v>
      </c>
      <c r="C488" s="5" t="s">
        <v>966</v>
      </c>
      <c r="D488" s="2" t="s">
        <v>1126</v>
      </c>
    </row>
    <row r="489" spans="1:4" ht="13.05" customHeight="1" x14ac:dyDescent="0.3">
      <c r="A489" s="2" t="s">
        <v>127</v>
      </c>
      <c r="B489" s="2" t="s">
        <v>955</v>
      </c>
      <c r="C489" s="5" t="s">
        <v>968</v>
      </c>
      <c r="D489" s="2" t="s">
        <v>1127</v>
      </c>
    </row>
    <row r="490" spans="1:4" ht="13.05" customHeight="1" x14ac:dyDescent="0.3">
      <c r="A490" s="2" t="s">
        <v>127</v>
      </c>
      <c r="B490" s="2" t="s">
        <v>955</v>
      </c>
      <c r="C490" s="5" t="s">
        <v>970</v>
      </c>
      <c r="D490" s="2" t="s">
        <v>1128</v>
      </c>
    </row>
    <row r="491" spans="1:4" ht="13.05" customHeight="1" x14ac:dyDescent="0.3">
      <c r="A491" s="2" t="s">
        <v>127</v>
      </c>
      <c r="B491" s="2" t="s">
        <v>955</v>
      </c>
      <c r="C491" s="5" t="s">
        <v>972</v>
      </c>
      <c r="D491" s="2" t="s">
        <v>1129</v>
      </c>
    </row>
    <row r="492" spans="1:4" ht="13.05" customHeight="1" x14ac:dyDescent="0.3">
      <c r="A492" s="2" t="s">
        <v>127</v>
      </c>
      <c r="B492" s="2" t="s">
        <v>955</v>
      </c>
      <c r="C492" s="5" t="s">
        <v>981</v>
      </c>
      <c r="D492" s="2" t="s">
        <v>1130</v>
      </c>
    </row>
    <row r="493" spans="1:4" ht="13.05" customHeight="1" x14ac:dyDescent="0.3">
      <c r="A493" s="2" t="s">
        <v>127</v>
      </c>
      <c r="B493" s="2" t="s">
        <v>955</v>
      </c>
      <c r="C493" s="5" t="s">
        <v>993</v>
      </c>
      <c r="D493" s="2" t="s">
        <v>1037</v>
      </c>
    </row>
    <row r="494" spans="1:4" ht="13.05" customHeight="1" x14ac:dyDescent="0.3">
      <c r="A494" s="2" t="s">
        <v>129</v>
      </c>
      <c r="B494" s="2" t="s">
        <v>955</v>
      </c>
      <c r="C494" s="5" t="s">
        <v>974</v>
      </c>
      <c r="D494" s="2" t="s">
        <v>975</v>
      </c>
    </row>
    <row r="495" spans="1:4" ht="13.05" customHeight="1" x14ac:dyDescent="0.3">
      <c r="A495" s="2" t="s">
        <v>129</v>
      </c>
      <c r="B495" s="2" t="s">
        <v>955</v>
      </c>
      <c r="C495" s="5" t="s">
        <v>956</v>
      </c>
      <c r="D495" s="2" t="s">
        <v>957</v>
      </c>
    </row>
    <row r="496" spans="1:4" ht="13.05" customHeight="1" x14ac:dyDescent="0.3">
      <c r="A496" s="2" t="s">
        <v>129</v>
      </c>
      <c r="B496" s="2" t="s">
        <v>955</v>
      </c>
      <c r="C496" s="5" t="s">
        <v>958</v>
      </c>
      <c r="D496" s="2" t="s">
        <v>959</v>
      </c>
    </row>
    <row r="497" spans="1:4" ht="13.05" customHeight="1" x14ac:dyDescent="0.3">
      <c r="A497" s="2" t="s">
        <v>129</v>
      </c>
      <c r="B497" s="2" t="s">
        <v>955</v>
      </c>
      <c r="C497" s="5" t="s">
        <v>960</v>
      </c>
      <c r="D497" s="2" t="s">
        <v>961</v>
      </c>
    </row>
    <row r="498" spans="1:4" ht="13.05" customHeight="1" x14ac:dyDescent="0.3">
      <c r="A498" s="2" t="s">
        <v>129</v>
      </c>
      <c r="B498" s="2" t="s">
        <v>955</v>
      </c>
      <c r="C498" s="5" t="s">
        <v>962</v>
      </c>
      <c r="D498" s="2" t="s">
        <v>1124</v>
      </c>
    </row>
    <row r="499" spans="1:4" ht="13.05" customHeight="1" x14ac:dyDescent="0.3">
      <c r="A499" s="2" t="s">
        <v>129</v>
      </c>
      <c r="B499" s="2" t="s">
        <v>955</v>
      </c>
      <c r="C499" s="5" t="s">
        <v>964</v>
      </c>
      <c r="D499" s="2" t="s">
        <v>1125</v>
      </c>
    </row>
    <row r="500" spans="1:4" ht="13.05" customHeight="1" x14ac:dyDescent="0.3">
      <c r="A500" s="2" t="s">
        <v>129</v>
      </c>
      <c r="B500" s="2" t="s">
        <v>955</v>
      </c>
      <c r="C500" s="5" t="s">
        <v>966</v>
      </c>
      <c r="D500" s="2" t="s">
        <v>1126</v>
      </c>
    </row>
    <row r="501" spans="1:4" ht="13.05" customHeight="1" x14ac:dyDescent="0.3">
      <c r="A501" s="2" t="s">
        <v>129</v>
      </c>
      <c r="B501" s="2" t="s">
        <v>955</v>
      </c>
      <c r="C501" s="5" t="s">
        <v>968</v>
      </c>
      <c r="D501" s="2" t="s">
        <v>1127</v>
      </c>
    </row>
    <row r="502" spans="1:4" ht="13.05" customHeight="1" x14ac:dyDescent="0.3">
      <c r="A502" s="2" t="s">
        <v>129</v>
      </c>
      <c r="B502" s="2" t="s">
        <v>955</v>
      </c>
      <c r="C502" s="5" t="s">
        <v>970</v>
      </c>
      <c r="D502" s="2" t="s">
        <v>1128</v>
      </c>
    </row>
    <row r="503" spans="1:4" ht="13.05" customHeight="1" x14ac:dyDescent="0.3">
      <c r="A503" s="2" t="s">
        <v>129</v>
      </c>
      <c r="B503" s="2" t="s">
        <v>955</v>
      </c>
      <c r="C503" s="5" t="s">
        <v>972</v>
      </c>
      <c r="D503" s="2" t="s">
        <v>1129</v>
      </c>
    </row>
    <row r="504" spans="1:4" ht="13.05" customHeight="1" x14ac:dyDescent="0.3">
      <c r="A504" s="2" t="s">
        <v>129</v>
      </c>
      <c r="B504" s="2" t="s">
        <v>955</v>
      </c>
      <c r="C504" s="5" t="s">
        <v>981</v>
      </c>
      <c r="D504" s="2" t="s">
        <v>1130</v>
      </c>
    </row>
    <row r="505" spans="1:4" ht="13.05" customHeight="1" x14ac:dyDescent="0.3">
      <c r="A505" s="2" t="s">
        <v>129</v>
      </c>
      <c r="B505" s="2" t="s">
        <v>955</v>
      </c>
      <c r="C505" s="5" t="s">
        <v>993</v>
      </c>
      <c r="D505" s="2" t="s">
        <v>1037</v>
      </c>
    </row>
    <row r="506" spans="1:4" ht="13.05" customHeight="1" x14ac:dyDescent="0.3">
      <c r="A506" s="2" t="s">
        <v>133</v>
      </c>
      <c r="B506" s="2" t="s">
        <v>1038</v>
      </c>
      <c r="C506" s="5" t="s">
        <v>960</v>
      </c>
      <c r="D506" s="2" t="s">
        <v>961</v>
      </c>
    </row>
    <row r="507" spans="1:4" ht="13.05" customHeight="1" x14ac:dyDescent="0.3">
      <c r="A507" s="2" t="s">
        <v>135</v>
      </c>
      <c r="B507" s="2" t="s">
        <v>955</v>
      </c>
      <c r="C507" s="5" t="s">
        <v>974</v>
      </c>
      <c r="D507" s="2" t="s">
        <v>975</v>
      </c>
    </row>
    <row r="508" spans="1:4" ht="13.05" customHeight="1" x14ac:dyDescent="0.3">
      <c r="A508" s="2" t="s">
        <v>135</v>
      </c>
      <c r="B508" s="2" t="s">
        <v>955</v>
      </c>
      <c r="C508" s="5" t="s">
        <v>956</v>
      </c>
      <c r="D508" s="2" t="s">
        <v>1025</v>
      </c>
    </row>
    <row r="509" spans="1:4" ht="13.05" customHeight="1" x14ac:dyDescent="0.3">
      <c r="A509" s="2" t="s">
        <v>135</v>
      </c>
      <c r="B509" s="2" t="s">
        <v>955</v>
      </c>
      <c r="C509" s="5" t="s">
        <v>958</v>
      </c>
      <c r="D509" s="2" t="s">
        <v>1019</v>
      </c>
    </row>
    <row r="510" spans="1:4" ht="13.05" customHeight="1" x14ac:dyDescent="0.3">
      <c r="A510" s="2" t="s">
        <v>135</v>
      </c>
      <c r="B510" s="2" t="s">
        <v>955</v>
      </c>
      <c r="C510" s="5" t="s">
        <v>960</v>
      </c>
      <c r="D510" s="2" t="s">
        <v>961</v>
      </c>
    </row>
    <row r="511" spans="1:4" ht="13.05" customHeight="1" x14ac:dyDescent="0.3">
      <c r="A511" s="2" t="s">
        <v>138</v>
      </c>
      <c r="B511" s="2" t="s">
        <v>955</v>
      </c>
      <c r="C511" s="5" t="s">
        <v>962</v>
      </c>
      <c r="D511" s="2" t="s">
        <v>1039</v>
      </c>
    </row>
    <row r="512" spans="1:4" ht="13.05" customHeight="1" x14ac:dyDescent="0.3">
      <c r="A512" s="2" t="s">
        <v>138</v>
      </c>
      <c r="B512" s="2" t="s">
        <v>955</v>
      </c>
      <c r="C512" s="5" t="s">
        <v>964</v>
      </c>
      <c r="D512" s="2" t="s">
        <v>1040</v>
      </c>
    </row>
    <row r="513" spans="1:4" ht="13.05" customHeight="1" x14ac:dyDescent="0.3">
      <c r="A513" s="2" t="s">
        <v>140</v>
      </c>
      <c r="B513" s="2" t="s">
        <v>955</v>
      </c>
      <c r="C513" s="5" t="s">
        <v>974</v>
      </c>
      <c r="D513" s="2" t="s">
        <v>975</v>
      </c>
    </row>
    <row r="514" spans="1:4" ht="13.05" customHeight="1" x14ac:dyDescent="0.3">
      <c r="A514" s="2" t="s">
        <v>140</v>
      </c>
      <c r="B514" s="2" t="s">
        <v>955</v>
      </c>
      <c r="C514" s="5" t="s">
        <v>956</v>
      </c>
      <c r="D514" s="2" t="s">
        <v>1025</v>
      </c>
    </row>
    <row r="515" spans="1:4" ht="13.05" customHeight="1" x14ac:dyDescent="0.3">
      <c r="A515" s="2" t="s">
        <v>140</v>
      </c>
      <c r="B515" s="2" t="s">
        <v>955</v>
      </c>
      <c r="C515" s="5" t="s">
        <v>958</v>
      </c>
      <c r="D515" s="2" t="s">
        <v>1019</v>
      </c>
    </row>
    <row r="516" spans="1:4" ht="13.05" customHeight="1" x14ac:dyDescent="0.3">
      <c r="A516" s="2" t="s">
        <v>140</v>
      </c>
      <c r="B516" s="2" t="s">
        <v>955</v>
      </c>
      <c r="C516" s="5" t="s">
        <v>962</v>
      </c>
      <c r="D516" s="2" t="s">
        <v>1039</v>
      </c>
    </row>
    <row r="517" spans="1:4" ht="13.05" customHeight="1" x14ac:dyDescent="0.3">
      <c r="A517" s="2" t="s">
        <v>140</v>
      </c>
      <c r="B517" s="2" t="s">
        <v>955</v>
      </c>
      <c r="C517" s="5" t="s">
        <v>964</v>
      </c>
      <c r="D517" s="2" t="s">
        <v>1131</v>
      </c>
    </row>
    <row r="518" spans="1:4" ht="13.05" customHeight="1" x14ac:dyDescent="0.3">
      <c r="A518" s="2" t="s">
        <v>143</v>
      </c>
      <c r="B518" s="2" t="s">
        <v>955</v>
      </c>
      <c r="C518" s="5" t="s">
        <v>956</v>
      </c>
      <c r="D518" s="2" t="s">
        <v>1025</v>
      </c>
    </row>
    <row r="519" spans="1:4" ht="13.05" customHeight="1" x14ac:dyDescent="0.3">
      <c r="A519" s="2" t="s">
        <v>143</v>
      </c>
      <c r="B519" s="2" t="s">
        <v>955</v>
      </c>
      <c r="C519" s="5" t="s">
        <v>958</v>
      </c>
      <c r="D519" s="2" t="s">
        <v>1019</v>
      </c>
    </row>
    <row r="520" spans="1:4" ht="13.05" customHeight="1" x14ac:dyDescent="0.3">
      <c r="A520" s="2" t="s">
        <v>143</v>
      </c>
      <c r="B520" s="2" t="s">
        <v>955</v>
      </c>
      <c r="C520" s="5" t="s">
        <v>960</v>
      </c>
      <c r="D520" s="2" t="s">
        <v>961</v>
      </c>
    </row>
    <row r="521" spans="1:4" ht="13.05" customHeight="1" x14ac:dyDescent="0.3">
      <c r="A521" s="2" t="s">
        <v>143</v>
      </c>
      <c r="B521" s="2" t="s">
        <v>955</v>
      </c>
      <c r="C521" s="5" t="s">
        <v>962</v>
      </c>
      <c r="D521" s="2" t="s">
        <v>1039</v>
      </c>
    </row>
    <row r="522" spans="1:4" ht="13.05" customHeight="1" x14ac:dyDescent="0.3">
      <c r="A522" s="2" t="s">
        <v>143</v>
      </c>
      <c r="B522" s="2" t="s">
        <v>955</v>
      </c>
      <c r="C522" s="5" t="s">
        <v>964</v>
      </c>
      <c r="D522" s="2" t="s">
        <v>1040</v>
      </c>
    </row>
    <row r="523" spans="1:4" ht="13.05" customHeight="1" x14ac:dyDescent="0.3">
      <c r="A523" s="2" t="s">
        <v>148</v>
      </c>
      <c r="B523" s="2" t="s">
        <v>955</v>
      </c>
      <c r="C523" s="5" t="s">
        <v>974</v>
      </c>
      <c r="D523" s="2" t="s">
        <v>975</v>
      </c>
    </row>
    <row r="524" spans="1:4" ht="13.05" customHeight="1" x14ac:dyDescent="0.3">
      <c r="A524" s="2" t="s">
        <v>148</v>
      </c>
      <c r="B524" s="2" t="s">
        <v>955</v>
      </c>
      <c r="C524" s="5" t="s">
        <v>960</v>
      </c>
      <c r="D524" s="2" t="s">
        <v>961</v>
      </c>
    </row>
    <row r="525" spans="1:4" ht="13.05" customHeight="1" x14ac:dyDescent="0.3">
      <c r="A525" s="2" t="s">
        <v>150</v>
      </c>
      <c r="B525" s="2" t="s">
        <v>955</v>
      </c>
      <c r="C525" s="5" t="s">
        <v>974</v>
      </c>
      <c r="D525" s="2" t="s">
        <v>975</v>
      </c>
    </row>
    <row r="526" spans="1:4" ht="13.05" customHeight="1" x14ac:dyDescent="0.3">
      <c r="A526" s="2" t="s">
        <v>150</v>
      </c>
      <c r="B526" s="2" t="s">
        <v>955</v>
      </c>
      <c r="C526" s="5" t="s">
        <v>960</v>
      </c>
      <c r="D526" s="2" t="s">
        <v>961</v>
      </c>
    </row>
    <row r="527" spans="1:4" ht="13.05" customHeight="1" x14ac:dyDescent="0.3">
      <c r="A527" s="2" t="s">
        <v>152</v>
      </c>
      <c r="B527" s="2" t="s">
        <v>955</v>
      </c>
      <c r="C527" s="5" t="s">
        <v>962</v>
      </c>
      <c r="D527" s="2" t="s">
        <v>1039</v>
      </c>
    </row>
    <row r="528" spans="1:4" ht="13.05" customHeight="1" x14ac:dyDescent="0.3">
      <c r="A528" s="2" t="s">
        <v>152</v>
      </c>
      <c r="B528" s="2" t="s">
        <v>955</v>
      </c>
      <c r="C528" s="5" t="s">
        <v>964</v>
      </c>
      <c r="D528" s="2" t="s">
        <v>1040</v>
      </c>
    </row>
    <row r="529" spans="1:4" ht="13.05" customHeight="1" x14ac:dyDescent="0.3">
      <c r="A529" s="2" t="s">
        <v>154</v>
      </c>
      <c r="B529" s="2" t="s">
        <v>1132</v>
      </c>
      <c r="C529" s="5" t="s">
        <v>974</v>
      </c>
      <c r="D529" s="2" t="s">
        <v>975</v>
      </c>
    </row>
    <row r="530" spans="1:4" ht="13.05" customHeight="1" x14ac:dyDescent="0.3">
      <c r="A530" s="2" t="s">
        <v>154</v>
      </c>
      <c r="B530" s="2" t="s">
        <v>1132</v>
      </c>
      <c r="C530" s="5" t="s">
        <v>956</v>
      </c>
      <c r="D530" s="2" t="s">
        <v>957</v>
      </c>
    </row>
    <row r="531" spans="1:4" ht="13.05" customHeight="1" x14ac:dyDescent="0.3">
      <c r="A531" s="2" t="s">
        <v>154</v>
      </c>
      <c r="B531" s="2" t="s">
        <v>1132</v>
      </c>
      <c r="C531" s="5" t="s">
        <v>958</v>
      </c>
      <c r="D531" s="2" t="s">
        <v>1019</v>
      </c>
    </row>
    <row r="532" spans="1:4" ht="13.05" customHeight="1" x14ac:dyDescent="0.3">
      <c r="A532" s="2" t="s">
        <v>154</v>
      </c>
      <c r="B532" s="2" t="s">
        <v>1132</v>
      </c>
      <c r="C532" s="5" t="s">
        <v>960</v>
      </c>
      <c r="D532" s="2" t="s">
        <v>961</v>
      </c>
    </row>
    <row r="533" spans="1:4" ht="13.05" customHeight="1" x14ac:dyDescent="0.3">
      <c r="A533" s="2" t="s">
        <v>154</v>
      </c>
      <c r="B533" s="2" t="s">
        <v>1132</v>
      </c>
      <c r="C533" s="5" t="s">
        <v>962</v>
      </c>
      <c r="D533" s="2" t="s">
        <v>1133</v>
      </c>
    </row>
    <row r="534" spans="1:4" ht="13.05" customHeight="1" x14ac:dyDescent="0.3">
      <c r="A534" s="2" t="s">
        <v>154</v>
      </c>
      <c r="B534" s="2" t="s">
        <v>1132</v>
      </c>
      <c r="C534" s="5" t="s">
        <v>964</v>
      </c>
      <c r="D534" s="2" t="s">
        <v>1134</v>
      </c>
    </row>
    <row r="535" spans="1:4" ht="13.05" customHeight="1" x14ac:dyDescent="0.3">
      <c r="A535" s="2" t="s">
        <v>154</v>
      </c>
      <c r="B535" s="2" t="s">
        <v>1132</v>
      </c>
      <c r="C535" s="5" t="s">
        <v>966</v>
      </c>
      <c r="D535" s="2" t="s">
        <v>1135</v>
      </c>
    </row>
    <row r="536" spans="1:4" ht="13.05" customHeight="1" x14ac:dyDescent="0.3">
      <c r="A536" s="2" t="s">
        <v>157</v>
      </c>
      <c r="B536" s="2" t="s">
        <v>955</v>
      </c>
      <c r="C536" s="5" t="s">
        <v>974</v>
      </c>
      <c r="D536" s="2" t="s">
        <v>975</v>
      </c>
    </row>
    <row r="537" spans="1:4" ht="13.05" customHeight="1" x14ac:dyDescent="0.3">
      <c r="A537" s="2" t="s">
        <v>157</v>
      </c>
      <c r="B537" s="2" t="s">
        <v>955</v>
      </c>
      <c r="C537" s="5" t="s">
        <v>956</v>
      </c>
      <c r="D537" s="2" t="s">
        <v>957</v>
      </c>
    </row>
    <row r="538" spans="1:4" ht="13.05" customHeight="1" x14ac:dyDescent="0.3">
      <c r="A538" s="2" t="s">
        <v>157</v>
      </c>
      <c r="B538" s="2" t="s">
        <v>955</v>
      </c>
      <c r="C538" s="5" t="s">
        <v>958</v>
      </c>
      <c r="D538" s="2" t="s">
        <v>959</v>
      </c>
    </row>
    <row r="539" spans="1:4" ht="13.05" customHeight="1" x14ac:dyDescent="0.3">
      <c r="A539" s="2" t="s">
        <v>157</v>
      </c>
      <c r="B539" s="2" t="s">
        <v>955</v>
      </c>
      <c r="C539" s="5" t="s">
        <v>962</v>
      </c>
      <c r="D539" s="2" t="s">
        <v>1039</v>
      </c>
    </row>
    <row r="540" spans="1:4" ht="13.05" customHeight="1" x14ac:dyDescent="0.3">
      <c r="A540" s="2" t="s">
        <v>157</v>
      </c>
      <c r="B540" s="2" t="s">
        <v>955</v>
      </c>
      <c r="C540" s="5" t="s">
        <v>964</v>
      </c>
      <c r="D540" s="2" t="s">
        <v>1040</v>
      </c>
    </row>
    <row r="541" spans="1:4" ht="13.05" customHeight="1" x14ac:dyDescent="0.3">
      <c r="A541" s="2" t="s">
        <v>162</v>
      </c>
      <c r="B541" s="2" t="s">
        <v>1132</v>
      </c>
      <c r="C541" s="5" t="s">
        <v>960</v>
      </c>
      <c r="D541" s="2" t="s">
        <v>961</v>
      </c>
    </row>
    <row r="542" spans="1:4" ht="13.05" customHeight="1" x14ac:dyDescent="0.3">
      <c r="A542" s="2" t="s">
        <v>162</v>
      </c>
      <c r="B542" s="2" t="s">
        <v>1132</v>
      </c>
      <c r="C542" s="5" t="s">
        <v>962</v>
      </c>
      <c r="D542" s="2" t="s">
        <v>1039</v>
      </c>
    </row>
    <row r="543" spans="1:4" ht="13.05" customHeight="1" x14ac:dyDescent="0.3">
      <c r="A543" s="2" t="s">
        <v>162</v>
      </c>
      <c r="B543" s="2" t="s">
        <v>1132</v>
      </c>
      <c r="C543" s="5" t="s">
        <v>964</v>
      </c>
      <c r="D543" s="2" t="s">
        <v>1040</v>
      </c>
    </row>
    <row r="544" spans="1:4" ht="13.05" customHeight="1" x14ac:dyDescent="0.3">
      <c r="A544" s="2" t="s">
        <v>164</v>
      </c>
      <c r="B544" s="2" t="s">
        <v>1132</v>
      </c>
      <c r="C544" s="5" t="s">
        <v>974</v>
      </c>
      <c r="D544" s="2" t="s">
        <v>975</v>
      </c>
    </row>
    <row r="545" spans="1:4" ht="13.05" customHeight="1" x14ac:dyDescent="0.3">
      <c r="A545" s="2" t="s">
        <v>166</v>
      </c>
      <c r="B545" s="2" t="s">
        <v>955</v>
      </c>
      <c r="C545" s="5" t="s">
        <v>956</v>
      </c>
      <c r="D545" s="2" t="s">
        <v>957</v>
      </c>
    </row>
    <row r="546" spans="1:4" ht="13.05" customHeight="1" x14ac:dyDescent="0.3">
      <c r="A546" s="2" t="s">
        <v>166</v>
      </c>
      <c r="B546" s="2" t="s">
        <v>955</v>
      </c>
      <c r="C546" s="5" t="s">
        <v>958</v>
      </c>
      <c r="D546" s="2" t="s">
        <v>959</v>
      </c>
    </row>
    <row r="547" spans="1:4" ht="13.05" customHeight="1" x14ac:dyDescent="0.3">
      <c r="A547" s="2" t="s">
        <v>166</v>
      </c>
      <c r="B547" s="2" t="s">
        <v>955</v>
      </c>
      <c r="C547" s="5" t="s">
        <v>960</v>
      </c>
      <c r="D547" s="2" t="s">
        <v>961</v>
      </c>
    </row>
    <row r="548" spans="1:4" ht="13.05" customHeight="1" x14ac:dyDescent="0.3">
      <c r="A548" s="2" t="s">
        <v>166</v>
      </c>
      <c r="B548" s="2" t="s">
        <v>955</v>
      </c>
      <c r="C548" s="5" t="s">
        <v>962</v>
      </c>
      <c r="D548" s="2" t="s">
        <v>1136</v>
      </c>
    </row>
    <row r="549" spans="1:4" ht="13.05" customHeight="1" x14ac:dyDescent="0.3">
      <c r="A549" s="2" t="s">
        <v>166</v>
      </c>
      <c r="B549" s="2" t="s">
        <v>955</v>
      </c>
      <c r="C549" s="5" t="s">
        <v>964</v>
      </c>
      <c r="D549" s="2" t="s">
        <v>1137</v>
      </c>
    </row>
    <row r="550" spans="1:4" ht="13.05" customHeight="1" x14ac:dyDescent="0.3">
      <c r="A550" s="2" t="s">
        <v>166</v>
      </c>
      <c r="B550" s="2" t="s">
        <v>955</v>
      </c>
      <c r="C550" s="5" t="s">
        <v>966</v>
      </c>
      <c r="D550" s="2" t="s">
        <v>1138</v>
      </c>
    </row>
    <row r="551" spans="1:4" ht="13.05" customHeight="1" x14ac:dyDescent="0.3">
      <c r="A551" s="2" t="s">
        <v>166</v>
      </c>
      <c r="B551" s="2" t="s">
        <v>955</v>
      </c>
      <c r="C551" s="5" t="s">
        <v>968</v>
      </c>
      <c r="D551" s="2" t="s">
        <v>1139</v>
      </c>
    </row>
    <row r="552" spans="1:4" ht="13.05" customHeight="1" x14ac:dyDescent="0.3">
      <c r="A552" s="2" t="s">
        <v>166</v>
      </c>
      <c r="B552" s="2" t="s">
        <v>955</v>
      </c>
      <c r="C552" s="5" t="s">
        <v>970</v>
      </c>
      <c r="D552" s="2" t="s">
        <v>1140</v>
      </c>
    </row>
    <row r="553" spans="1:4" ht="13.05" customHeight="1" x14ac:dyDescent="0.3">
      <c r="A553" s="2" t="s">
        <v>180</v>
      </c>
      <c r="B553" s="2" t="s">
        <v>985</v>
      </c>
      <c r="C553" s="5" t="s">
        <v>974</v>
      </c>
      <c r="D553" s="2" t="s">
        <v>975</v>
      </c>
    </row>
    <row r="554" spans="1:4" ht="13.05" customHeight="1" x14ac:dyDescent="0.3">
      <c r="A554" s="2" t="s">
        <v>180</v>
      </c>
      <c r="B554" s="2" t="s">
        <v>985</v>
      </c>
      <c r="C554" s="5" t="s">
        <v>956</v>
      </c>
      <c r="D554" s="2" t="s">
        <v>957</v>
      </c>
    </row>
    <row r="555" spans="1:4" ht="13.05" customHeight="1" x14ac:dyDescent="0.3">
      <c r="A555" s="2" t="s">
        <v>180</v>
      </c>
      <c r="B555" s="2" t="s">
        <v>985</v>
      </c>
      <c r="C555" s="5" t="s">
        <v>958</v>
      </c>
      <c r="D555" s="2" t="s">
        <v>959</v>
      </c>
    </row>
    <row r="556" spans="1:4" ht="13.05" customHeight="1" x14ac:dyDescent="0.3">
      <c r="A556" s="2" t="s">
        <v>180</v>
      </c>
      <c r="B556" s="2" t="s">
        <v>985</v>
      </c>
      <c r="C556" s="5" t="s">
        <v>960</v>
      </c>
      <c r="D556" s="2" t="s">
        <v>961</v>
      </c>
    </row>
    <row r="557" spans="1:4" ht="13.05" customHeight="1" x14ac:dyDescent="0.3">
      <c r="A557" s="2" t="s">
        <v>180</v>
      </c>
      <c r="B557" s="2" t="s">
        <v>985</v>
      </c>
      <c r="C557" s="5" t="s">
        <v>962</v>
      </c>
      <c r="D557" s="2" t="s">
        <v>1141</v>
      </c>
    </row>
    <row r="558" spans="1:4" ht="13.05" customHeight="1" x14ac:dyDescent="0.3">
      <c r="A558" s="2" t="s">
        <v>180</v>
      </c>
      <c r="B558" s="2" t="s">
        <v>985</v>
      </c>
      <c r="C558" s="5" t="s">
        <v>964</v>
      </c>
      <c r="D558" s="2" t="s">
        <v>1142</v>
      </c>
    </row>
    <row r="559" spans="1:4" ht="13.05" customHeight="1" x14ac:dyDescent="0.3">
      <c r="A559" s="2" t="s">
        <v>180</v>
      </c>
      <c r="B559" s="2" t="s">
        <v>985</v>
      </c>
      <c r="C559" s="5" t="s">
        <v>966</v>
      </c>
      <c r="D559" s="2" t="s">
        <v>1143</v>
      </c>
    </row>
    <row r="560" spans="1:4" ht="13.05" customHeight="1" x14ac:dyDescent="0.3">
      <c r="A560" s="2" t="s">
        <v>180</v>
      </c>
      <c r="B560" s="2" t="s">
        <v>985</v>
      </c>
      <c r="C560" s="5" t="s">
        <v>968</v>
      </c>
      <c r="D560" s="2" t="s">
        <v>1144</v>
      </c>
    </row>
    <row r="561" spans="1:4" ht="13.05" customHeight="1" x14ac:dyDescent="0.3">
      <c r="A561" s="2" t="s">
        <v>180</v>
      </c>
      <c r="B561" s="2" t="s">
        <v>985</v>
      </c>
      <c r="C561" s="5" t="s">
        <v>970</v>
      </c>
      <c r="D561" s="2" t="s">
        <v>1145</v>
      </c>
    </row>
    <row r="562" spans="1:4" ht="13.05" customHeight="1" x14ac:dyDescent="0.3">
      <c r="A562" s="2" t="s">
        <v>183</v>
      </c>
      <c r="B562" s="2" t="s">
        <v>985</v>
      </c>
      <c r="C562" s="5" t="s">
        <v>1146</v>
      </c>
      <c r="D562" s="2" t="s">
        <v>1025</v>
      </c>
    </row>
    <row r="563" spans="1:4" ht="13.05" customHeight="1" x14ac:dyDescent="0.3">
      <c r="A563" s="2" t="s">
        <v>183</v>
      </c>
      <c r="B563" s="2" t="s">
        <v>985</v>
      </c>
      <c r="C563" s="5" t="s">
        <v>1147</v>
      </c>
      <c r="D563" s="2" t="s">
        <v>959</v>
      </c>
    </row>
    <row r="564" spans="1:4" ht="13.05" customHeight="1" x14ac:dyDescent="0.3">
      <c r="A564" s="2" t="s">
        <v>183</v>
      </c>
      <c r="B564" s="2" t="s">
        <v>985</v>
      </c>
      <c r="C564" s="5" t="s">
        <v>974</v>
      </c>
      <c r="D564" s="2" t="s">
        <v>975</v>
      </c>
    </row>
    <row r="565" spans="1:4" ht="13.05" customHeight="1" x14ac:dyDescent="0.3">
      <c r="A565" s="2" t="s">
        <v>183</v>
      </c>
      <c r="B565" s="2" t="s">
        <v>985</v>
      </c>
      <c r="C565" s="5" t="s">
        <v>956</v>
      </c>
      <c r="D565" s="2" t="s">
        <v>1025</v>
      </c>
    </row>
    <row r="566" spans="1:4" ht="13.05" customHeight="1" x14ac:dyDescent="0.3">
      <c r="A566" s="2" t="s">
        <v>183</v>
      </c>
      <c r="B566" s="2" t="s">
        <v>985</v>
      </c>
      <c r="C566" s="5" t="s">
        <v>958</v>
      </c>
      <c r="D566" s="2" t="s">
        <v>1019</v>
      </c>
    </row>
    <row r="567" spans="1:4" ht="13.05" customHeight="1" x14ac:dyDescent="0.3">
      <c r="A567" s="2" t="s">
        <v>183</v>
      </c>
      <c r="B567" s="2" t="s">
        <v>985</v>
      </c>
      <c r="C567" s="5" t="s">
        <v>960</v>
      </c>
      <c r="D567" s="2" t="s">
        <v>961</v>
      </c>
    </row>
    <row r="568" spans="1:4" ht="13.05" customHeight="1" x14ac:dyDescent="0.3">
      <c r="A568" s="2" t="s">
        <v>186</v>
      </c>
      <c r="B568" s="2" t="s">
        <v>1018</v>
      </c>
      <c r="C568" s="5" t="s">
        <v>962</v>
      </c>
      <c r="D568" s="2" t="s">
        <v>1039</v>
      </c>
    </row>
    <row r="569" spans="1:4" ht="13.05" customHeight="1" x14ac:dyDescent="0.3">
      <c r="A569" s="2" t="s">
        <v>186</v>
      </c>
      <c r="B569" s="2" t="s">
        <v>1018</v>
      </c>
      <c r="C569" s="5" t="s">
        <v>964</v>
      </c>
      <c r="D569" s="2" t="s">
        <v>1040</v>
      </c>
    </row>
    <row r="570" spans="1:4" ht="13.05" customHeight="1" x14ac:dyDescent="0.3">
      <c r="A570" s="2" t="s">
        <v>188</v>
      </c>
      <c r="B570" s="2" t="s">
        <v>955</v>
      </c>
      <c r="C570" s="5" t="s">
        <v>974</v>
      </c>
      <c r="D570" s="2" t="s">
        <v>975</v>
      </c>
    </row>
    <row r="571" spans="1:4" ht="13.05" customHeight="1" x14ac:dyDescent="0.3">
      <c r="A571" s="2" t="s">
        <v>188</v>
      </c>
      <c r="B571" s="2" t="s">
        <v>955</v>
      </c>
      <c r="C571" s="5" t="s">
        <v>956</v>
      </c>
      <c r="D571" s="2" t="s">
        <v>1025</v>
      </c>
    </row>
    <row r="572" spans="1:4" ht="13.05" customHeight="1" x14ac:dyDescent="0.3">
      <c r="A572" s="2" t="s">
        <v>188</v>
      </c>
      <c r="B572" s="2" t="s">
        <v>955</v>
      </c>
      <c r="C572" s="5" t="s">
        <v>958</v>
      </c>
      <c r="D572" s="2" t="s">
        <v>1019</v>
      </c>
    </row>
    <row r="573" spans="1:4" ht="13.05" customHeight="1" x14ac:dyDescent="0.3">
      <c r="A573" s="2" t="s">
        <v>188</v>
      </c>
      <c r="B573" s="2" t="s">
        <v>955</v>
      </c>
      <c r="C573" s="5" t="s">
        <v>960</v>
      </c>
      <c r="D573" s="2" t="s">
        <v>961</v>
      </c>
    </row>
    <row r="574" spans="1:4" ht="13.05" customHeight="1" x14ac:dyDescent="0.3">
      <c r="A574" s="2" t="s">
        <v>188</v>
      </c>
      <c r="B574" s="2" t="s">
        <v>955</v>
      </c>
      <c r="C574" s="5" t="s">
        <v>962</v>
      </c>
      <c r="D574" s="2" t="s">
        <v>1039</v>
      </c>
    </row>
    <row r="575" spans="1:4" ht="13.05" customHeight="1" x14ac:dyDescent="0.3">
      <c r="A575" s="2" t="s">
        <v>188</v>
      </c>
      <c r="B575" s="2" t="s">
        <v>955</v>
      </c>
      <c r="C575" s="5" t="s">
        <v>964</v>
      </c>
      <c r="D575" s="2" t="s">
        <v>1131</v>
      </c>
    </row>
    <row r="576" spans="1:4" ht="13.05" customHeight="1" x14ac:dyDescent="0.3">
      <c r="A576" s="2" t="s">
        <v>191</v>
      </c>
      <c r="B576" s="2" t="s">
        <v>955</v>
      </c>
      <c r="C576" s="5" t="s">
        <v>974</v>
      </c>
      <c r="D576" s="2" t="s">
        <v>975</v>
      </c>
    </row>
    <row r="577" spans="1:4" ht="13.05" customHeight="1" x14ac:dyDescent="0.3">
      <c r="A577" s="2" t="s">
        <v>191</v>
      </c>
      <c r="B577" s="2" t="s">
        <v>955</v>
      </c>
      <c r="C577" s="5" t="s">
        <v>962</v>
      </c>
      <c r="D577" s="2" t="s">
        <v>1039</v>
      </c>
    </row>
    <row r="578" spans="1:4" ht="13.05" customHeight="1" x14ac:dyDescent="0.3">
      <c r="A578" s="2" t="s">
        <v>191</v>
      </c>
      <c r="B578" s="2" t="s">
        <v>955</v>
      </c>
      <c r="C578" s="5" t="s">
        <v>964</v>
      </c>
      <c r="D578" s="2" t="s">
        <v>1040</v>
      </c>
    </row>
    <row r="579" spans="1:4" ht="13.05" customHeight="1" x14ac:dyDescent="0.3">
      <c r="A579" s="2" t="s">
        <v>193</v>
      </c>
      <c r="B579" s="2" t="s">
        <v>955</v>
      </c>
      <c r="C579" s="5" t="s">
        <v>962</v>
      </c>
      <c r="D579" s="2" t="s">
        <v>1039</v>
      </c>
    </row>
    <row r="580" spans="1:4" ht="13.05" customHeight="1" x14ac:dyDescent="0.3">
      <c r="A580" s="2" t="s">
        <v>193</v>
      </c>
      <c r="B580" s="2" t="s">
        <v>955</v>
      </c>
      <c r="C580" s="5" t="s">
        <v>964</v>
      </c>
      <c r="D580" s="2" t="s">
        <v>1040</v>
      </c>
    </row>
    <row r="581" spans="1:4" ht="13.05" customHeight="1" x14ac:dyDescent="0.3">
      <c r="A581" s="2" t="s">
        <v>195</v>
      </c>
      <c r="B581" s="2" t="s">
        <v>985</v>
      </c>
      <c r="C581" s="5" t="s">
        <v>956</v>
      </c>
      <c r="D581" s="2" t="s">
        <v>957</v>
      </c>
    </row>
    <row r="582" spans="1:4" ht="13.05" customHeight="1" x14ac:dyDescent="0.3">
      <c r="A582" s="2" t="s">
        <v>195</v>
      </c>
      <c r="B582" s="2" t="s">
        <v>985</v>
      </c>
      <c r="C582" s="5" t="s">
        <v>958</v>
      </c>
      <c r="D582" s="2" t="s">
        <v>1019</v>
      </c>
    </row>
    <row r="583" spans="1:4" ht="13.05" customHeight="1" x14ac:dyDescent="0.3">
      <c r="A583" s="2" t="s">
        <v>195</v>
      </c>
      <c r="B583" s="2" t="s">
        <v>985</v>
      </c>
      <c r="C583" s="5" t="s">
        <v>962</v>
      </c>
      <c r="D583" s="2" t="s">
        <v>1148</v>
      </c>
    </row>
    <row r="584" spans="1:4" ht="13.05" customHeight="1" x14ac:dyDescent="0.3">
      <c r="A584" s="2" t="s">
        <v>195</v>
      </c>
      <c r="B584" s="2" t="s">
        <v>985</v>
      </c>
      <c r="C584" s="5" t="s">
        <v>964</v>
      </c>
      <c r="D584" s="2" t="s">
        <v>1149</v>
      </c>
    </row>
    <row r="585" spans="1:4" ht="13.05" customHeight="1" x14ac:dyDescent="0.3">
      <c r="A585" s="2" t="s">
        <v>195</v>
      </c>
      <c r="B585" s="2" t="s">
        <v>985</v>
      </c>
      <c r="C585" s="5" t="s">
        <v>966</v>
      </c>
      <c r="D585" s="2" t="s">
        <v>1150</v>
      </c>
    </row>
    <row r="586" spans="1:4" ht="13.05" customHeight="1" x14ac:dyDescent="0.3">
      <c r="A586" s="2" t="s">
        <v>195</v>
      </c>
      <c r="B586" s="2" t="s">
        <v>985</v>
      </c>
      <c r="C586" s="5" t="s">
        <v>983</v>
      </c>
      <c r="D586" s="2" t="s">
        <v>1151</v>
      </c>
    </row>
    <row r="587" spans="1:4" ht="13.05" customHeight="1" x14ac:dyDescent="0.3">
      <c r="A587" s="2" t="s">
        <v>198</v>
      </c>
      <c r="B587" s="2" t="s">
        <v>985</v>
      </c>
      <c r="C587" s="5" t="s">
        <v>960</v>
      </c>
      <c r="D587" s="2" t="s">
        <v>961</v>
      </c>
    </row>
    <row r="588" spans="1:4" ht="13.05" customHeight="1" x14ac:dyDescent="0.3">
      <c r="A588" s="2" t="s">
        <v>203</v>
      </c>
      <c r="B588" s="2" t="s">
        <v>1038</v>
      </c>
      <c r="C588" s="5" t="s">
        <v>974</v>
      </c>
      <c r="D588" s="2" t="s">
        <v>975</v>
      </c>
    </row>
    <row r="589" spans="1:4" ht="13.05" customHeight="1" x14ac:dyDescent="0.3">
      <c r="A589" s="2" t="s">
        <v>203</v>
      </c>
      <c r="B589" s="2" t="s">
        <v>1038</v>
      </c>
      <c r="C589" s="5" t="s">
        <v>960</v>
      </c>
      <c r="D589" s="2" t="s">
        <v>961</v>
      </c>
    </row>
    <row r="590" spans="1:4" ht="13.05" customHeight="1" x14ac:dyDescent="0.3">
      <c r="A590" s="2" t="s">
        <v>205</v>
      </c>
      <c r="B590" s="2" t="s">
        <v>1018</v>
      </c>
      <c r="C590" s="5" t="s">
        <v>974</v>
      </c>
      <c r="D590" s="2" t="s">
        <v>975</v>
      </c>
    </row>
    <row r="591" spans="1:4" ht="13.05" customHeight="1" x14ac:dyDescent="0.3">
      <c r="A591" s="2" t="s">
        <v>205</v>
      </c>
      <c r="B591" s="2" t="s">
        <v>1018</v>
      </c>
      <c r="C591" s="5" t="s">
        <v>956</v>
      </c>
      <c r="D591" s="2" t="s">
        <v>1025</v>
      </c>
    </row>
    <row r="592" spans="1:4" ht="13.05" customHeight="1" x14ac:dyDescent="0.3">
      <c r="A592" s="2" t="s">
        <v>205</v>
      </c>
      <c r="B592" s="2" t="s">
        <v>1018</v>
      </c>
      <c r="C592" s="5" t="s">
        <v>958</v>
      </c>
      <c r="D592" s="2" t="s">
        <v>1019</v>
      </c>
    </row>
    <row r="593" spans="1:4" ht="13.05" customHeight="1" x14ac:dyDescent="0.3">
      <c r="A593" s="2" t="s">
        <v>205</v>
      </c>
      <c r="B593" s="2" t="s">
        <v>1018</v>
      </c>
      <c r="C593" s="5" t="s">
        <v>960</v>
      </c>
      <c r="D593" s="2" t="s">
        <v>961</v>
      </c>
    </row>
    <row r="594" spans="1:4" ht="13.05" customHeight="1" x14ac:dyDescent="0.3">
      <c r="A594" s="2" t="s">
        <v>205</v>
      </c>
      <c r="B594" s="2" t="s">
        <v>1018</v>
      </c>
      <c r="C594" s="5" t="s">
        <v>962</v>
      </c>
      <c r="D594" s="2" t="s">
        <v>1039</v>
      </c>
    </row>
    <row r="595" spans="1:4" ht="13.05" customHeight="1" x14ac:dyDescent="0.3">
      <c r="A595" s="2" t="s">
        <v>205</v>
      </c>
      <c r="B595" s="2" t="s">
        <v>1018</v>
      </c>
      <c r="C595" s="5" t="s">
        <v>964</v>
      </c>
      <c r="D595" s="2" t="s">
        <v>1040</v>
      </c>
    </row>
    <row r="596" spans="1:4" ht="13.05" customHeight="1" x14ac:dyDescent="0.3">
      <c r="A596" s="2" t="s">
        <v>211</v>
      </c>
      <c r="B596" s="2" t="s">
        <v>955</v>
      </c>
      <c r="C596" s="5" t="s">
        <v>974</v>
      </c>
      <c r="D596" s="2" t="s">
        <v>975</v>
      </c>
    </row>
    <row r="597" spans="1:4" ht="13.05" customHeight="1" x14ac:dyDescent="0.3">
      <c r="A597" s="2" t="s">
        <v>213</v>
      </c>
      <c r="B597" s="2" t="s">
        <v>955</v>
      </c>
      <c r="C597" s="5" t="s">
        <v>956</v>
      </c>
      <c r="D597" s="2" t="s">
        <v>1025</v>
      </c>
    </row>
    <row r="598" spans="1:4" ht="13.05" customHeight="1" x14ac:dyDescent="0.3">
      <c r="A598" s="2" t="s">
        <v>213</v>
      </c>
      <c r="B598" s="2" t="s">
        <v>955</v>
      </c>
      <c r="C598" s="5" t="s">
        <v>958</v>
      </c>
      <c r="D598" s="2" t="s">
        <v>1019</v>
      </c>
    </row>
    <row r="599" spans="1:4" ht="13.05" customHeight="1" x14ac:dyDescent="0.3">
      <c r="A599" s="2" t="s">
        <v>213</v>
      </c>
      <c r="B599" s="2" t="s">
        <v>955</v>
      </c>
      <c r="C599" s="5" t="s">
        <v>960</v>
      </c>
      <c r="D599" s="2" t="s">
        <v>961</v>
      </c>
    </row>
    <row r="600" spans="1:4" ht="13.05" customHeight="1" x14ac:dyDescent="0.3">
      <c r="A600" s="2" t="s">
        <v>213</v>
      </c>
      <c r="B600" s="2" t="s">
        <v>955</v>
      </c>
      <c r="C600" s="5" t="s">
        <v>962</v>
      </c>
      <c r="D600" s="2" t="s">
        <v>1039</v>
      </c>
    </row>
    <row r="601" spans="1:4" ht="13.05" customHeight="1" x14ac:dyDescent="0.3">
      <c r="A601" s="2" t="s">
        <v>213</v>
      </c>
      <c r="B601" s="2" t="s">
        <v>955</v>
      </c>
      <c r="C601" s="5" t="s">
        <v>964</v>
      </c>
      <c r="D601" s="2" t="s">
        <v>1131</v>
      </c>
    </row>
    <row r="602" spans="1:4" ht="13.05" customHeight="1" x14ac:dyDescent="0.3">
      <c r="A602" s="2" t="s">
        <v>216</v>
      </c>
      <c r="B602" s="2" t="s">
        <v>1018</v>
      </c>
      <c r="C602" s="5" t="s">
        <v>974</v>
      </c>
      <c r="D602" s="2" t="s">
        <v>975</v>
      </c>
    </row>
    <row r="603" spans="1:4" ht="13.05" customHeight="1" x14ac:dyDescent="0.3">
      <c r="A603" s="2" t="s">
        <v>216</v>
      </c>
      <c r="B603" s="2" t="s">
        <v>1018</v>
      </c>
      <c r="C603" s="5" t="s">
        <v>1152</v>
      </c>
      <c r="D603" s="2" t="s">
        <v>1153</v>
      </c>
    </row>
    <row r="604" spans="1:4" ht="13.05" customHeight="1" x14ac:dyDescent="0.3">
      <c r="A604" s="2" t="s">
        <v>216</v>
      </c>
      <c r="B604" s="2" t="s">
        <v>1018</v>
      </c>
      <c r="C604" s="5" t="s">
        <v>970</v>
      </c>
      <c r="D604" s="2" t="s">
        <v>1154</v>
      </c>
    </row>
    <row r="605" spans="1:4" ht="13.05" customHeight="1" x14ac:dyDescent="0.3">
      <c r="A605" s="2" t="s">
        <v>216</v>
      </c>
      <c r="B605" s="2" t="s">
        <v>1018</v>
      </c>
      <c r="C605" s="5" t="s">
        <v>1155</v>
      </c>
      <c r="D605" s="2" t="s">
        <v>1156</v>
      </c>
    </row>
    <row r="606" spans="1:4" ht="13.05" customHeight="1" x14ac:dyDescent="0.3">
      <c r="A606" s="2" t="s">
        <v>216</v>
      </c>
      <c r="B606" s="2" t="s">
        <v>1018</v>
      </c>
      <c r="C606" s="5" t="s">
        <v>1157</v>
      </c>
      <c r="D606" s="2" t="s">
        <v>1158</v>
      </c>
    </row>
    <row r="607" spans="1:4" ht="13.05" customHeight="1" x14ac:dyDescent="0.3">
      <c r="A607" s="2" t="s">
        <v>216</v>
      </c>
      <c r="B607" s="2" t="s">
        <v>1018</v>
      </c>
      <c r="C607" s="5" t="s">
        <v>1159</v>
      </c>
      <c r="D607" s="2" t="s">
        <v>1160</v>
      </c>
    </row>
    <row r="608" spans="1:4" ht="13.05" customHeight="1" x14ac:dyDescent="0.3">
      <c r="A608" s="2" t="s">
        <v>216</v>
      </c>
      <c r="B608" s="2" t="s">
        <v>1018</v>
      </c>
      <c r="C608" s="5" t="s">
        <v>1161</v>
      </c>
      <c r="D608" s="2" t="s">
        <v>1162</v>
      </c>
    </row>
    <row r="609" spans="1:4" ht="13.05" customHeight="1" x14ac:dyDescent="0.3">
      <c r="A609" s="2" t="s">
        <v>216</v>
      </c>
      <c r="B609" s="2" t="s">
        <v>1018</v>
      </c>
      <c r="C609" s="5" t="s">
        <v>1163</v>
      </c>
      <c r="D609" s="2" t="s">
        <v>1164</v>
      </c>
    </row>
    <row r="610" spans="1:4" ht="13.05" customHeight="1" x14ac:dyDescent="0.3">
      <c r="A610" s="2" t="s">
        <v>216</v>
      </c>
      <c r="B610" s="2" t="s">
        <v>1018</v>
      </c>
      <c r="C610" s="5" t="s">
        <v>1165</v>
      </c>
      <c r="D610" s="2" t="s">
        <v>1166</v>
      </c>
    </row>
    <row r="611" spans="1:4" ht="13.05" customHeight="1" x14ac:dyDescent="0.3">
      <c r="A611" s="2" t="s">
        <v>216</v>
      </c>
      <c r="B611" s="2" t="s">
        <v>1018</v>
      </c>
      <c r="C611" s="5" t="s">
        <v>1167</v>
      </c>
      <c r="D611" s="2" t="s">
        <v>1168</v>
      </c>
    </row>
    <row r="612" spans="1:4" ht="13.05" customHeight="1" x14ac:dyDescent="0.3">
      <c r="A612" s="2" t="s">
        <v>216</v>
      </c>
      <c r="B612" s="2" t="s">
        <v>1018</v>
      </c>
      <c r="C612" s="5" t="s">
        <v>1169</v>
      </c>
      <c r="D612" s="2" t="s">
        <v>1170</v>
      </c>
    </row>
    <row r="613" spans="1:4" ht="13.05" customHeight="1" x14ac:dyDescent="0.3">
      <c r="A613" s="2" t="s">
        <v>216</v>
      </c>
      <c r="B613" s="2" t="s">
        <v>1018</v>
      </c>
      <c r="C613" s="5" t="s">
        <v>1171</v>
      </c>
      <c r="D613" s="2" t="s">
        <v>1172</v>
      </c>
    </row>
    <row r="614" spans="1:4" ht="13.05" customHeight="1" x14ac:dyDescent="0.3">
      <c r="A614" s="2" t="s">
        <v>218</v>
      </c>
      <c r="B614" s="2" t="s">
        <v>1018</v>
      </c>
      <c r="C614" s="5" t="s">
        <v>974</v>
      </c>
      <c r="D614" s="2" t="s">
        <v>975</v>
      </c>
    </row>
    <row r="615" spans="1:4" ht="13.05" customHeight="1" x14ac:dyDescent="0.3">
      <c r="A615" s="2" t="s">
        <v>220</v>
      </c>
      <c r="B615" s="2" t="s">
        <v>1018</v>
      </c>
      <c r="C615" s="5" t="s">
        <v>1161</v>
      </c>
      <c r="D615" s="2" t="s">
        <v>1173</v>
      </c>
    </row>
    <row r="616" spans="1:4" ht="13.05" customHeight="1" x14ac:dyDescent="0.3">
      <c r="A616" s="2" t="s">
        <v>220</v>
      </c>
      <c r="B616" s="2" t="s">
        <v>1018</v>
      </c>
      <c r="C616" s="5" t="s">
        <v>1174</v>
      </c>
      <c r="D616" s="2" t="s">
        <v>1175</v>
      </c>
    </row>
    <row r="617" spans="1:4" ht="13.05" customHeight="1" x14ac:dyDescent="0.3">
      <c r="A617" s="2" t="s">
        <v>220</v>
      </c>
      <c r="B617" s="2" t="s">
        <v>1018</v>
      </c>
      <c r="C617" s="5" t="s">
        <v>1176</v>
      </c>
      <c r="D617" s="2" t="s">
        <v>1177</v>
      </c>
    </row>
    <row r="618" spans="1:4" ht="13.05" customHeight="1" x14ac:dyDescent="0.3">
      <c r="A618" s="2" t="s">
        <v>220</v>
      </c>
      <c r="B618" s="2" t="s">
        <v>1018</v>
      </c>
      <c r="C618" s="5" t="s">
        <v>1178</v>
      </c>
      <c r="D618" s="2" t="s">
        <v>1179</v>
      </c>
    </row>
    <row r="619" spans="1:4" ht="13.05" customHeight="1" x14ac:dyDescent="0.3">
      <c r="A619" s="2" t="s">
        <v>220</v>
      </c>
      <c r="B619" s="2" t="s">
        <v>1018</v>
      </c>
      <c r="C619" s="5" t="s">
        <v>1180</v>
      </c>
      <c r="D619" s="2" t="s">
        <v>1181</v>
      </c>
    </row>
    <row r="620" spans="1:4" ht="13.05" customHeight="1" x14ac:dyDescent="0.3">
      <c r="A620" s="2" t="s">
        <v>220</v>
      </c>
      <c r="B620" s="2" t="s">
        <v>1018</v>
      </c>
      <c r="C620" s="5" t="s">
        <v>1182</v>
      </c>
      <c r="D620" s="2" t="s">
        <v>1183</v>
      </c>
    </row>
    <row r="621" spans="1:4" ht="13.05" customHeight="1" x14ac:dyDescent="0.3">
      <c r="A621" s="2" t="s">
        <v>220</v>
      </c>
      <c r="B621" s="2" t="s">
        <v>1018</v>
      </c>
      <c r="C621" s="5" t="s">
        <v>1184</v>
      </c>
      <c r="D621" s="2" t="s">
        <v>1185</v>
      </c>
    </row>
    <row r="622" spans="1:4" ht="13.05" customHeight="1" x14ac:dyDescent="0.3">
      <c r="A622" s="2" t="s">
        <v>220</v>
      </c>
      <c r="B622" s="2" t="s">
        <v>1018</v>
      </c>
      <c r="C622" s="5" t="s">
        <v>1186</v>
      </c>
      <c r="D622" s="2" t="s">
        <v>1187</v>
      </c>
    </row>
    <row r="623" spans="1:4" ht="13.05" customHeight="1" x14ac:dyDescent="0.3">
      <c r="A623" s="2" t="s">
        <v>224</v>
      </c>
      <c r="B623" s="2" t="s">
        <v>1018</v>
      </c>
      <c r="C623" s="5" t="s">
        <v>1161</v>
      </c>
      <c r="D623" s="2" t="s">
        <v>1173</v>
      </c>
    </row>
    <row r="624" spans="1:4" ht="13.05" customHeight="1" x14ac:dyDescent="0.3">
      <c r="A624" s="2" t="s">
        <v>224</v>
      </c>
      <c r="B624" s="2" t="s">
        <v>1018</v>
      </c>
      <c r="C624" s="5" t="s">
        <v>1174</v>
      </c>
      <c r="D624" s="2" t="s">
        <v>1175</v>
      </c>
    </row>
    <row r="625" spans="1:4" ht="13.05" customHeight="1" x14ac:dyDescent="0.3">
      <c r="A625" s="2" t="s">
        <v>224</v>
      </c>
      <c r="B625" s="2" t="s">
        <v>1018</v>
      </c>
      <c r="C625" s="5" t="s">
        <v>1176</v>
      </c>
      <c r="D625" s="2" t="s">
        <v>1177</v>
      </c>
    </row>
    <row r="626" spans="1:4" ht="13.05" customHeight="1" x14ac:dyDescent="0.3">
      <c r="A626" s="2" t="s">
        <v>224</v>
      </c>
      <c r="B626" s="2" t="s">
        <v>1018</v>
      </c>
      <c r="C626" s="5" t="s">
        <v>1178</v>
      </c>
      <c r="D626" s="2" t="s">
        <v>1179</v>
      </c>
    </row>
    <row r="627" spans="1:4" ht="13.05" customHeight="1" x14ac:dyDescent="0.3">
      <c r="A627" s="2" t="s">
        <v>224</v>
      </c>
      <c r="B627" s="2" t="s">
        <v>1018</v>
      </c>
      <c r="C627" s="5" t="s">
        <v>1180</v>
      </c>
      <c r="D627" s="2" t="s">
        <v>1181</v>
      </c>
    </row>
    <row r="628" spans="1:4" ht="13.05" customHeight="1" x14ac:dyDescent="0.3">
      <c r="A628" s="2" t="s">
        <v>224</v>
      </c>
      <c r="B628" s="2" t="s">
        <v>1018</v>
      </c>
      <c r="C628" s="5" t="s">
        <v>1182</v>
      </c>
      <c r="D628" s="2" t="s">
        <v>1183</v>
      </c>
    </row>
    <row r="629" spans="1:4" ht="13.05" customHeight="1" x14ac:dyDescent="0.3">
      <c r="A629" s="2" t="s">
        <v>224</v>
      </c>
      <c r="B629" s="2" t="s">
        <v>1018</v>
      </c>
      <c r="C629" s="5" t="s">
        <v>1184</v>
      </c>
      <c r="D629" s="2" t="s">
        <v>1185</v>
      </c>
    </row>
    <row r="630" spans="1:4" ht="13.05" customHeight="1" x14ac:dyDescent="0.3">
      <c r="A630" s="2" t="s">
        <v>224</v>
      </c>
      <c r="B630" s="2" t="s">
        <v>1018</v>
      </c>
      <c r="C630" s="5" t="s">
        <v>1186</v>
      </c>
      <c r="D630" s="2" t="s">
        <v>1187</v>
      </c>
    </row>
    <row r="631" spans="1:4" ht="13.05" customHeight="1" x14ac:dyDescent="0.3">
      <c r="A631" s="2" t="s">
        <v>228</v>
      </c>
      <c r="B631" s="2" t="s">
        <v>955</v>
      </c>
      <c r="C631" s="5" t="s">
        <v>974</v>
      </c>
      <c r="D631" s="2" t="s">
        <v>975</v>
      </c>
    </row>
    <row r="632" spans="1:4" ht="13.05" customHeight="1" x14ac:dyDescent="0.3">
      <c r="A632" s="2" t="s">
        <v>228</v>
      </c>
      <c r="B632" s="2" t="s">
        <v>955</v>
      </c>
      <c r="C632" s="5" t="s">
        <v>956</v>
      </c>
      <c r="D632" s="2" t="s">
        <v>957</v>
      </c>
    </row>
    <row r="633" spans="1:4" ht="13.05" customHeight="1" x14ac:dyDescent="0.3">
      <c r="A633" s="2" t="s">
        <v>228</v>
      </c>
      <c r="B633" s="2" t="s">
        <v>955</v>
      </c>
      <c r="C633" s="5" t="s">
        <v>958</v>
      </c>
      <c r="D633" s="2" t="s">
        <v>1019</v>
      </c>
    </row>
    <row r="634" spans="1:4" ht="13.05" customHeight="1" x14ac:dyDescent="0.3">
      <c r="A634" s="2" t="s">
        <v>228</v>
      </c>
      <c r="B634" s="2" t="s">
        <v>955</v>
      </c>
      <c r="C634" s="5" t="s">
        <v>962</v>
      </c>
      <c r="D634" s="2" t="s">
        <v>1188</v>
      </c>
    </row>
    <row r="635" spans="1:4" ht="13.05" customHeight="1" x14ac:dyDescent="0.3">
      <c r="A635" s="2" t="s">
        <v>228</v>
      </c>
      <c r="B635" s="2" t="s">
        <v>955</v>
      </c>
      <c r="C635" s="5" t="s">
        <v>964</v>
      </c>
      <c r="D635" s="2" t="s">
        <v>1189</v>
      </c>
    </row>
    <row r="636" spans="1:4" ht="13.05" customHeight="1" x14ac:dyDescent="0.3">
      <c r="A636" s="2" t="s">
        <v>228</v>
      </c>
      <c r="B636" s="2" t="s">
        <v>955</v>
      </c>
      <c r="C636" s="5" t="s">
        <v>966</v>
      </c>
      <c r="D636" s="2" t="s">
        <v>1190</v>
      </c>
    </row>
    <row r="637" spans="1:4" ht="13.05" customHeight="1" x14ac:dyDescent="0.3">
      <c r="A637" s="2" t="s">
        <v>228</v>
      </c>
      <c r="B637" s="2" t="s">
        <v>955</v>
      </c>
      <c r="C637" s="5" t="s">
        <v>968</v>
      </c>
      <c r="D637" s="2" t="s">
        <v>1191</v>
      </c>
    </row>
    <row r="638" spans="1:4" ht="13.05" customHeight="1" x14ac:dyDescent="0.3">
      <c r="A638" s="2" t="s">
        <v>228</v>
      </c>
      <c r="B638" s="2" t="s">
        <v>955</v>
      </c>
      <c r="C638" s="5" t="s">
        <v>970</v>
      </c>
      <c r="D638" s="2" t="s">
        <v>1192</v>
      </c>
    </row>
    <row r="639" spans="1:4" ht="13.05" customHeight="1" x14ac:dyDescent="0.3">
      <c r="A639" s="2" t="s">
        <v>231</v>
      </c>
      <c r="B639" s="2" t="s">
        <v>985</v>
      </c>
      <c r="C639" s="5" t="s">
        <v>974</v>
      </c>
      <c r="D639" s="2" t="s">
        <v>975</v>
      </c>
    </row>
    <row r="640" spans="1:4" ht="13.05" customHeight="1" x14ac:dyDescent="0.3">
      <c r="A640" s="2" t="s">
        <v>231</v>
      </c>
      <c r="B640" s="2" t="s">
        <v>985</v>
      </c>
      <c r="C640" s="5" t="s">
        <v>956</v>
      </c>
      <c r="D640" s="2" t="s">
        <v>1025</v>
      </c>
    </row>
    <row r="641" spans="1:4" ht="13.05" customHeight="1" x14ac:dyDescent="0.3">
      <c r="A641" s="2" t="s">
        <v>231</v>
      </c>
      <c r="B641" s="2" t="s">
        <v>985</v>
      </c>
      <c r="C641" s="5" t="s">
        <v>958</v>
      </c>
      <c r="D641" s="2" t="s">
        <v>1019</v>
      </c>
    </row>
    <row r="642" spans="1:4" ht="13.05" customHeight="1" x14ac:dyDescent="0.3">
      <c r="A642" s="2" t="s">
        <v>231</v>
      </c>
      <c r="B642" s="2" t="s">
        <v>985</v>
      </c>
      <c r="C642" s="5" t="s">
        <v>960</v>
      </c>
      <c r="D642" s="2" t="s">
        <v>961</v>
      </c>
    </row>
    <row r="643" spans="1:4" ht="13.05" customHeight="1" x14ac:dyDescent="0.3">
      <c r="A643" s="2" t="s">
        <v>231</v>
      </c>
      <c r="B643" s="2" t="s">
        <v>985</v>
      </c>
      <c r="C643" s="5" t="s">
        <v>962</v>
      </c>
      <c r="D643" s="2" t="s">
        <v>1193</v>
      </c>
    </row>
    <row r="644" spans="1:4" ht="13.05" customHeight="1" x14ac:dyDescent="0.3">
      <c r="A644" s="2" t="s">
        <v>231</v>
      </c>
      <c r="B644" s="2" t="s">
        <v>985</v>
      </c>
      <c r="C644" s="5" t="s">
        <v>964</v>
      </c>
      <c r="D644" s="2" t="s">
        <v>1194</v>
      </c>
    </row>
    <row r="645" spans="1:4" ht="13.05" customHeight="1" x14ac:dyDescent="0.3">
      <c r="A645" s="2" t="s">
        <v>231</v>
      </c>
      <c r="B645" s="2" t="s">
        <v>985</v>
      </c>
      <c r="C645" s="5" t="s">
        <v>966</v>
      </c>
      <c r="D645" s="2" t="s">
        <v>1195</v>
      </c>
    </row>
    <row r="646" spans="1:4" ht="13.05" customHeight="1" x14ac:dyDescent="0.3">
      <c r="A646" s="2" t="s">
        <v>231</v>
      </c>
      <c r="B646" s="2" t="s">
        <v>985</v>
      </c>
      <c r="C646" s="5" t="s">
        <v>968</v>
      </c>
      <c r="D646" s="2" t="s">
        <v>1196</v>
      </c>
    </row>
    <row r="647" spans="1:4" ht="13.05" customHeight="1" x14ac:dyDescent="0.3">
      <c r="A647" s="2" t="s">
        <v>231</v>
      </c>
      <c r="B647" s="2" t="s">
        <v>985</v>
      </c>
      <c r="C647" s="5" t="s">
        <v>983</v>
      </c>
      <c r="D647" s="2" t="s">
        <v>1151</v>
      </c>
    </row>
    <row r="648" spans="1:4" ht="13.05" customHeight="1" x14ac:dyDescent="0.3">
      <c r="A648" s="2" t="s">
        <v>234</v>
      </c>
      <c r="B648" s="2" t="s">
        <v>985</v>
      </c>
      <c r="C648" s="5" t="s">
        <v>960</v>
      </c>
      <c r="D648" s="2" t="s">
        <v>961</v>
      </c>
    </row>
    <row r="649" spans="1:4" ht="13.05" customHeight="1" x14ac:dyDescent="0.3">
      <c r="A649" s="2" t="s">
        <v>237</v>
      </c>
      <c r="B649" s="2" t="s">
        <v>1018</v>
      </c>
      <c r="C649" s="5" t="s">
        <v>1197</v>
      </c>
      <c r="D649" s="2" t="s">
        <v>1198</v>
      </c>
    </row>
    <row r="650" spans="1:4" ht="13.05" customHeight="1" x14ac:dyDescent="0.3">
      <c r="A650" s="2" t="s">
        <v>237</v>
      </c>
      <c r="B650" s="2" t="s">
        <v>1018</v>
      </c>
      <c r="C650" s="5" t="s">
        <v>1199</v>
      </c>
      <c r="D650" s="2" t="s">
        <v>1200</v>
      </c>
    </row>
    <row r="651" spans="1:4" ht="13.05" customHeight="1" x14ac:dyDescent="0.3">
      <c r="A651" s="2" t="s">
        <v>237</v>
      </c>
      <c r="B651" s="2" t="s">
        <v>1018</v>
      </c>
      <c r="C651" s="5" t="s">
        <v>1201</v>
      </c>
      <c r="D651" s="2" t="s">
        <v>1202</v>
      </c>
    </row>
    <row r="652" spans="1:4" ht="13.05" customHeight="1" x14ac:dyDescent="0.3">
      <c r="A652" s="2" t="s">
        <v>237</v>
      </c>
      <c r="B652" s="2" t="s">
        <v>1018</v>
      </c>
      <c r="C652" s="5" t="s">
        <v>1203</v>
      </c>
      <c r="D652" s="2" t="s">
        <v>1204</v>
      </c>
    </row>
    <row r="653" spans="1:4" ht="13.05" customHeight="1" x14ac:dyDescent="0.3">
      <c r="A653" s="2" t="s">
        <v>237</v>
      </c>
      <c r="B653" s="2" t="s">
        <v>1018</v>
      </c>
      <c r="C653" s="5" t="s">
        <v>1205</v>
      </c>
      <c r="D653" s="2" t="s">
        <v>1206</v>
      </c>
    </row>
    <row r="654" spans="1:4" ht="13.05" customHeight="1" x14ac:dyDescent="0.3">
      <c r="A654" s="2" t="s">
        <v>237</v>
      </c>
      <c r="B654" s="2" t="s">
        <v>1018</v>
      </c>
      <c r="C654" s="5" t="s">
        <v>1207</v>
      </c>
      <c r="D654" s="2" t="s">
        <v>1208</v>
      </c>
    </row>
    <row r="655" spans="1:4" ht="13.05" customHeight="1" x14ac:dyDescent="0.3">
      <c r="A655" s="2" t="s">
        <v>237</v>
      </c>
      <c r="B655" s="2" t="s">
        <v>1018</v>
      </c>
      <c r="C655" s="5" t="s">
        <v>1209</v>
      </c>
      <c r="D655" s="2" t="s">
        <v>1210</v>
      </c>
    </row>
    <row r="656" spans="1:4" ht="13.05" customHeight="1" x14ac:dyDescent="0.3">
      <c r="A656" s="2" t="s">
        <v>237</v>
      </c>
      <c r="B656" s="2" t="s">
        <v>1018</v>
      </c>
      <c r="C656" s="5" t="s">
        <v>1211</v>
      </c>
      <c r="D656" s="2" t="s">
        <v>1212</v>
      </c>
    </row>
    <row r="657" spans="1:4" ht="13.05" customHeight="1" x14ac:dyDescent="0.3">
      <c r="A657" s="2" t="s">
        <v>237</v>
      </c>
      <c r="B657" s="2" t="s">
        <v>1018</v>
      </c>
      <c r="C657" s="5" t="s">
        <v>1213</v>
      </c>
      <c r="D657" s="2" t="s">
        <v>1214</v>
      </c>
    </row>
    <row r="658" spans="1:4" ht="13.05" customHeight="1" x14ac:dyDescent="0.3">
      <c r="A658" s="2" t="s">
        <v>237</v>
      </c>
      <c r="B658" s="2" t="s">
        <v>1018</v>
      </c>
      <c r="C658" s="5" t="s">
        <v>1215</v>
      </c>
      <c r="D658" s="2" t="s">
        <v>1216</v>
      </c>
    </row>
    <row r="659" spans="1:4" ht="13.05" customHeight="1" x14ac:dyDescent="0.3">
      <c r="A659" s="2" t="s">
        <v>237</v>
      </c>
      <c r="B659" s="2" t="s">
        <v>1018</v>
      </c>
      <c r="C659" s="5" t="s">
        <v>1217</v>
      </c>
      <c r="D659" s="2" t="s">
        <v>1218</v>
      </c>
    </row>
    <row r="660" spans="1:4" ht="13.05" customHeight="1" x14ac:dyDescent="0.3">
      <c r="A660" s="2" t="s">
        <v>237</v>
      </c>
      <c r="B660" s="2" t="s">
        <v>1018</v>
      </c>
      <c r="C660" s="5" t="s">
        <v>1219</v>
      </c>
      <c r="D660" s="2" t="s">
        <v>1220</v>
      </c>
    </row>
    <row r="661" spans="1:4" ht="13.05" customHeight="1" x14ac:dyDescent="0.3">
      <c r="A661" s="2" t="s">
        <v>237</v>
      </c>
      <c r="B661" s="2" t="s">
        <v>1018</v>
      </c>
      <c r="C661" s="5" t="s">
        <v>1221</v>
      </c>
      <c r="D661" s="2" t="s">
        <v>1222</v>
      </c>
    </row>
    <row r="662" spans="1:4" ht="13.05" customHeight="1" x14ac:dyDescent="0.3">
      <c r="A662" s="2" t="s">
        <v>237</v>
      </c>
      <c r="B662" s="2" t="s">
        <v>1018</v>
      </c>
      <c r="C662" s="5" t="s">
        <v>1223</v>
      </c>
      <c r="D662" s="2" t="s">
        <v>1224</v>
      </c>
    </row>
    <row r="663" spans="1:4" ht="13.05" customHeight="1" x14ac:dyDescent="0.3">
      <c r="A663" s="2" t="s">
        <v>237</v>
      </c>
      <c r="B663" s="2" t="s">
        <v>1018</v>
      </c>
      <c r="C663" s="5" t="s">
        <v>1225</v>
      </c>
      <c r="D663" s="2" t="s">
        <v>1226</v>
      </c>
    </row>
    <row r="664" spans="1:4" ht="13.05" customHeight="1" x14ac:dyDescent="0.3">
      <c r="A664" s="2" t="s">
        <v>237</v>
      </c>
      <c r="B664" s="2" t="s">
        <v>1018</v>
      </c>
      <c r="C664" s="5" t="s">
        <v>1227</v>
      </c>
      <c r="D664" s="2" t="s">
        <v>1228</v>
      </c>
    </row>
    <row r="665" spans="1:4" ht="13.05" customHeight="1" x14ac:dyDescent="0.3">
      <c r="A665" s="2" t="s">
        <v>237</v>
      </c>
      <c r="B665" s="2" t="s">
        <v>1018</v>
      </c>
      <c r="C665" s="5" t="s">
        <v>1229</v>
      </c>
      <c r="D665" s="2" t="s">
        <v>1230</v>
      </c>
    </row>
    <row r="666" spans="1:4" ht="13.05" customHeight="1" x14ac:dyDescent="0.3">
      <c r="A666" s="2" t="s">
        <v>237</v>
      </c>
      <c r="B666" s="2" t="s">
        <v>1018</v>
      </c>
      <c r="C666" s="5" t="s">
        <v>1231</v>
      </c>
      <c r="D666" s="2" t="s">
        <v>1232</v>
      </c>
    </row>
    <row r="667" spans="1:4" ht="13.05" customHeight="1" x14ac:dyDescent="0.3">
      <c r="A667" s="2" t="s">
        <v>237</v>
      </c>
      <c r="B667" s="2" t="s">
        <v>1018</v>
      </c>
      <c r="C667" s="5" t="s">
        <v>1233</v>
      </c>
      <c r="D667" s="2" t="s">
        <v>1234</v>
      </c>
    </row>
    <row r="668" spans="1:4" ht="13.05" customHeight="1" x14ac:dyDescent="0.3">
      <c r="A668" s="2" t="s">
        <v>237</v>
      </c>
      <c r="B668" s="2" t="s">
        <v>1018</v>
      </c>
      <c r="C668" s="5" t="s">
        <v>1235</v>
      </c>
      <c r="D668" s="2" t="s">
        <v>1236</v>
      </c>
    </row>
    <row r="669" spans="1:4" ht="13.05" customHeight="1" x14ac:dyDescent="0.3">
      <c r="A669" s="2" t="s">
        <v>237</v>
      </c>
      <c r="B669" s="2" t="s">
        <v>1018</v>
      </c>
      <c r="C669" s="5" t="s">
        <v>1237</v>
      </c>
      <c r="D669" s="2" t="s">
        <v>1238</v>
      </c>
    </row>
    <row r="670" spans="1:4" ht="13.05" customHeight="1" x14ac:dyDescent="0.3">
      <c r="A670" s="2" t="s">
        <v>237</v>
      </c>
      <c r="B670" s="2" t="s">
        <v>1018</v>
      </c>
      <c r="C670" s="5" t="s">
        <v>1239</v>
      </c>
      <c r="D670" s="2" t="s">
        <v>1240</v>
      </c>
    </row>
    <row r="671" spans="1:4" ht="13.05" customHeight="1" x14ac:dyDescent="0.3">
      <c r="A671" s="2" t="s">
        <v>237</v>
      </c>
      <c r="B671" s="2" t="s">
        <v>1018</v>
      </c>
      <c r="C671" s="5" t="s">
        <v>1241</v>
      </c>
      <c r="D671" s="2" t="s">
        <v>1242</v>
      </c>
    </row>
    <row r="672" spans="1:4" ht="13.05" customHeight="1" x14ac:dyDescent="0.3">
      <c r="A672" s="2" t="s">
        <v>237</v>
      </c>
      <c r="B672" s="2" t="s">
        <v>1018</v>
      </c>
      <c r="C672" s="5" t="s">
        <v>1243</v>
      </c>
      <c r="D672" s="2" t="s">
        <v>1244</v>
      </c>
    </row>
    <row r="673" spans="1:4" ht="13.05" customHeight="1" x14ac:dyDescent="0.3">
      <c r="A673" s="2" t="s">
        <v>237</v>
      </c>
      <c r="B673" s="2" t="s">
        <v>1018</v>
      </c>
      <c r="C673" s="5" t="s">
        <v>1245</v>
      </c>
      <c r="D673" s="2" t="s">
        <v>1246</v>
      </c>
    </row>
    <row r="674" spans="1:4" ht="13.05" customHeight="1" x14ac:dyDescent="0.3">
      <c r="A674" s="2" t="s">
        <v>237</v>
      </c>
      <c r="B674" s="2" t="s">
        <v>1018</v>
      </c>
      <c r="C674" s="5" t="s">
        <v>1247</v>
      </c>
      <c r="D674" s="2" t="s">
        <v>1248</v>
      </c>
    </row>
    <row r="675" spans="1:4" ht="13.05" customHeight="1" x14ac:dyDescent="0.3">
      <c r="A675" s="2" t="s">
        <v>237</v>
      </c>
      <c r="B675" s="2" t="s">
        <v>1018</v>
      </c>
      <c r="C675" s="5" t="s">
        <v>1249</v>
      </c>
      <c r="D675" s="2" t="s">
        <v>1250</v>
      </c>
    </row>
    <row r="676" spans="1:4" ht="13.05" customHeight="1" x14ac:dyDescent="0.3">
      <c r="A676" s="2" t="s">
        <v>237</v>
      </c>
      <c r="B676" s="2" t="s">
        <v>1018</v>
      </c>
      <c r="C676" s="5" t="s">
        <v>1251</v>
      </c>
      <c r="D676" s="2" t="s">
        <v>1252</v>
      </c>
    </row>
    <row r="677" spans="1:4" ht="13.05" customHeight="1" x14ac:dyDescent="0.3">
      <c r="A677" s="2" t="s">
        <v>237</v>
      </c>
      <c r="B677" s="2" t="s">
        <v>1018</v>
      </c>
      <c r="C677" s="5" t="s">
        <v>1253</v>
      </c>
      <c r="D677" s="2" t="s">
        <v>1254</v>
      </c>
    </row>
    <row r="678" spans="1:4" ht="13.05" customHeight="1" x14ac:dyDescent="0.3">
      <c r="A678" s="2" t="s">
        <v>237</v>
      </c>
      <c r="B678" s="2" t="s">
        <v>1018</v>
      </c>
      <c r="C678" s="5" t="s">
        <v>1255</v>
      </c>
      <c r="D678" s="2" t="s">
        <v>1256</v>
      </c>
    </row>
    <row r="679" spans="1:4" ht="13.05" customHeight="1" x14ac:dyDescent="0.3">
      <c r="A679" s="2" t="s">
        <v>237</v>
      </c>
      <c r="B679" s="2" t="s">
        <v>1018</v>
      </c>
      <c r="C679" s="5" t="s">
        <v>1257</v>
      </c>
      <c r="D679" s="2" t="s">
        <v>1258</v>
      </c>
    </row>
    <row r="680" spans="1:4" ht="13.05" customHeight="1" x14ac:dyDescent="0.3">
      <c r="A680" s="2" t="s">
        <v>237</v>
      </c>
      <c r="B680" s="2" t="s">
        <v>1018</v>
      </c>
      <c r="C680" s="5" t="s">
        <v>1259</v>
      </c>
      <c r="D680" s="2" t="s">
        <v>1260</v>
      </c>
    </row>
    <row r="681" spans="1:4" ht="13.05" customHeight="1" x14ac:dyDescent="0.3">
      <c r="A681" s="2" t="s">
        <v>237</v>
      </c>
      <c r="B681" s="2" t="s">
        <v>1018</v>
      </c>
      <c r="C681" s="5" t="s">
        <v>1261</v>
      </c>
      <c r="D681" s="2" t="s">
        <v>1262</v>
      </c>
    </row>
    <row r="682" spans="1:4" ht="13.05" customHeight="1" x14ac:dyDescent="0.3">
      <c r="A682" s="2" t="s">
        <v>237</v>
      </c>
      <c r="B682" s="2" t="s">
        <v>1018</v>
      </c>
      <c r="C682" s="5" t="s">
        <v>1263</v>
      </c>
      <c r="D682" s="2" t="s">
        <v>1264</v>
      </c>
    </row>
    <row r="683" spans="1:4" ht="13.05" customHeight="1" x14ac:dyDescent="0.3">
      <c r="A683" s="2" t="s">
        <v>237</v>
      </c>
      <c r="B683" s="2" t="s">
        <v>1018</v>
      </c>
      <c r="C683" s="5" t="s">
        <v>1265</v>
      </c>
      <c r="D683" s="2" t="s">
        <v>1266</v>
      </c>
    </row>
    <row r="684" spans="1:4" ht="13.05" customHeight="1" x14ac:dyDescent="0.3">
      <c r="A684" s="2" t="s">
        <v>237</v>
      </c>
      <c r="B684" s="2" t="s">
        <v>1018</v>
      </c>
      <c r="C684" s="5" t="s">
        <v>1267</v>
      </c>
      <c r="D684" s="2" t="s">
        <v>1268</v>
      </c>
    </row>
    <row r="685" spans="1:4" ht="13.05" customHeight="1" x14ac:dyDescent="0.3">
      <c r="A685" s="2" t="s">
        <v>237</v>
      </c>
      <c r="B685" s="2" t="s">
        <v>1018</v>
      </c>
      <c r="C685" s="5" t="s">
        <v>1269</v>
      </c>
      <c r="D685" s="2" t="s">
        <v>1270</v>
      </c>
    </row>
    <row r="686" spans="1:4" ht="13.05" customHeight="1" x14ac:dyDescent="0.3">
      <c r="A686" s="2" t="s">
        <v>237</v>
      </c>
      <c r="B686" s="2" t="s">
        <v>1018</v>
      </c>
      <c r="C686" s="5" t="s">
        <v>1271</v>
      </c>
      <c r="D686" s="2" t="s">
        <v>1272</v>
      </c>
    </row>
    <row r="687" spans="1:4" ht="13.05" customHeight="1" x14ac:dyDescent="0.3">
      <c r="A687" s="2" t="s">
        <v>237</v>
      </c>
      <c r="B687" s="2" t="s">
        <v>1018</v>
      </c>
      <c r="C687" s="5" t="s">
        <v>1273</v>
      </c>
      <c r="D687" s="2" t="s">
        <v>1274</v>
      </c>
    </row>
    <row r="688" spans="1:4" ht="13.05" customHeight="1" x14ac:dyDescent="0.3">
      <c r="A688" s="2" t="s">
        <v>237</v>
      </c>
      <c r="B688" s="2" t="s">
        <v>1018</v>
      </c>
      <c r="C688" s="5" t="s">
        <v>1275</v>
      </c>
      <c r="D688" s="2" t="s">
        <v>1276</v>
      </c>
    </row>
    <row r="689" spans="1:4" ht="13.05" customHeight="1" x14ac:dyDescent="0.3">
      <c r="A689" s="2" t="s">
        <v>237</v>
      </c>
      <c r="B689" s="2" t="s">
        <v>1018</v>
      </c>
      <c r="C689" s="5" t="s">
        <v>1277</v>
      </c>
      <c r="D689" s="2" t="s">
        <v>1278</v>
      </c>
    </row>
    <row r="690" spans="1:4" ht="13.05" customHeight="1" x14ac:dyDescent="0.3">
      <c r="A690" s="2" t="s">
        <v>237</v>
      </c>
      <c r="B690" s="2" t="s">
        <v>1018</v>
      </c>
      <c r="C690" s="5" t="s">
        <v>1279</v>
      </c>
      <c r="D690" s="2" t="s">
        <v>1280</v>
      </c>
    </row>
    <row r="691" spans="1:4" ht="13.05" customHeight="1" x14ac:dyDescent="0.3">
      <c r="A691" s="2" t="s">
        <v>237</v>
      </c>
      <c r="B691" s="2" t="s">
        <v>1018</v>
      </c>
      <c r="C691" s="5" t="s">
        <v>1281</v>
      </c>
      <c r="D691" s="2" t="s">
        <v>1282</v>
      </c>
    </row>
    <row r="692" spans="1:4" ht="13.05" customHeight="1" x14ac:dyDescent="0.3">
      <c r="A692" s="2" t="s">
        <v>237</v>
      </c>
      <c r="B692" s="2" t="s">
        <v>1018</v>
      </c>
      <c r="C692" s="5" t="s">
        <v>1283</v>
      </c>
      <c r="D692" s="2" t="s">
        <v>1284</v>
      </c>
    </row>
    <row r="693" spans="1:4" ht="13.05" customHeight="1" x14ac:dyDescent="0.3">
      <c r="A693" s="2" t="s">
        <v>237</v>
      </c>
      <c r="B693" s="2" t="s">
        <v>1018</v>
      </c>
      <c r="C693" s="5" t="s">
        <v>1285</v>
      </c>
      <c r="D693" s="2" t="s">
        <v>1286</v>
      </c>
    </row>
    <row r="694" spans="1:4" ht="13.05" customHeight="1" x14ac:dyDescent="0.3">
      <c r="A694" s="2" t="s">
        <v>237</v>
      </c>
      <c r="B694" s="2" t="s">
        <v>1018</v>
      </c>
      <c r="C694" s="5" t="s">
        <v>1287</v>
      </c>
      <c r="D694" s="2" t="s">
        <v>1288</v>
      </c>
    </row>
    <row r="695" spans="1:4" ht="13.05" customHeight="1" x14ac:dyDescent="0.3">
      <c r="A695" s="2" t="s">
        <v>237</v>
      </c>
      <c r="B695" s="2" t="s">
        <v>1018</v>
      </c>
      <c r="C695" s="5" t="s">
        <v>1289</v>
      </c>
      <c r="D695" s="2" t="s">
        <v>1290</v>
      </c>
    </row>
    <row r="696" spans="1:4" ht="13.05" customHeight="1" x14ac:dyDescent="0.3">
      <c r="A696" s="2" t="s">
        <v>237</v>
      </c>
      <c r="B696" s="2" t="s">
        <v>1018</v>
      </c>
      <c r="C696" s="5" t="s">
        <v>1291</v>
      </c>
      <c r="D696" s="2" t="s">
        <v>1292</v>
      </c>
    </row>
    <row r="697" spans="1:4" ht="13.05" customHeight="1" x14ac:dyDescent="0.3">
      <c r="A697" s="2" t="s">
        <v>237</v>
      </c>
      <c r="B697" s="2" t="s">
        <v>1018</v>
      </c>
      <c r="C697" s="5" t="s">
        <v>1293</v>
      </c>
      <c r="D697" s="2" t="s">
        <v>1294</v>
      </c>
    </row>
    <row r="698" spans="1:4" ht="13.05" customHeight="1" x14ac:dyDescent="0.3">
      <c r="A698" s="2" t="s">
        <v>237</v>
      </c>
      <c r="B698" s="2" t="s">
        <v>1018</v>
      </c>
      <c r="C698" s="5" t="s">
        <v>1295</v>
      </c>
      <c r="D698" s="2" t="s">
        <v>1296</v>
      </c>
    </row>
    <row r="699" spans="1:4" ht="13.05" customHeight="1" x14ac:dyDescent="0.3">
      <c r="A699" s="2" t="s">
        <v>237</v>
      </c>
      <c r="B699" s="2" t="s">
        <v>1018</v>
      </c>
      <c r="C699" s="5" t="s">
        <v>1297</v>
      </c>
      <c r="D699" s="2" t="s">
        <v>1298</v>
      </c>
    </row>
    <row r="700" spans="1:4" ht="13.05" customHeight="1" x14ac:dyDescent="0.3">
      <c r="A700" s="2" t="s">
        <v>237</v>
      </c>
      <c r="B700" s="2" t="s">
        <v>1018</v>
      </c>
      <c r="C700" s="5" t="s">
        <v>1299</v>
      </c>
      <c r="D700" s="2" t="s">
        <v>1300</v>
      </c>
    </row>
    <row r="701" spans="1:4" ht="13.05" customHeight="1" x14ac:dyDescent="0.3">
      <c r="A701" s="2" t="s">
        <v>237</v>
      </c>
      <c r="B701" s="2" t="s">
        <v>1018</v>
      </c>
      <c r="C701" s="5" t="s">
        <v>1301</v>
      </c>
      <c r="D701" s="2" t="s">
        <v>1302</v>
      </c>
    </row>
    <row r="702" spans="1:4" ht="13.05" customHeight="1" x14ac:dyDescent="0.3">
      <c r="A702" s="2" t="s">
        <v>237</v>
      </c>
      <c r="B702" s="2" t="s">
        <v>1018</v>
      </c>
      <c r="C702" s="5" t="s">
        <v>1303</v>
      </c>
      <c r="D702" s="2" t="s">
        <v>1304</v>
      </c>
    </row>
    <row r="703" spans="1:4" ht="13.05" customHeight="1" x14ac:dyDescent="0.3">
      <c r="A703" s="2" t="s">
        <v>237</v>
      </c>
      <c r="B703" s="2" t="s">
        <v>1018</v>
      </c>
      <c r="C703" s="5" t="s">
        <v>1305</v>
      </c>
      <c r="D703" s="2" t="s">
        <v>1306</v>
      </c>
    </row>
    <row r="704" spans="1:4" ht="13.05" customHeight="1" x14ac:dyDescent="0.3">
      <c r="A704" s="2" t="s">
        <v>237</v>
      </c>
      <c r="B704" s="2" t="s">
        <v>1018</v>
      </c>
      <c r="C704" s="5" t="s">
        <v>1307</v>
      </c>
      <c r="D704" s="2" t="s">
        <v>1308</v>
      </c>
    </row>
    <row r="705" spans="1:4" ht="13.05" customHeight="1" x14ac:dyDescent="0.3">
      <c r="A705" s="2" t="s">
        <v>237</v>
      </c>
      <c r="B705" s="2" t="s">
        <v>1018</v>
      </c>
      <c r="C705" s="5" t="s">
        <v>1309</v>
      </c>
      <c r="D705" s="2" t="s">
        <v>1310</v>
      </c>
    </row>
    <row r="706" spans="1:4" ht="13.05" customHeight="1" x14ac:dyDescent="0.3">
      <c r="A706" s="2" t="s">
        <v>237</v>
      </c>
      <c r="B706" s="2" t="s">
        <v>1018</v>
      </c>
      <c r="C706" s="5" t="s">
        <v>1311</v>
      </c>
      <c r="D706" s="2" t="s">
        <v>1312</v>
      </c>
    </row>
    <row r="707" spans="1:4" ht="13.05" customHeight="1" x14ac:dyDescent="0.3">
      <c r="A707" s="2" t="s">
        <v>237</v>
      </c>
      <c r="B707" s="2" t="s">
        <v>1018</v>
      </c>
      <c r="C707" s="5" t="s">
        <v>1313</v>
      </c>
      <c r="D707" s="2" t="s">
        <v>1314</v>
      </c>
    </row>
    <row r="708" spans="1:4" ht="13.05" customHeight="1" x14ac:dyDescent="0.3">
      <c r="A708" s="2" t="s">
        <v>237</v>
      </c>
      <c r="B708" s="2" t="s">
        <v>1018</v>
      </c>
      <c r="C708" s="5" t="s">
        <v>1315</v>
      </c>
      <c r="D708" s="2" t="s">
        <v>1316</v>
      </c>
    </row>
    <row r="709" spans="1:4" ht="13.05" customHeight="1" x14ac:dyDescent="0.3">
      <c r="A709" s="2" t="s">
        <v>237</v>
      </c>
      <c r="B709" s="2" t="s">
        <v>1018</v>
      </c>
      <c r="C709" s="5" t="s">
        <v>1317</v>
      </c>
      <c r="D709" s="2" t="s">
        <v>1318</v>
      </c>
    </row>
    <row r="710" spans="1:4" ht="13.05" customHeight="1" x14ac:dyDescent="0.3">
      <c r="A710" s="2" t="s">
        <v>237</v>
      </c>
      <c r="B710" s="2" t="s">
        <v>1018</v>
      </c>
      <c r="C710" s="5" t="s">
        <v>1319</v>
      </c>
      <c r="D710" s="2" t="s">
        <v>1320</v>
      </c>
    </row>
    <row r="711" spans="1:4" ht="13.05" customHeight="1" x14ac:dyDescent="0.3">
      <c r="A711" s="2" t="s">
        <v>237</v>
      </c>
      <c r="B711" s="2" t="s">
        <v>1018</v>
      </c>
      <c r="C711" s="5" t="s">
        <v>1321</v>
      </c>
      <c r="D711" s="2" t="s">
        <v>1322</v>
      </c>
    </row>
    <row r="712" spans="1:4" ht="13.05" customHeight="1" x14ac:dyDescent="0.3">
      <c r="A712" s="2" t="s">
        <v>237</v>
      </c>
      <c r="B712" s="2" t="s">
        <v>1018</v>
      </c>
      <c r="C712" s="5" t="s">
        <v>1323</v>
      </c>
      <c r="D712" s="2" t="s">
        <v>1324</v>
      </c>
    </row>
    <row r="713" spans="1:4" ht="13.05" customHeight="1" x14ac:dyDescent="0.3">
      <c r="A713" s="2" t="s">
        <v>237</v>
      </c>
      <c r="B713" s="2" t="s">
        <v>1018</v>
      </c>
      <c r="C713" s="5" t="s">
        <v>1325</v>
      </c>
      <c r="D713" s="2" t="s">
        <v>1326</v>
      </c>
    </row>
    <row r="714" spans="1:4" ht="13.05" customHeight="1" x14ac:dyDescent="0.3">
      <c r="A714" s="2" t="s">
        <v>237</v>
      </c>
      <c r="B714" s="2" t="s">
        <v>1018</v>
      </c>
      <c r="C714" s="5" t="s">
        <v>1327</v>
      </c>
      <c r="D714" s="2" t="s">
        <v>1328</v>
      </c>
    </row>
    <row r="715" spans="1:4" ht="13.05" customHeight="1" x14ac:dyDescent="0.3">
      <c r="A715" s="2" t="s">
        <v>237</v>
      </c>
      <c r="B715" s="2" t="s">
        <v>1018</v>
      </c>
      <c r="C715" s="5" t="s">
        <v>1329</v>
      </c>
      <c r="D715" s="2" t="s">
        <v>1330</v>
      </c>
    </row>
    <row r="716" spans="1:4" ht="13.05" customHeight="1" x14ac:dyDescent="0.3">
      <c r="A716" s="2" t="s">
        <v>237</v>
      </c>
      <c r="B716" s="2" t="s">
        <v>1018</v>
      </c>
      <c r="C716" s="5" t="s">
        <v>1331</v>
      </c>
      <c r="D716" s="2" t="s">
        <v>1332</v>
      </c>
    </row>
    <row r="717" spans="1:4" ht="13.05" customHeight="1" x14ac:dyDescent="0.3">
      <c r="A717" s="2" t="s">
        <v>237</v>
      </c>
      <c r="B717" s="2" t="s">
        <v>1018</v>
      </c>
      <c r="C717" s="5" t="s">
        <v>1333</v>
      </c>
      <c r="D717" s="2" t="s">
        <v>1334</v>
      </c>
    </row>
    <row r="718" spans="1:4" ht="13.05" customHeight="1" x14ac:dyDescent="0.3">
      <c r="A718" s="2" t="s">
        <v>237</v>
      </c>
      <c r="B718" s="2" t="s">
        <v>1018</v>
      </c>
      <c r="C718" s="5" t="s">
        <v>1335</v>
      </c>
      <c r="D718" s="2" t="s">
        <v>1336</v>
      </c>
    </row>
    <row r="719" spans="1:4" ht="13.05" customHeight="1" x14ac:dyDescent="0.3">
      <c r="A719" s="2" t="s">
        <v>237</v>
      </c>
      <c r="B719" s="2" t="s">
        <v>1018</v>
      </c>
      <c r="C719" s="5" t="s">
        <v>1337</v>
      </c>
      <c r="D719" s="2" t="s">
        <v>1338</v>
      </c>
    </row>
    <row r="720" spans="1:4" ht="13.05" customHeight="1" x14ac:dyDescent="0.3">
      <c r="A720" s="2" t="s">
        <v>237</v>
      </c>
      <c r="B720" s="2" t="s">
        <v>1018</v>
      </c>
      <c r="C720" s="5" t="s">
        <v>1339</v>
      </c>
      <c r="D720" s="2" t="s">
        <v>1340</v>
      </c>
    </row>
    <row r="721" spans="1:4" ht="13.05" customHeight="1" x14ac:dyDescent="0.3">
      <c r="A721" s="2" t="s">
        <v>237</v>
      </c>
      <c r="B721" s="2" t="s">
        <v>1018</v>
      </c>
      <c r="C721" s="5" t="s">
        <v>1341</v>
      </c>
      <c r="D721" s="2" t="s">
        <v>1342</v>
      </c>
    </row>
    <row r="722" spans="1:4" ht="13.05" customHeight="1" x14ac:dyDescent="0.3">
      <c r="A722" s="2" t="s">
        <v>237</v>
      </c>
      <c r="B722" s="2" t="s">
        <v>1018</v>
      </c>
      <c r="C722" s="5" t="s">
        <v>1343</v>
      </c>
      <c r="D722" s="2" t="s">
        <v>1344</v>
      </c>
    </row>
    <row r="723" spans="1:4" ht="13.05" customHeight="1" x14ac:dyDescent="0.3">
      <c r="A723" s="2" t="s">
        <v>237</v>
      </c>
      <c r="B723" s="2" t="s">
        <v>1018</v>
      </c>
      <c r="C723" s="5" t="s">
        <v>1345</v>
      </c>
      <c r="D723" s="2" t="s">
        <v>1346</v>
      </c>
    </row>
    <row r="724" spans="1:4" ht="13.05" customHeight="1" x14ac:dyDescent="0.3">
      <c r="A724" s="2" t="s">
        <v>237</v>
      </c>
      <c r="B724" s="2" t="s">
        <v>1018</v>
      </c>
      <c r="C724" s="5" t="s">
        <v>1347</v>
      </c>
      <c r="D724" s="2" t="s">
        <v>1348</v>
      </c>
    </row>
    <row r="725" spans="1:4" ht="13.05" customHeight="1" x14ac:dyDescent="0.3">
      <c r="A725" s="2" t="s">
        <v>237</v>
      </c>
      <c r="B725" s="2" t="s">
        <v>1018</v>
      </c>
      <c r="C725" s="5" t="s">
        <v>1349</v>
      </c>
      <c r="D725" s="2" t="s">
        <v>1350</v>
      </c>
    </row>
    <row r="726" spans="1:4" ht="13.05" customHeight="1" x14ac:dyDescent="0.3">
      <c r="A726" s="2" t="s">
        <v>237</v>
      </c>
      <c r="B726" s="2" t="s">
        <v>1018</v>
      </c>
      <c r="C726" s="5" t="s">
        <v>1351</v>
      </c>
      <c r="D726" s="2" t="s">
        <v>1352</v>
      </c>
    </row>
    <row r="727" spans="1:4" ht="13.05" customHeight="1" x14ac:dyDescent="0.3">
      <c r="A727" s="2" t="s">
        <v>237</v>
      </c>
      <c r="B727" s="2" t="s">
        <v>1018</v>
      </c>
      <c r="C727" s="5" t="s">
        <v>1353</v>
      </c>
      <c r="D727" s="2" t="s">
        <v>1354</v>
      </c>
    </row>
    <row r="728" spans="1:4" ht="13.05" customHeight="1" x14ac:dyDescent="0.3">
      <c r="A728" s="2" t="s">
        <v>237</v>
      </c>
      <c r="B728" s="2" t="s">
        <v>1018</v>
      </c>
      <c r="C728" s="5" t="s">
        <v>1355</v>
      </c>
      <c r="D728" s="2" t="s">
        <v>1356</v>
      </c>
    </row>
    <row r="729" spans="1:4" ht="13.05" customHeight="1" x14ac:dyDescent="0.3">
      <c r="A729" s="2" t="s">
        <v>237</v>
      </c>
      <c r="B729" s="2" t="s">
        <v>1018</v>
      </c>
      <c r="C729" s="5" t="s">
        <v>1357</v>
      </c>
      <c r="D729" s="2" t="s">
        <v>1358</v>
      </c>
    </row>
    <row r="730" spans="1:4" ht="13.05" customHeight="1" x14ac:dyDescent="0.3">
      <c r="A730" s="2" t="s">
        <v>237</v>
      </c>
      <c r="B730" s="2" t="s">
        <v>1018</v>
      </c>
      <c r="C730" s="5" t="s">
        <v>1359</v>
      </c>
      <c r="D730" s="2" t="s">
        <v>1360</v>
      </c>
    </row>
    <row r="731" spans="1:4" ht="13.05" customHeight="1" x14ac:dyDescent="0.3">
      <c r="A731" s="2" t="s">
        <v>237</v>
      </c>
      <c r="B731" s="2" t="s">
        <v>1018</v>
      </c>
      <c r="C731" s="5" t="s">
        <v>1361</v>
      </c>
      <c r="D731" s="2" t="s">
        <v>1362</v>
      </c>
    </row>
    <row r="732" spans="1:4" ht="13.05" customHeight="1" x14ac:dyDescent="0.3">
      <c r="A732" s="2" t="s">
        <v>237</v>
      </c>
      <c r="B732" s="2" t="s">
        <v>1018</v>
      </c>
      <c r="C732" s="5" t="s">
        <v>1363</v>
      </c>
      <c r="D732" s="2" t="s">
        <v>1364</v>
      </c>
    </row>
    <row r="733" spans="1:4" ht="13.05" customHeight="1" x14ac:dyDescent="0.3">
      <c r="A733" s="2" t="s">
        <v>237</v>
      </c>
      <c r="B733" s="2" t="s">
        <v>1018</v>
      </c>
      <c r="C733" s="5" t="s">
        <v>1365</v>
      </c>
      <c r="D733" s="2" t="s">
        <v>1366</v>
      </c>
    </row>
    <row r="734" spans="1:4" ht="13.05" customHeight="1" x14ac:dyDescent="0.3">
      <c r="A734" s="2" t="s">
        <v>237</v>
      </c>
      <c r="B734" s="2" t="s">
        <v>1018</v>
      </c>
      <c r="C734" s="5" t="s">
        <v>1367</v>
      </c>
      <c r="D734" s="2" t="s">
        <v>1368</v>
      </c>
    </row>
    <row r="735" spans="1:4" ht="13.05" customHeight="1" x14ac:dyDescent="0.3">
      <c r="A735" s="2" t="s">
        <v>237</v>
      </c>
      <c r="B735" s="2" t="s">
        <v>1018</v>
      </c>
      <c r="C735" s="5" t="s">
        <v>1369</v>
      </c>
      <c r="D735" s="2" t="s">
        <v>1370</v>
      </c>
    </row>
    <row r="736" spans="1:4" ht="13.05" customHeight="1" x14ac:dyDescent="0.3">
      <c r="A736" s="2" t="s">
        <v>237</v>
      </c>
      <c r="B736" s="2" t="s">
        <v>1018</v>
      </c>
      <c r="C736" s="5" t="s">
        <v>1371</v>
      </c>
      <c r="D736" s="2" t="s">
        <v>1372</v>
      </c>
    </row>
    <row r="737" spans="1:4" ht="13.05" customHeight="1" x14ac:dyDescent="0.3">
      <c r="A737" s="2" t="s">
        <v>237</v>
      </c>
      <c r="B737" s="2" t="s">
        <v>1018</v>
      </c>
      <c r="C737" s="5" t="s">
        <v>1373</v>
      </c>
      <c r="D737" s="2" t="s">
        <v>1374</v>
      </c>
    </row>
    <row r="738" spans="1:4" ht="13.05" customHeight="1" x14ac:dyDescent="0.3">
      <c r="A738" s="2" t="s">
        <v>237</v>
      </c>
      <c r="B738" s="2" t="s">
        <v>1018</v>
      </c>
      <c r="C738" s="5" t="s">
        <v>1375</v>
      </c>
      <c r="D738" s="2" t="s">
        <v>1376</v>
      </c>
    </row>
    <row r="739" spans="1:4" ht="13.05" customHeight="1" x14ac:dyDescent="0.3">
      <c r="A739" s="2" t="s">
        <v>237</v>
      </c>
      <c r="B739" s="2" t="s">
        <v>1018</v>
      </c>
      <c r="C739" s="5" t="s">
        <v>1377</v>
      </c>
      <c r="D739" s="2" t="s">
        <v>1378</v>
      </c>
    </row>
    <row r="740" spans="1:4" ht="13.05" customHeight="1" x14ac:dyDescent="0.3">
      <c r="A740" s="2" t="s">
        <v>237</v>
      </c>
      <c r="B740" s="2" t="s">
        <v>1018</v>
      </c>
      <c r="C740" s="5" t="s">
        <v>1379</v>
      </c>
      <c r="D740" s="2" t="s">
        <v>1380</v>
      </c>
    </row>
    <row r="741" spans="1:4" ht="13.05" customHeight="1" x14ac:dyDescent="0.3">
      <c r="A741" s="2" t="s">
        <v>237</v>
      </c>
      <c r="B741" s="2" t="s">
        <v>1018</v>
      </c>
      <c r="C741" s="5" t="s">
        <v>1381</v>
      </c>
      <c r="D741" s="2" t="s">
        <v>1382</v>
      </c>
    </row>
    <row r="742" spans="1:4" ht="13.05" customHeight="1" x14ac:dyDescent="0.3">
      <c r="A742" s="2" t="s">
        <v>237</v>
      </c>
      <c r="B742" s="2" t="s">
        <v>1018</v>
      </c>
      <c r="C742" s="5" t="s">
        <v>1383</v>
      </c>
      <c r="D742" s="2" t="s">
        <v>1384</v>
      </c>
    </row>
    <row r="743" spans="1:4" ht="13.05" customHeight="1" x14ac:dyDescent="0.3">
      <c r="A743" s="2" t="s">
        <v>237</v>
      </c>
      <c r="B743" s="2" t="s">
        <v>1018</v>
      </c>
      <c r="C743" s="5" t="s">
        <v>1385</v>
      </c>
      <c r="D743" s="2" t="s">
        <v>1386</v>
      </c>
    </row>
    <row r="744" spans="1:4" ht="13.05" customHeight="1" x14ac:dyDescent="0.3">
      <c r="A744" s="2" t="s">
        <v>237</v>
      </c>
      <c r="B744" s="2" t="s">
        <v>1018</v>
      </c>
      <c r="C744" s="5" t="s">
        <v>1387</v>
      </c>
      <c r="D744" s="2" t="s">
        <v>1388</v>
      </c>
    </row>
    <row r="745" spans="1:4" ht="13.05" customHeight="1" x14ac:dyDescent="0.3">
      <c r="A745" s="2" t="s">
        <v>237</v>
      </c>
      <c r="B745" s="2" t="s">
        <v>1018</v>
      </c>
      <c r="C745" s="5" t="s">
        <v>1389</v>
      </c>
      <c r="D745" s="2" t="s">
        <v>1390</v>
      </c>
    </row>
    <row r="746" spans="1:4" ht="13.05" customHeight="1" x14ac:dyDescent="0.3">
      <c r="A746" s="2" t="s">
        <v>237</v>
      </c>
      <c r="B746" s="2" t="s">
        <v>1018</v>
      </c>
      <c r="C746" s="5" t="s">
        <v>1391</v>
      </c>
      <c r="D746" s="2" t="s">
        <v>1392</v>
      </c>
    </row>
    <row r="747" spans="1:4" ht="13.05" customHeight="1" x14ac:dyDescent="0.3">
      <c r="A747" s="2" t="s">
        <v>237</v>
      </c>
      <c r="B747" s="2" t="s">
        <v>1018</v>
      </c>
      <c r="C747" s="5" t="s">
        <v>1393</v>
      </c>
      <c r="D747" s="2" t="s">
        <v>1394</v>
      </c>
    </row>
    <row r="748" spans="1:4" ht="13.05" customHeight="1" x14ac:dyDescent="0.3">
      <c r="A748" s="2" t="s">
        <v>237</v>
      </c>
      <c r="B748" s="2" t="s">
        <v>1018</v>
      </c>
      <c r="C748" s="5" t="s">
        <v>1395</v>
      </c>
      <c r="D748" s="2" t="s">
        <v>1396</v>
      </c>
    </row>
    <row r="749" spans="1:4" ht="13.05" customHeight="1" x14ac:dyDescent="0.3">
      <c r="A749" s="2" t="s">
        <v>237</v>
      </c>
      <c r="B749" s="2" t="s">
        <v>1018</v>
      </c>
      <c r="C749" s="5" t="s">
        <v>1397</v>
      </c>
      <c r="D749" s="2" t="s">
        <v>1398</v>
      </c>
    </row>
    <row r="750" spans="1:4" ht="13.05" customHeight="1" x14ac:dyDescent="0.3">
      <c r="A750" s="2" t="s">
        <v>237</v>
      </c>
      <c r="B750" s="2" t="s">
        <v>1018</v>
      </c>
      <c r="C750" s="5" t="s">
        <v>1399</v>
      </c>
      <c r="D750" s="2" t="s">
        <v>1400</v>
      </c>
    </row>
    <row r="751" spans="1:4" ht="13.05" customHeight="1" x14ac:dyDescent="0.3">
      <c r="A751" s="2" t="s">
        <v>237</v>
      </c>
      <c r="B751" s="2" t="s">
        <v>1018</v>
      </c>
      <c r="C751" s="5" t="s">
        <v>1401</v>
      </c>
      <c r="D751" s="2" t="s">
        <v>1402</v>
      </c>
    </row>
    <row r="752" spans="1:4" ht="13.05" customHeight="1" x14ac:dyDescent="0.3">
      <c r="A752" s="2" t="s">
        <v>237</v>
      </c>
      <c r="B752" s="2" t="s">
        <v>1018</v>
      </c>
      <c r="C752" s="5" t="s">
        <v>1403</v>
      </c>
      <c r="D752" s="2" t="s">
        <v>1404</v>
      </c>
    </row>
    <row r="753" spans="1:4" ht="13.05" customHeight="1" x14ac:dyDescent="0.3">
      <c r="A753" s="2" t="s">
        <v>237</v>
      </c>
      <c r="B753" s="2" t="s">
        <v>1018</v>
      </c>
      <c r="C753" s="5" t="s">
        <v>1405</v>
      </c>
      <c r="D753" s="2" t="s">
        <v>1406</v>
      </c>
    </row>
    <row r="754" spans="1:4" ht="13.05" customHeight="1" x14ac:dyDescent="0.3">
      <c r="A754" s="2" t="s">
        <v>237</v>
      </c>
      <c r="B754" s="2" t="s">
        <v>1018</v>
      </c>
      <c r="C754" s="5" t="s">
        <v>1407</v>
      </c>
      <c r="D754" s="2" t="s">
        <v>1408</v>
      </c>
    </row>
    <row r="755" spans="1:4" ht="13.05" customHeight="1" x14ac:dyDescent="0.3">
      <c r="A755" s="2" t="s">
        <v>237</v>
      </c>
      <c r="B755" s="2" t="s">
        <v>1018</v>
      </c>
      <c r="C755" s="5" t="s">
        <v>1409</v>
      </c>
      <c r="D755" s="2" t="s">
        <v>1410</v>
      </c>
    </row>
    <row r="756" spans="1:4" ht="13.05" customHeight="1" x14ac:dyDescent="0.3">
      <c r="A756" s="2" t="s">
        <v>237</v>
      </c>
      <c r="B756" s="2" t="s">
        <v>1018</v>
      </c>
      <c r="C756" s="5" t="s">
        <v>1411</v>
      </c>
      <c r="D756" s="2" t="s">
        <v>1412</v>
      </c>
    </row>
    <row r="757" spans="1:4" ht="13.05" customHeight="1" x14ac:dyDescent="0.3">
      <c r="A757" s="2" t="s">
        <v>237</v>
      </c>
      <c r="B757" s="2" t="s">
        <v>1018</v>
      </c>
      <c r="C757" s="5" t="s">
        <v>1413</v>
      </c>
      <c r="D757" s="2" t="s">
        <v>1414</v>
      </c>
    </row>
    <row r="758" spans="1:4" ht="13.05" customHeight="1" x14ac:dyDescent="0.3">
      <c r="A758" s="2" t="s">
        <v>237</v>
      </c>
      <c r="B758" s="2" t="s">
        <v>1018</v>
      </c>
      <c r="C758" s="5" t="s">
        <v>1415</v>
      </c>
      <c r="D758" s="2" t="s">
        <v>1416</v>
      </c>
    </row>
    <row r="759" spans="1:4" ht="13.05" customHeight="1" x14ac:dyDescent="0.3">
      <c r="A759" s="2" t="s">
        <v>237</v>
      </c>
      <c r="B759" s="2" t="s">
        <v>1018</v>
      </c>
      <c r="C759" s="5" t="s">
        <v>1417</v>
      </c>
      <c r="D759" s="2" t="s">
        <v>1418</v>
      </c>
    </row>
    <row r="760" spans="1:4" ht="13.05" customHeight="1" x14ac:dyDescent="0.3">
      <c r="A760" s="2" t="s">
        <v>237</v>
      </c>
      <c r="B760" s="2" t="s">
        <v>1018</v>
      </c>
      <c r="C760" s="5" t="s">
        <v>1419</v>
      </c>
      <c r="D760" s="2" t="s">
        <v>1420</v>
      </c>
    </row>
    <row r="761" spans="1:4" ht="13.05" customHeight="1" x14ac:dyDescent="0.3">
      <c r="A761" s="2" t="s">
        <v>237</v>
      </c>
      <c r="B761" s="2" t="s">
        <v>1018</v>
      </c>
      <c r="C761" s="5" t="s">
        <v>1421</v>
      </c>
      <c r="D761" s="2" t="s">
        <v>1422</v>
      </c>
    </row>
    <row r="762" spans="1:4" ht="13.05" customHeight="1" x14ac:dyDescent="0.3">
      <c r="A762" s="2" t="s">
        <v>237</v>
      </c>
      <c r="B762" s="2" t="s">
        <v>1018</v>
      </c>
      <c r="C762" s="5" t="s">
        <v>1423</v>
      </c>
      <c r="D762" s="2" t="s">
        <v>1424</v>
      </c>
    </row>
    <row r="763" spans="1:4" ht="13.05" customHeight="1" x14ac:dyDescent="0.3">
      <c r="A763" s="2" t="s">
        <v>237</v>
      </c>
      <c r="B763" s="2" t="s">
        <v>1018</v>
      </c>
      <c r="C763" s="5" t="s">
        <v>1425</v>
      </c>
      <c r="D763" s="2" t="s">
        <v>1426</v>
      </c>
    </row>
    <row r="764" spans="1:4" ht="13.05" customHeight="1" x14ac:dyDescent="0.3">
      <c r="A764" s="2" t="s">
        <v>237</v>
      </c>
      <c r="B764" s="2" t="s">
        <v>1018</v>
      </c>
      <c r="C764" s="5" t="s">
        <v>1427</v>
      </c>
      <c r="D764" s="2" t="s">
        <v>1428</v>
      </c>
    </row>
    <row r="765" spans="1:4" ht="13.05" customHeight="1" x14ac:dyDescent="0.3">
      <c r="A765" s="2" t="s">
        <v>237</v>
      </c>
      <c r="B765" s="2" t="s">
        <v>1018</v>
      </c>
      <c r="C765" s="5" t="s">
        <v>1429</v>
      </c>
      <c r="D765" s="2" t="s">
        <v>1430</v>
      </c>
    </row>
    <row r="766" spans="1:4" ht="13.05" customHeight="1" x14ac:dyDescent="0.3">
      <c r="A766" s="2" t="s">
        <v>237</v>
      </c>
      <c r="B766" s="2" t="s">
        <v>1018</v>
      </c>
      <c r="C766" s="5" t="s">
        <v>1431</v>
      </c>
      <c r="D766" s="2" t="s">
        <v>1432</v>
      </c>
    </row>
    <row r="767" spans="1:4" ht="13.05" customHeight="1" x14ac:dyDescent="0.3">
      <c r="A767" s="2" t="s">
        <v>237</v>
      </c>
      <c r="B767" s="2" t="s">
        <v>1018</v>
      </c>
      <c r="C767" s="5" t="s">
        <v>1433</v>
      </c>
      <c r="D767" s="2" t="s">
        <v>1434</v>
      </c>
    </row>
    <row r="768" spans="1:4" ht="13.05" customHeight="1" x14ac:dyDescent="0.3">
      <c r="A768" s="2" t="s">
        <v>237</v>
      </c>
      <c r="B768" s="2" t="s">
        <v>1018</v>
      </c>
      <c r="C768" s="5" t="s">
        <v>1435</v>
      </c>
      <c r="D768" s="2" t="s">
        <v>1436</v>
      </c>
    </row>
    <row r="769" spans="1:4" ht="13.05" customHeight="1" x14ac:dyDescent="0.3">
      <c r="A769" s="2" t="s">
        <v>237</v>
      </c>
      <c r="B769" s="2" t="s">
        <v>1018</v>
      </c>
      <c r="C769" s="5" t="s">
        <v>1437</v>
      </c>
      <c r="D769" s="2" t="s">
        <v>1438</v>
      </c>
    </row>
    <row r="770" spans="1:4" ht="13.05" customHeight="1" x14ac:dyDescent="0.3">
      <c r="A770" s="2" t="s">
        <v>237</v>
      </c>
      <c r="B770" s="2" t="s">
        <v>1018</v>
      </c>
      <c r="C770" s="5" t="s">
        <v>1439</v>
      </c>
      <c r="D770" s="2" t="s">
        <v>1440</v>
      </c>
    </row>
    <row r="771" spans="1:4" ht="13.05" customHeight="1" x14ac:dyDescent="0.3">
      <c r="A771" s="2" t="s">
        <v>237</v>
      </c>
      <c r="B771" s="2" t="s">
        <v>1018</v>
      </c>
      <c r="C771" s="5" t="s">
        <v>1441</v>
      </c>
      <c r="D771" s="2" t="s">
        <v>1442</v>
      </c>
    </row>
    <row r="772" spans="1:4" ht="13.05" customHeight="1" x14ac:dyDescent="0.3">
      <c r="A772" s="2" t="s">
        <v>237</v>
      </c>
      <c r="B772" s="2" t="s">
        <v>1018</v>
      </c>
      <c r="C772" s="5" t="s">
        <v>1443</v>
      </c>
      <c r="D772" s="2" t="s">
        <v>1444</v>
      </c>
    </row>
    <row r="773" spans="1:4" ht="13.05" customHeight="1" x14ac:dyDescent="0.3">
      <c r="A773" s="2" t="s">
        <v>237</v>
      </c>
      <c r="B773" s="2" t="s">
        <v>1018</v>
      </c>
      <c r="C773" s="5" t="s">
        <v>1445</v>
      </c>
      <c r="D773" s="2" t="s">
        <v>1446</v>
      </c>
    </row>
    <row r="774" spans="1:4" ht="13.05" customHeight="1" x14ac:dyDescent="0.3">
      <c r="A774" s="2" t="s">
        <v>237</v>
      </c>
      <c r="B774" s="2" t="s">
        <v>1018</v>
      </c>
      <c r="C774" s="5" t="s">
        <v>1447</v>
      </c>
      <c r="D774" s="2" t="s">
        <v>1448</v>
      </c>
    </row>
    <row r="775" spans="1:4" ht="13.05" customHeight="1" x14ac:dyDescent="0.3">
      <c r="A775" s="2" t="s">
        <v>237</v>
      </c>
      <c r="B775" s="2" t="s">
        <v>1018</v>
      </c>
      <c r="C775" s="5" t="s">
        <v>1449</v>
      </c>
      <c r="D775" s="2" t="s">
        <v>1450</v>
      </c>
    </row>
    <row r="776" spans="1:4" ht="13.05" customHeight="1" x14ac:dyDescent="0.3">
      <c r="A776" s="2" t="s">
        <v>237</v>
      </c>
      <c r="B776" s="2" t="s">
        <v>1018</v>
      </c>
      <c r="C776" s="5" t="s">
        <v>1451</v>
      </c>
      <c r="D776" s="2" t="s">
        <v>1452</v>
      </c>
    </row>
    <row r="777" spans="1:4" ht="13.05" customHeight="1" x14ac:dyDescent="0.3">
      <c r="A777" s="2" t="s">
        <v>237</v>
      </c>
      <c r="B777" s="2" t="s">
        <v>1018</v>
      </c>
      <c r="C777" s="5" t="s">
        <v>1453</v>
      </c>
      <c r="D777" s="2" t="s">
        <v>1454</v>
      </c>
    </row>
    <row r="778" spans="1:4" ht="13.05" customHeight="1" x14ac:dyDescent="0.3">
      <c r="A778" s="2" t="s">
        <v>237</v>
      </c>
      <c r="B778" s="2" t="s">
        <v>1018</v>
      </c>
      <c r="C778" s="5" t="s">
        <v>1455</v>
      </c>
      <c r="D778" s="2" t="s">
        <v>1456</v>
      </c>
    </row>
    <row r="779" spans="1:4" ht="13.05" customHeight="1" x14ac:dyDescent="0.3">
      <c r="A779" s="2" t="s">
        <v>237</v>
      </c>
      <c r="B779" s="2" t="s">
        <v>1018</v>
      </c>
      <c r="C779" s="5" t="s">
        <v>1457</v>
      </c>
      <c r="D779" s="2" t="s">
        <v>1458</v>
      </c>
    </row>
    <row r="780" spans="1:4" ht="13.05" customHeight="1" x14ac:dyDescent="0.3">
      <c r="A780" s="2" t="s">
        <v>237</v>
      </c>
      <c r="B780" s="2" t="s">
        <v>1018</v>
      </c>
      <c r="C780" s="5" t="s">
        <v>1459</v>
      </c>
      <c r="D780" s="2" t="s">
        <v>1460</v>
      </c>
    </row>
    <row r="781" spans="1:4" ht="13.05" customHeight="1" x14ac:dyDescent="0.3">
      <c r="A781" s="2" t="s">
        <v>237</v>
      </c>
      <c r="B781" s="2" t="s">
        <v>1018</v>
      </c>
      <c r="C781" s="5" t="s">
        <v>1461</v>
      </c>
      <c r="D781" s="2" t="s">
        <v>1462</v>
      </c>
    </row>
    <row r="782" spans="1:4" ht="13.05" customHeight="1" x14ac:dyDescent="0.3">
      <c r="A782" s="2" t="s">
        <v>237</v>
      </c>
      <c r="B782" s="2" t="s">
        <v>1018</v>
      </c>
      <c r="C782" s="5" t="s">
        <v>1463</v>
      </c>
      <c r="D782" s="2" t="s">
        <v>1464</v>
      </c>
    </row>
    <row r="783" spans="1:4" ht="13.05" customHeight="1" x14ac:dyDescent="0.3">
      <c r="A783" s="2" t="s">
        <v>237</v>
      </c>
      <c r="B783" s="2" t="s">
        <v>1018</v>
      </c>
      <c r="C783" s="5" t="s">
        <v>1465</v>
      </c>
      <c r="D783" s="2" t="s">
        <v>1466</v>
      </c>
    </row>
    <row r="784" spans="1:4" ht="13.05" customHeight="1" x14ac:dyDescent="0.3">
      <c r="A784" s="2" t="s">
        <v>237</v>
      </c>
      <c r="B784" s="2" t="s">
        <v>1018</v>
      </c>
      <c r="C784" s="5" t="s">
        <v>1467</v>
      </c>
      <c r="D784" s="2" t="s">
        <v>1468</v>
      </c>
    </row>
    <row r="785" spans="1:4" ht="13.05" customHeight="1" x14ac:dyDescent="0.3">
      <c r="A785" s="2" t="s">
        <v>237</v>
      </c>
      <c r="B785" s="2" t="s">
        <v>1018</v>
      </c>
      <c r="C785" s="5" t="s">
        <v>1469</v>
      </c>
      <c r="D785" s="2" t="s">
        <v>1470</v>
      </c>
    </row>
    <row r="786" spans="1:4" ht="13.05" customHeight="1" x14ac:dyDescent="0.3">
      <c r="A786" s="2" t="s">
        <v>237</v>
      </c>
      <c r="B786" s="2" t="s">
        <v>1018</v>
      </c>
      <c r="C786" s="5" t="s">
        <v>1471</v>
      </c>
      <c r="D786" s="2" t="s">
        <v>1472</v>
      </c>
    </row>
    <row r="787" spans="1:4" ht="13.05" customHeight="1" x14ac:dyDescent="0.3">
      <c r="A787" s="2" t="s">
        <v>237</v>
      </c>
      <c r="B787" s="2" t="s">
        <v>1018</v>
      </c>
      <c r="C787" s="5" t="s">
        <v>1473</v>
      </c>
      <c r="D787" s="2" t="s">
        <v>1474</v>
      </c>
    </row>
    <row r="788" spans="1:4" ht="13.05" customHeight="1" x14ac:dyDescent="0.3">
      <c r="A788" s="2" t="s">
        <v>237</v>
      </c>
      <c r="B788" s="2" t="s">
        <v>1018</v>
      </c>
      <c r="C788" s="5" t="s">
        <v>1475</v>
      </c>
      <c r="D788" s="2" t="s">
        <v>1476</v>
      </c>
    </row>
    <row r="789" spans="1:4" ht="13.05" customHeight="1" x14ac:dyDescent="0.3">
      <c r="A789" s="2" t="s">
        <v>237</v>
      </c>
      <c r="B789" s="2" t="s">
        <v>1018</v>
      </c>
      <c r="C789" s="5" t="s">
        <v>1477</v>
      </c>
      <c r="D789" s="2" t="s">
        <v>1478</v>
      </c>
    </row>
    <row r="790" spans="1:4" ht="13.05" customHeight="1" x14ac:dyDescent="0.3">
      <c r="A790" s="2" t="s">
        <v>237</v>
      </c>
      <c r="B790" s="2" t="s">
        <v>1018</v>
      </c>
      <c r="C790" s="5" t="s">
        <v>1479</v>
      </c>
      <c r="D790" s="2" t="s">
        <v>1480</v>
      </c>
    </row>
    <row r="791" spans="1:4" ht="13.05" customHeight="1" x14ac:dyDescent="0.3">
      <c r="A791" s="2" t="s">
        <v>237</v>
      </c>
      <c r="B791" s="2" t="s">
        <v>1018</v>
      </c>
      <c r="C791" s="5" t="s">
        <v>1481</v>
      </c>
      <c r="D791" s="2" t="s">
        <v>1482</v>
      </c>
    </row>
    <row r="792" spans="1:4" ht="13.05" customHeight="1" x14ac:dyDescent="0.3">
      <c r="A792" s="2" t="s">
        <v>237</v>
      </c>
      <c r="B792" s="2" t="s">
        <v>1018</v>
      </c>
      <c r="C792" s="5" t="s">
        <v>1483</v>
      </c>
      <c r="D792" s="2" t="s">
        <v>1484</v>
      </c>
    </row>
    <row r="793" spans="1:4" ht="13.05" customHeight="1" x14ac:dyDescent="0.3">
      <c r="A793" s="2" t="s">
        <v>237</v>
      </c>
      <c r="B793" s="2" t="s">
        <v>1018</v>
      </c>
      <c r="C793" s="5" t="s">
        <v>1485</v>
      </c>
      <c r="D793" s="2" t="s">
        <v>1486</v>
      </c>
    </row>
    <row r="794" spans="1:4" ht="13.05" customHeight="1" x14ac:dyDescent="0.3">
      <c r="A794" s="2" t="s">
        <v>237</v>
      </c>
      <c r="B794" s="2" t="s">
        <v>1018</v>
      </c>
      <c r="C794" s="5" t="s">
        <v>1487</v>
      </c>
      <c r="D794" s="2" t="s">
        <v>1488</v>
      </c>
    </row>
    <row r="795" spans="1:4" ht="13.05" customHeight="1" x14ac:dyDescent="0.3">
      <c r="A795" s="2" t="s">
        <v>237</v>
      </c>
      <c r="B795" s="2" t="s">
        <v>1018</v>
      </c>
      <c r="C795" s="5" t="s">
        <v>1489</v>
      </c>
      <c r="D795" s="2" t="s">
        <v>1490</v>
      </c>
    </row>
    <row r="796" spans="1:4" ht="13.05" customHeight="1" x14ac:dyDescent="0.3">
      <c r="A796" s="2" t="s">
        <v>237</v>
      </c>
      <c r="B796" s="2" t="s">
        <v>1018</v>
      </c>
      <c r="C796" s="5" t="s">
        <v>1491</v>
      </c>
      <c r="D796" s="2" t="s">
        <v>1492</v>
      </c>
    </row>
    <row r="797" spans="1:4" ht="13.05" customHeight="1" x14ac:dyDescent="0.3">
      <c r="A797" s="2" t="s">
        <v>237</v>
      </c>
      <c r="B797" s="2" t="s">
        <v>1018</v>
      </c>
      <c r="C797" s="5" t="s">
        <v>1493</v>
      </c>
      <c r="D797" s="2" t="s">
        <v>1494</v>
      </c>
    </row>
    <row r="798" spans="1:4" ht="13.05" customHeight="1" x14ac:dyDescent="0.3">
      <c r="A798" s="2" t="s">
        <v>237</v>
      </c>
      <c r="B798" s="2" t="s">
        <v>1018</v>
      </c>
      <c r="C798" s="5" t="s">
        <v>1495</v>
      </c>
      <c r="D798" s="2" t="s">
        <v>1496</v>
      </c>
    </row>
    <row r="799" spans="1:4" ht="13.05" customHeight="1" x14ac:dyDescent="0.3">
      <c r="A799" s="2" t="s">
        <v>237</v>
      </c>
      <c r="B799" s="2" t="s">
        <v>1018</v>
      </c>
      <c r="C799" s="5" t="s">
        <v>1497</v>
      </c>
      <c r="D799" s="2" t="s">
        <v>1498</v>
      </c>
    </row>
    <row r="800" spans="1:4" ht="13.05" customHeight="1" x14ac:dyDescent="0.3">
      <c r="A800" s="2" t="s">
        <v>237</v>
      </c>
      <c r="B800" s="2" t="s">
        <v>1018</v>
      </c>
      <c r="C800" s="5" t="s">
        <v>1499</v>
      </c>
      <c r="D800" s="2" t="s">
        <v>1500</v>
      </c>
    </row>
    <row r="801" spans="1:4" ht="13.05" customHeight="1" x14ac:dyDescent="0.3">
      <c r="A801" s="2" t="s">
        <v>237</v>
      </c>
      <c r="B801" s="2" t="s">
        <v>1018</v>
      </c>
      <c r="C801" s="5" t="s">
        <v>1501</v>
      </c>
      <c r="D801" s="2" t="s">
        <v>1502</v>
      </c>
    </row>
    <row r="802" spans="1:4" ht="13.05" customHeight="1" x14ac:dyDescent="0.3">
      <c r="A802" s="2" t="s">
        <v>237</v>
      </c>
      <c r="B802" s="2" t="s">
        <v>1018</v>
      </c>
      <c r="C802" s="5" t="s">
        <v>1503</v>
      </c>
      <c r="D802" s="2" t="s">
        <v>1504</v>
      </c>
    </row>
    <row r="803" spans="1:4" ht="13.05" customHeight="1" x14ac:dyDescent="0.3">
      <c r="A803" s="2" t="s">
        <v>237</v>
      </c>
      <c r="B803" s="2" t="s">
        <v>1018</v>
      </c>
      <c r="C803" s="5" t="s">
        <v>1505</v>
      </c>
      <c r="D803" s="2" t="s">
        <v>1506</v>
      </c>
    </row>
    <row r="804" spans="1:4" ht="13.05" customHeight="1" x14ac:dyDescent="0.3">
      <c r="A804" s="2" t="s">
        <v>237</v>
      </c>
      <c r="B804" s="2" t="s">
        <v>1018</v>
      </c>
      <c r="C804" s="5" t="s">
        <v>1507</v>
      </c>
      <c r="D804" s="2" t="s">
        <v>1508</v>
      </c>
    </row>
    <row r="805" spans="1:4" ht="13.05" customHeight="1" x14ac:dyDescent="0.3">
      <c r="A805" s="2" t="s">
        <v>237</v>
      </c>
      <c r="B805" s="2" t="s">
        <v>1018</v>
      </c>
      <c r="C805" s="5" t="s">
        <v>1509</v>
      </c>
      <c r="D805" s="2" t="s">
        <v>1510</v>
      </c>
    </row>
    <row r="806" spans="1:4" ht="13.05" customHeight="1" x14ac:dyDescent="0.3">
      <c r="A806" s="2" t="s">
        <v>237</v>
      </c>
      <c r="B806" s="2" t="s">
        <v>1018</v>
      </c>
      <c r="C806" s="5" t="s">
        <v>1511</v>
      </c>
      <c r="D806" s="2" t="s">
        <v>1512</v>
      </c>
    </row>
    <row r="807" spans="1:4" ht="13.05" customHeight="1" x14ac:dyDescent="0.3">
      <c r="A807" s="2" t="s">
        <v>237</v>
      </c>
      <c r="B807" s="2" t="s">
        <v>1018</v>
      </c>
      <c r="C807" s="5" t="s">
        <v>1513</v>
      </c>
      <c r="D807" s="2" t="s">
        <v>1514</v>
      </c>
    </row>
    <row r="808" spans="1:4" ht="13.05" customHeight="1" x14ac:dyDescent="0.3">
      <c r="A808" s="2" t="s">
        <v>237</v>
      </c>
      <c r="B808" s="2" t="s">
        <v>1018</v>
      </c>
      <c r="C808" s="5" t="s">
        <v>1515</v>
      </c>
      <c r="D808" s="2" t="s">
        <v>1516</v>
      </c>
    </row>
    <row r="809" spans="1:4" ht="13.05" customHeight="1" x14ac:dyDescent="0.3">
      <c r="A809" s="2" t="s">
        <v>237</v>
      </c>
      <c r="B809" s="2" t="s">
        <v>1018</v>
      </c>
      <c r="C809" s="5" t="s">
        <v>1517</v>
      </c>
      <c r="D809" s="2" t="s">
        <v>1518</v>
      </c>
    </row>
    <row r="810" spans="1:4" ht="13.05" customHeight="1" x14ac:dyDescent="0.3">
      <c r="A810" s="2" t="s">
        <v>237</v>
      </c>
      <c r="B810" s="2" t="s">
        <v>1018</v>
      </c>
      <c r="C810" s="5" t="s">
        <v>1519</v>
      </c>
      <c r="D810" s="2" t="s">
        <v>1520</v>
      </c>
    </row>
    <row r="811" spans="1:4" ht="13.05" customHeight="1" x14ac:dyDescent="0.3">
      <c r="A811" s="2" t="s">
        <v>237</v>
      </c>
      <c r="B811" s="2" t="s">
        <v>1018</v>
      </c>
      <c r="C811" s="5" t="s">
        <v>1521</v>
      </c>
      <c r="D811" s="2" t="s">
        <v>1522</v>
      </c>
    </row>
    <row r="812" spans="1:4" ht="13.05" customHeight="1" x14ac:dyDescent="0.3">
      <c r="A812" s="2" t="s">
        <v>237</v>
      </c>
      <c r="B812" s="2" t="s">
        <v>1018</v>
      </c>
      <c r="C812" s="5" t="s">
        <v>1523</v>
      </c>
      <c r="D812" s="2" t="s">
        <v>1524</v>
      </c>
    </row>
    <row r="813" spans="1:4" ht="13.05" customHeight="1" x14ac:dyDescent="0.3">
      <c r="A813" s="2" t="s">
        <v>237</v>
      </c>
      <c r="B813" s="2" t="s">
        <v>1018</v>
      </c>
      <c r="C813" s="5" t="s">
        <v>1525</v>
      </c>
      <c r="D813" s="2" t="s">
        <v>1526</v>
      </c>
    </row>
    <row r="814" spans="1:4" ht="13.05" customHeight="1" x14ac:dyDescent="0.3">
      <c r="A814" s="2" t="s">
        <v>237</v>
      </c>
      <c r="B814" s="2" t="s">
        <v>1018</v>
      </c>
      <c r="C814" s="5" t="s">
        <v>1527</v>
      </c>
      <c r="D814" s="2" t="s">
        <v>1528</v>
      </c>
    </row>
    <row r="815" spans="1:4" ht="13.05" customHeight="1" x14ac:dyDescent="0.3">
      <c r="A815" s="2" t="s">
        <v>237</v>
      </c>
      <c r="B815" s="2" t="s">
        <v>1018</v>
      </c>
      <c r="C815" s="5" t="s">
        <v>1529</v>
      </c>
      <c r="D815" s="2" t="s">
        <v>1530</v>
      </c>
    </row>
    <row r="816" spans="1:4" ht="13.05" customHeight="1" x14ac:dyDescent="0.3">
      <c r="A816" s="2" t="s">
        <v>237</v>
      </c>
      <c r="B816" s="2" t="s">
        <v>1018</v>
      </c>
      <c r="C816" s="5" t="s">
        <v>1531</v>
      </c>
      <c r="D816" s="2" t="s">
        <v>1532</v>
      </c>
    </row>
    <row r="817" spans="1:4" ht="13.05" customHeight="1" x14ac:dyDescent="0.3">
      <c r="A817" s="2" t="s">
        <v>237</v>
      </c>
      <c r="B817" s="2" t="s">
        <v>1018</v>
      </c>
      <c r="C817" s="5" t="s">
        <v>1533</v>
      </c>
      <c r="D817" s="2" t="s">
        <v>1534</v>
      </c>
    </row>
    <row r="818" spans="1:4" ht="13.05" customHeight="1" x14ac:dyDescent="0.3">
      <c r="A818" s="2" t="s">
        <v>237</v>
      </c>
      <c r="B818" s="2" t="s">
        <v>1018</v>
      </c>
      <c r="C818" s="5" t="s">
        <v>1535</v>
      </c>
      <c r="D818" s="2" t="s">
        <v>1536</v>
      </c>
    </row>
    <row r="819" spans="1:4" ht="13.05" customHeight="1" x14ac:dyDescent="0.3">
      <c r="A819" s="2" t="s">
        <v>237</v>
      </c>
      <c r="B819" s="2" t="s">
        <v>1018</v>
      </c>
      <c r="C819" s="5" t="s">
        <v>1537</v>
      </c>
      <c r="D819" s="2" t="s">
        <v>1538</v>
      </c>
    </row>
    <row r="820" spans="1:4" ht="13.05" customHeight="1" x14ac:dyDescent="0.3">
      <c r="A820" s="2" t="s">
        <v>237</v>
      </c>
      <c r="B820" s="2" t="s">
        <v>1018</v>
      </c>
      <c r="C820" s="5" t="s">
        <v>1539</v>
      </c>
      <c r="D820" s="2" t="s">
        <v>1540</v>
      </c>
    </row>
    <row r="821" spans="1:4" ht="13.05" customHeight="1" x14ac:dyDescent="0.3">
      <c r="A821" s="2" t="s">
        <v>237</v>
      </c>
      <c r="B821" s="2" t="s">
        <v>1018</v>
      </c>
      <c r="C821" s="5" t="s">
        <v>1541</v>
      </c>
      <c r="D821" s="2" t="s">
        <v>1542</v>
      </c>
    </row>
    <row r="822" spans="1:4" ht="13.05" customHeight="1" x14ac:dyDescent="0.3">
      <c r="A822" s="2" t="s">
        <v>237</v>
      </c>
      <c r="B822" s="2" t="s">
        <v>1018</v>
      </c>
      <c r="C822" s="5" t="s">
        <v>1543</v>
      </c>
      <c r="D822" s="2" t="s">
        <v>1544</v>
      </c>
    </row>
    <row r="823" spans="1:4" ht="13.05" customHeight="1" x14ac:dyDescent="0.3">
      <c r="A823" s="2" t="s">
        <v>237</v>
      </c>
      <c r="B823" s="2" t="s">
        <v>1018</v>
      </c>
      <c r="C823" s="5" t="s">
        <v>1545</v>
      </c>
      <c r="D823" s="2" t="s">
        <v>1546</v>
      </c>
    </row>
    <row r="824" spans="1:4" ht="13.05" customHeight="1" x14ac:dyDescent="0.3">
      <c r="A824" s="2" t="s">
        <v>237</v>
      </c>
      <c r="B824" s="2" t="s">
        <v>1018</v>
      </c>
      <c r="C824" s="5" t="s">
        <v>1547</v>
      </c>
      <c r="D824" s="2" t="s">
        <v>1548</v>
      </c>
    </row>
    <row r="825" spans="1:4" ht="13.05" customHeight="1" x14ac:dyDescent="0.3">
      <c r="A825" s="2" t="s">
        <v>237</v>
      </c>
      <c r="B825" s="2" t="s">
        <v>1018</v>
      </c>
      <c r="C825" s="5" t="s">
        <v>1549</v>
      </c>
      <c r="D825" s="2" t="s">
        <v>1550</v>
      </c>
    </row>
    <row r="826" spans="1:4" ht="13.05" customHeight="1" x14ac:dyDescent="0.3">
      <c r="A826" s="2" t="s">
        <v>237</v>
      </c>
      <c r="B826" s="2" t="s">
        <v>1018</v>
      </c>
      <c r="C826" s="5" t="s">
        <v>1551</v>
      </c>
      <c r="D826" s="2" t="s">
        <v>1552</v>
      </c>
    </row>
    <row r="827" spans="1:4" ht="13.05" customHeight="1" x14ac:dyDescent="0.3">
      <c r="A827" s="2" t="s">
        <v>237</v>
      </c>
      <c r="B827" s="2" t="s">
        <v>1018</v>
      </c>
      <c r="C827" s="5" t="s">
        <v>1553</v>
      </c>
      <c r="D827" s="2" t="s">
        <v>1554</v>
      </c>
    </row>
    <row r="828" spans="1:4" ht="13.05" customHeight="1" x14ac:dyDescent="0.3">
      <c r="A828" s="2" t="s">
        <v>237</v>
      </c>
      <c r="B828" s="2" t="s">
        <v>1018</v>
      </c>
      <c r="C828" s="5" t="s">
        <v>1555</v>
      </c>
      <c r="D828" s="2" t="s">
        <v>1556</v>
      </c>
    </row>
    <row r="829" spans="1:4" ht="13.05" customHeight="1" x14ac:dyDescent="0.3">
      <c r="A829" s="2" t="s">
        <v>237</v>
      </c>
      <c r="B829" s="2" t="s">
        <v>1018</v>
      </c>
      <c r="C829" s="5" t="s">
        <v>1557</v>
      </c>
      <c r="D829" s="2" t="s">
        <v>1558</v>
      </c>
    </row>
    <row r="830" spans="1:4" ht="13.05" customHeight="1" x14ac:dyDescent="0.3">
      <c r="A830" s="2" t="s">
        <v>237</v>
      </c>
      <c r="B830" s="2" t="s">
        <v>1018</v>
      </c>
      <c r="C830" s="5" t="s">
        <v>1559</v>
      </c>
      <c r="D830" s="2" t="s">
        <v>1560</v>
      </c>
    </row>
    <row r="831" spans="1:4" ht="13.05" customHeight="1" x14ac:dyDescent="0.3">
      <c r="A831" s="2" t="s">
        <v>237</v>
      </c>
      <c r="B831" s="2" t="s">
        <v>1018</v>
      </c>
      <c r="C831" s="5" t="s">
        <v>1561</v>
      </c>
      <c r="D831" s="2" t="s">
        <v>1562</v>
      </c>
    </row>
    <row r="832" spans="1:4" ht="13.05" customHeight="1" x14ac:dyDescent="0.3">
      <c r="A832" s="2" t="s">
        <v>237</v>
      </c>
      <c r="B832" s="2" t="s">
        <v>1018</v>
      </c>
      <c r="C832" s="5" t="s">
        <v>1563</v>
      </c>
      <c r="D832" s="2" t="s">
        <v>1564</v>
      </c>
    </row>
    <row r="833" spans="1:4" ht="13.05" customHeight="1" x14ac:dyDescent="0.3">
      <c r="A833" s="2" t="s">
        <v>237</v>
      </c>
      <c r="B833" s="2" t="s">
        <v>1018</v>
      </c>
      <c r="C833" s="5" t="s">
        <v>1565</v>
      </c>
      <c r="D833" s="2" t="s">
        <v>1566</v>
      </c>
    </row>
    <row r="834" spans="1:4" ht="13.05" customHeight="1" x14ac:dyDescent="0.3">
      <c r="A834" s="2" t="s">
        <v>237</v>
      </c>
      <c r="B834" s="2" t="s">
        <v>1018</v>
      </c>
      <c r="C834" s="5" t="s">
        <v>1567</v>
      </c>
      <c r="D834" s="2" t="s">
        <v>1568</v>
      </c>
    </row>
    <row r="835" spans="1:4" ht="13.05" customHeight="1" x14ac:dyDescent="0.3">
      <c r="A835" s="2" t="s">
        <v>237</v>
      </c>
      <c r="B835" s="2" t="s">
        <v>1018</v>
      </c>
      <c r="C835" s="5" t="s">
        <v>1569</v>
      </c>
      <c r="D835" s="2" t="s">
        <v>1570</v>
      </c>
    </row>
    <row r="836" spans="1:4" ht="13.05" customHeight="1" x14ac:dyDescent="0.3">
      <c r="A836" s="2" t="s">
        <v>237</v>
      </c>
      <c r="B836" s="2" t="s">
        <v>1018</v>
      </c>
      <c r="C836" s="5" t="s">
        <v>1571</v>
      </c>
      <c r="D836" s="2" t="s">
        <v>1572</v>
      </c>
    </row>
    <row r="837" spans="1:4" ht="13.05" customHeight="1" x14ac:dyDescent="0.3">
      <c r="A837" s="2" t="s">
        <v>237</v>
      </c>
      <c r="B837" s="2" t="s">
        <v>1018</v>
      </c>
      <c r="C837" s="5" t="s">
        <v>1573</v>
      </c>
      <c r="D837" s="2" t="s">
        <v>1574</v>
      </c>
    </row>
    <row r="838" spans="1:4" ht="13.05" customHeight="1" x14ac:dyDescent="0.3">
      <c r="A838" s="2" t="s">
        <v>237</v>
      </c>
      <c r="B838" s="2" t="s">
        <v>1018</v>
      </c>
      <c r="C838" s="5" t="s">
        <v>1575</v>
      </c>
      <c r="D838" s="2" t="s">
        <v>1576</v>
      </c>
    </row>
    <row r="839" spans="1:4" ht="13.05" customHeight="1" x14ac:dyDescent="0.3">
      <c r="A839" s="2" t="s">
        <v>237</v>
      </c>
      <c r="B839" s="2" t="s">
        <v>1018</v>
      </c>
      <c r="C839" s="5" t="s">
        <v>1577</v>
      </c>
      <c r="D839" s="2" t="s">
        <v>1578</v>
      </c>
    </row>
    <row r="840" spans="1:4" ht="13.05" customHeight="1" x14ac:dyDescent="0.3">
      <c r="A840" s="2" t="s">
        <v>237</v>
      </c>
      <c r="B840" s="2" t="s">
        <v>1018</v>
      </c>
      <c r="C840" s="5" t="s">
        <v>1579</v>
      </c>
      <c r="D840" s="2" t="s">
        <v>1580</v>
      </c>
    </row>
    <row r="841" spans="1:4" ht="13.05" customHeight="1" x14ac:dyDescent="0.3">
      <c r="A841" s="2" t="s">
        <v>237</v>
      </c>
      <c r="B841" s="2" t="s">
        <v>1018</v>
      </c>
      <c r="C841" s="5" t="s">
        <v>1581</v>
      </c>
      <c r="D841" s="2" t="s">
        <v>1582</v>
      </c>
    </row>
    <row r="842" spans="1:4" ht="13.05" customHeight="1" x14ac:dyDescent="0.3">
      <c r="A842" s="2" t="s">
        <v>237</v>
      </c>
      <c r="B842" s="2" t="s">
        <v>1018</v>
      </c>
      <c r="C842" s="5" t="s">
        <v>1583</v>
      </c>
      <c r="D842" s="2" t="s">
        <v>1584</v>
      </c>
    </row>
    <row r="843" spans="1:4" ht="13.05" customHeight="1" x14ac:dyDescent="0.3">
      <c r="A843" s="2" t="s">
        <v>237</v>
      </c>
      <c r="B843" s="2" t="s">
        <v>1018</v>
      </c>
      <c r="C843" s="5" t="s">
        <v>1585</v>
      </c>
      <c r="D843" s="2" t="s">
        <v>1586</v>
      </c>
    </row>
    <row r="844" spans="1:4" ht="13.05" customHeight="1" x14ac:dyDescent="0.3">
      <c r="A844" s="2" t="s">
        <v>237</v>
      </c>
      <c r="B844" s="2" t="s">
        <v>1018</v>
      </c>
      <c r="C844" s="5" t="s">
        <v>1587</v>
      </c>
      <c r="D844" s="2" t="s">
        <v>1588</v>
      </c>
    </row>
    <row r="845" spans="1:4" ht="13.05" customHeight="1" x14ac:dyDescent="0.3">
      <c r="A845" s="2" t="s">
        <v>237</v>
      </c>
      <c r="B845" s="2" t="s">
        <v>1018</v>
      </c>
      <c r="C845" s="5" t="s">
        <v>1589</v>
      </c>
      <c r="D845" s="2" t="s">
        <v>1590</v>
      </c>
    </row>
    <row r="846" spans="1:4" ht="13.05" customHeight="1" x14ac:dyDescent="0.3">
      <c r="A846" s="2" t="s">
        <v>237</v>
      </c>
      <c r="B846" s="2" t="s">
        <v>1018</v>
      </c>
      <c r="C846" s="5" t="s">
        <v>1591</v>
      </c>
      <c r="D846" s="2" t="s">
        <v>1592</v>
      </c>
    </row>
    <row r="847" spans="1:4" ht="13.05" customHeight="1" x14ac:dyDescent="0.3">
      <c r="A847" s="2" t="s">
        <v>237</v>
      </c>
      <c r="B847" s="2" t="s">
        <v>1018</v>
      </c>
      <c r="C847" s="5" t="s">
        <v>1593</v>
      </c>
      <c r="D847" s="2" t="s">
        <v>1594</v>
      </c>
    </row>
    <row r="848" spans="1:4" ht="13.05" customHeight="1" x14ac:dyDescent="0.3">
      <c r="A848" s="2" t="s">
        <v>237</v>
      </c>
      <c r="B848" s="2" t="s">
        <v>1018</v>
      </c>
      <c r="C848" s="5" t="s">
        <v>1595</v>
      </c>
      <c r="D848" s="2" t="s">
        <v>1596</v>
      </c>
    </row>
    <row r="849" spans="1:4" ht="13.05" customHeight="1" x14ac:dyDescent="0.3">
      <c r="A849" s="2" t="s">
        <v>237</v>
      </c>
      <c r="B849" s="2" t="s">
        <v>1018</v>
      </c>
      <c r="C849" s="5" t="s">
        <v>1597</v>
      </c>
      <c r="D849" s="2" t="s">
        <v>1598</v>
      </c>
    </row>
    <row r="850" spans="1:4" ht="13.05" customHeight="1" x14ac:dyDescent="0.3">
      <c r="A850" s="2" t="s">
        <v>237</v>
      </c>
      <c r="B850" s="2" t="s">
        <v>1018</v>
      </c>
      <c r="C850" s="5" t="s">
        <v>1599</v>
      </c>
      <c r="D850" s="2" t="s">
        <v>1600</v>
      </c>
    </row>
    <row r="851" spans="1:4" ht="13.05" customHeight="1" x14ac:dyDescent="0.3">
      <c r="A851" s="2" t="s">
        <v>237</v>
      </c>
      <c r="B851" s="2" t="s">
        <v>1018</v>
      </c>
      <c r="C851" s="5" t="s">
        <v>1601</v>
      </c>
      <c r="D851" s="2" t="s">
        <v>1602</v>
      </c>
    </row>
    <row r="852" spans="1:4" ht="13.05" customHeight="1" x14ac:dyDescent="0.3">
      <c r="A852" s="2" t="s">
        <v>237</v>
      </c>
      <c r="B852" s="2" t="s">
        <v>1018</v>
      </c>
      <c r="C852" s="5" t="s">
        <v>1603</v>
      </c>
      <c r="D852" s="2" t="s">
        <v>1604</v>
      </c>
    </row>
    <row r="853" spans="1:4" ht="13.05" customHeight="1" x14ac:dyDescent="0.3">
      <c r="A853" s="2" t="s">
        <v>237</v>
      </c>
      <c r="B853" s="2" t="s">
        <v>1018</v>
      </c>
      <c r="C853" s="5" t="s">
        <v>1605</v>
      </c>
      <c r="D853" s="2" t="s">
        <v>1606</v>
      </c>
    </row>
    <row r="854" spans="1:4" ht="13.05" customHeight="1" x14ac:dyDescent="0.3">
      <c r="A854" s="2" t="s">
        <v>237</v>
      </c>
      <c r="B854" s="2" t="s">
        <v>1018</v>
      </c>
      <c r="C854" s="5" t="s">
        <v>1607</v>
      </c>
      <c r="D854" s="2" t="s">
        <v>1608</v>
      </c>
    </row>
    <row r="855" spans="1:4" ht="13.05" customHeight="1" x14ac:dyDescent="0.3">
      <c r="A855" s="2" t="s">
        <v>237</v>
      </c>
      <c r="B855" s="2" t="s">
        <v>1018</v>
      </c>
      <c r="C855" s="5" t="s">
        <v>1609</v>
      </c>
      <c r="D855" s="2" t="s">
        <v>1610</v>
      </c>
    </row>
    <row r="856" spans="1:4" ht="13.05" customHeight="1" x14ac:dyDescent="0.3">
      <c r="A856" s="2" t="s">
        <v>237</v>
      </c>
      <c r="B856" s="2" t="s">
        <v>1018</v>
      </c>
      <c r="C856" s="5" t="s">
        <v>1611</v>
      </c>
      <c r="D856" s="2" t="s">
        <v>1612</v>
      </c>
    </row>
    <row r="857" spans="1:4" ht="13.05" customHeight="1" x14ac:dyDescent="0.3">
      <c r="A857" s="2" t="s">
        <v>237</v>
      </c>
      <c r="B857" s="2" t="s">
        <v>1018</v>
      </c>
      <c r="C857" s="5" t="s">
        <v>1613</v>
      </c>
      <c r="D857" s="2" t="s">
        <v>1614</v>
      </c>
    </row>
    <row r="858" spans="1:4" ht="13.05" customHeight="1" x14ac:dyDescent="0.3">
      <c r="A858" s="2" t="s">
        <v>237</v>
      </c>
      <c r="B858" s="2" t="s">
        <v>1018</v>
      </c>
      <c r="C858" s="5" t="s">
        <v>1615</v>
      </c>
      <c r="D858" s="2" t="s">
        <v>1616</v>
      </c>
    </row>
    <row r="859" spans="1:4" ht="13.05" customHeight="1" x14ac:dyDescent="0.3">
      <c r="A859" s="2" t="s">
        <v>237</v>
      </c>
      <c r="B859" s="2" t="s">
        <v>1018</v>
      </c>
      <c r="C859" s="5" t="s">
        <v>1617</v>
      </c>
      <c r="D859" s="2" t="s">
        <v>1618</v>
      </c>
    </row>
    <row r="860" spans="1:4" ht="13.05" customHeight="1" x14ac:dyDescent="0.3">
      <c r="A860" s="2" t="s">
        <v>237</v>
      </c>
      <c r="B860" s="2" t="s">
        <v>1018</v>
      </c>
      <c r="C860" s="5" t="s">
        <v>1619</v>
      </c>
      <c r="D860" s="2" t="s">
        <v>1620</v>
      </c>
    </row>
    <row r="861" spans="1:4" ht="13.05" customHeight="1" x14ac:dyDescent="0.3">
      <c r="A861" s="2" t="s">
        <v>237</v>
      </c>
      <c r="B861" s="2" t="s">
        <v>1018</v>
      </c>
      <c r="C861" s="5" t="s">
        <v>1621</v>
      </c>
      <c r="D861" s="2" t="s">
        <v>1622</v>
      </c>
    </row>
    <row r="862" spans="1:4" ht="13.05" customHeight="1" x14ac:dyDescent="0.3">
      <c r="A862" s="2" t="s">
        <v>237</v>
      </c>
      <c r="B862" s="2" t="s">
        <v>1018</v>
      </c>
      <c r="C862" s="5" t="s">
        <v>1623</v>
      </c>
      <c r="D862" s="2" t="s">
        <v>1624</v>
      </c>
    </row>
    <row r="863" spans="1:4" ht="13.05" customHeight="1" x14ac:dyDescent="0.3">
      <c r="A863" s="2" t="s">
        <v>237</v>
      </c>
      <c r="B863" s="2" t="s">
        <v>1018</v>
      </c>
      <c r="C863" s="5" t="s">
        <v>1625</v>
      </c>
      <c r="D863" s="2" t="s">
        <v>1626</v>
      </c>
    </row>
    <row r="864" spans="1:4" ht="13.05" customHeight="1" x14ac:dyDescent="0.3">
      <c r="A864" s="2" t="s">
        <v>237</v>
      </c>
      <c r="B864" s="2" t="s">
        <v>1018</v>
      </c>
      <c r="C864" s="5" t="s">
        <v>1627</v>
      </c>
      <c r="D864" s="2" t="s">
        <v>1628</v>
      </c>
    </row>
    <row r="865" spans="1:4" ht="13.05" customHeight="1" x14ac:dyDescent="0.3">
      <c r="A865" s="2" t="s">
        <v>237</v>
      </c>
      <c r="B865" s="2" t="s">
        <v>1018</v>
      </c>
      <c r="C865" s="5" t="s">
        <v>1629</v>
      </c>
      <c r="D865" s="2" t="s">
        <v>1630</v>
      </c>
    </row>
    <row r="866" spans="1:4" ht="13.05" customHeight="1" x14ac:dyDescent="0.3">
      <c r="A866" s="2" t="s">
        <v>237</v>
      </c>
      <c r="B866" s="2" t="s">
        <v>1018</v>
      </c>
      <c r="C866" s="5" t="s">
        <v>1631</v>
      </c>
      <c r="D866" s="2" t="s">
        <v>1632</v>
      </c>
    </row>
    <row r="867" spans="1:4" ht="13.05" customHeight="1" x14ac:dyDescent="0.3">
      <c r="A867" s="2" t="s">
        <v>237</v>
      </c>
      <c r="B867" s="2" t="s">
        <v>1018</v>
      </c>
      <c r="C867" s="5" t="s">
        <v>1633</v>
      </c>
      <c r="D867" s="2" t="s">
        <v>1634</v>
      </c>
    </row>
    <row r="868" spans="1:4" ht="13.05" customHeight="1" x14ac:dyDescent="0.3">
      <c r="A868" s="2" t="s">
        <v>237</v>
      </c>
      <c r="B868" s="2" t="s">
        <v>1018</v>
      </c>
      <c r="C868" s="5" t="s">
        <v>1635</v>
      </c>
      <c r="D868" s="2" t="s">
        <v>1636</v>
      </c>
    </row>
    <row r="869" spans="1:4" ht="13.05" customHeight="1" x14ac:dyDescent="0.3">
      <c r="A869" s="2" t="s">
        <v>237</v>
      </c>
      <c r="B869" s="2" t="s">
        <v>1018</v>
      </c>
      <c r="C869" s="5" t="s">
        <v>1637</v>
      </c>
      <c r="D869" s="2" t="s">
        <v>1638</v>
      </c>
    </row>
    <row r="870" spans="1:4" ht="13.05" customHeight="1" x14ac:dyDescent="0.3">
      <c r="A870" s="2" t="s">
        <v>237</v>
      </c>
      <c r="B870" s="2" t="s">
        <v>1018</v>
      </c>
      <c r="C870" s="5" t="s">
        <v>1639</v>
      </c>
      <c r="D870" s="2" t="s">
        <v>1640</v>
      </c>
    </row>
    <row r="871" spans="1:4" ht="13.05" customHeight="1" x14ac:dyDescent="0.3">
      <c r="A871" s="2" t="s">
        <v>237</v>
      </c>
      <c r="B871" s="2" t="s">
        <v>1018</v>
      </c>
      <c r="C871" s="5" t="s">
        <v>1641</v>
      </c>
      <c r="D871" s="2" t="s">
        <v>1642</v>
      </c>
    </row>
    <row r="872" spans="1:4" ht="13.05" customHeight="1" x14ac:dyDescent="0.3">
      <c r="A872" s="2" t="s">
        <v>237</v>
      </c>
      <c r="B872" s="2" t="s">
        <v>1018</v>
      </c>
      <c r="C872" s="5" t="s">
        <v>1643</v>
      </c>
      <c r="D872" s="2" t="s">
        <v>1644</v>
      </c>
    </row>
    <row r="873" spans="1:4" ht="13.05" customHeight="1" x14ac:dyDescent="0.3">
      <c r="A873" s="2" t="s">
        <v>237</v>
      </c>
      <c r="B873" s="2" t="s">
        <v>1018</v>
      </c>
      <c r="C873" s="5" t="s">
        <v>1645</v>
      </c>
      <c r="D873" s="2" t="s">
        <v>1646</v>
      </c>
    </row>
    <row r="874" spans="1:4" ht="13.05" customHeight="1" x14ac:dyDescent="0.3">
      <c r="A874" s="2" t="s">
        <v>237</v>
      </c>
      <c r="B874" s="2" t="s">
        <v>1018</v>
      </c>
      <c r="C874" s="5" t="s">
        <v>1647</v>
      </c>
      <c r="D874" s="2" t="s">
        <v>1648</v>
      </c>
    </row>
    <row r="875" spans="1:4" ht="13.05" customHeight="1" x14ac:dyDescent="0.3">
      <c r="A875" s="2" t="s">
        <v>237</v>
      </c>
      <c r="B875" s="2" t="s">
        <v>1018</v>
      </c>
      <c r="C875" s="5" t="s">
        <v>1649</v>
      </c>
      <c r="D875" s="2" t="s">
        <v>1650</v>
      </c>
    </row>
    <row r="876" spans="1:4" ht="13.05" customHeight="1" x14ac:dyDescent="0.3">
      <c r="A876" s="2" t="s">
        <v>237</v>
      </c>
      <c r="B876" s="2" t="s">
        <v>1018</v>
      </c>
      <c r="C876" s="5" t="s">
        <v>1651</v>
      </c>
      <c r="D876" s="2" t="s">
        <v>1652</v>
      </c>
    </row>
    <row r="877" spans="1:4" ht="13.05" customHeight="1" x14ac:dyDescent="0.3">
      <c r="A877" s="2" t="s">
        <v>237</v>
      </c>
      <c r="B877" s="2" t="s">
        <v>1018</v>
      </c>
      <c r="C877" s="5" t="s">
        <v>1653</v>
      </c>
      <c r="D877" s="2" t="s">
        <v>1654</v>
      </c>
    </row>
    <row r="878" spans="1:4" ht="13.05" customHeight="1" x14ac:dyDescent="0.3">
      <c r="A878" s="2" t="s">
        <v>237</v>
      </c>
      <c r="B878" s="2" t="s">
        <v>1018</v>
      </c>
      <c r="C878" s="5" t="s">
        <v>1655</v>
      </c>
      <c r="D878" s="2" t="s">
        <v>1656</v>
      </c>
    </row>
    <row r="879" spans="1:4" ht="13.05" customHeight="1" x14ac:dyDescent="0.3">
      <c r="A879" s="2" t="s">
        <v>237</v>
      </c>
      <c r="B879" s="2" t="s">
        <v>1018</v>
      </c>
      <c r="C879" s="5" t="s">
        <v>1657</v>
      </c>
      <c r="D879" s="2" t="s">
        <v>1658</v>
      </c>
    </row>
    <row r="880" spans="1:4" ht="13.05" customHeight="1" x14ac:dyDescent="0.3">
      <c r="A880" s="2" t="s">
        <v>237</v>
      </c>
      <c r="B880" s="2" t="s">
        <v>1018</v>
      </c>
      <c r="C880" s="5" t="s">
        <v>1659</v>
      </c>
      <c r="D880" s="2" t="s">
        <v>1660</v>
      </c>
    </row>
    <row r="881" spans="1:4" ht="13.05" customHeight="1" x14ac:dyDescent="0.3">
      <c r="A881" s="2" t="s">
        <v>237</v>
      </c>
      <c r="B881" s="2" t="s">
        <v>1018</v>
      </c>
      <c r="C881" s="5" t="s">
        <v>1661</v>
      </c>
      <c r="D881" s="2" t="s">
        <v>1662</v>
      </c>
    </row>
    <row r="882" spans="1:4" ht="13.05" customHeight="1" x14ac:dyDescent="0.3">
      <c r="A882" s="2" t="s">
        <v>237</v>
      </c>
      <c r="B882" s="2" t="s">
        <v>1018</v>
      </c>
      <c r="C882" s="5" t="s">
        <v>1663</v>
      </c>
      <c r="D882" s="2" t="s">
        <v>1664</v>
      </c>
    </row>
    <row r="883" spans="1:4" ht="13.05" customHeight="1" x14ac:dyDescent="0.3">
      <c r="A883" s="2" t="s">
        <v>237</v>
      </c>
      <c r="B883" s="2" t="s">
        <v>1018</v>
      </c>
      <c r="C883" s="5" t="s">
        <v>1665</v>
      </c>
      <c r="D883" s="2" t="s">
        <v>1666</v>
      </c>
    </row>
    <row r="884" spans="1:4" ht="13.05" customHeight="1" x14ac:dyDescent="0.3">
      <c r="A884" s="2" t="s">
        <v>237</v>
      </c>
      <c r="B884" s="2" t="s">
        <v>1018</v>
      </c>
      <c r="C884" s="5" t="s">
        <v>1667</v>
      </c>
      <c r="D884" s="2" t="s">
        <v>1668</v>
      </c>
    </row>
    <row r="885" spans="1:4" ht="13.05" customHeight="1" x14ac:dyDescent="0.3">
      <c r="A885" s="2" t="s">
        <v>237</v>
      </c>
      <c r="B885" s="2" t="s">
        <v>1018</v>
      </c>
      <c r="C885" s="5" t="s">
        <v>1669</v>
      </c>
      <c r="D885" s="2" t="s">
        <v>1670</v>
      </c>
    </row>
    <row r="886" spans="1:4" ht="13.05" customHeight="1" x14ac:dyDescent="0.3">
      <c r="A886" s="2" t="s">
        <v>237</v>
      </c>
      <c r="B886" s="2" t="s">
        <v>1018</v>
      </c>
      <c r="C886" s="5" t="s">
        <v>1671</v>
      </c>
      <c r="D886" s="2" t="s">
        <v>1672</v>
      </c>
    </row>
    <row r="887" spans="1:4" ht="13.05" customHeight="1" x14ac:dyDescent="0.3">
      <c r="A887" s="2" t="s">
        <v>237</v>
      </c>
      <c r="B887" s="2" t="s">
        <v>1018</v>
      </c>
      <c r="C887" s="5" t="s">
        <v>1673</v>
      </c>
      <c r="D887" s="2" t="s">
        <v>1674</v>
      </c>
    </row>
    <row r="888" spans="1:4" ht="13.05" customHeight="1" x14ac:dyDescent="0.3">
      <c r="A888" s="2" t="s">
        <v>237</v>
      </c>
      <c r="B888" s="2" t="s">
        <v>1018</v>
      </c>
      <c r="C888" s="5" t="s">
        <v>1675</v>
      </c>
      <c r="D888" s="2" t="s">
        <v>1676</v>
      </c>
    </row>
    <row r="889" spans="1:4" ht="13.05" customHeight="1" x14ac:dyDescent="0.3">
      <c r="A889" s="2" t="s">
        <v>237</v>
      </c>
      <c r="B889" s="2" t="s">
        <v>1018</v>
      </c>
      <c r="C889" s="5" t="s">
        <v>1677</v>
      </c>
      <c r="D889" s="2" t="s">
        <v>1678</v>
      </c>
    </row>
    <row r="890" spans="1:4" ht="13.05" customHeight="1" x14ac:dyDescent="0.3">
      <c r="A890" s="2" t="s">
        <v>237</v>
      </c>
      <c r="B890" s="2" t="s">
        <v>1018</v>
      </c>
      <c r="C890" s="5" t="s">
        <v>1679</v>
      </c>
      <c r="D890" s="2" t="s">
        <v>1680</v>
      </c>
    </row>
    <row r="891" spans="1:4" ht="13.05" customHeight="1" x14ac:dyDescent="0.3">
      <c r="A891" s="2" t="s">
        <v>237</v>
      </c>
      <c r="B891" s="2" t="s">
        <v>1018</v>
      </c>
      <c r="C891" s="5" t="s">
        <v>1681</v>
      </c>
      <c r="D891" s="2" t="s">
        <v>1682</v>
      </c>
    </row>
    <row r="892" spans="1:4" ht="13.05" customHeight="1" x14ac:dyDescent="0.3">
      <c r="A892" s="2" t="s">
        <v>237</v>
      </c>
      <c r="B892" s="2" t="s">
        <v>1018</v>
      </c>
      <c r="C892" s="5" t="s">
        <v>1683</v>
      </c>
      <c r="D892" s="2" t="s">
        <v>1684</v>
      </c>
    </row>
    <row r="893" spans="1:4" ht="13.05" customHeight="1" x14ac:dyDescent="0.3">
      <c r="A893" s="2" t="s">
        <v>237</v>
      </c>
      <c r="B893" s="2" t="s">
        <v>1018</v>
      </c>
      <c r="C893" s="5" t="s">
        <v>1685</v>
      </c>
      <c r="D893" s="2" t="s">
        <v>1686</v>
      </c>
    </row>
    <row r="894" spans="1:4" ht="13.05" customHeight="1" x14ac:dyDescent="0.3">
      <c r="A894" s="2" t="s">
        <v>237</v>
      </c>
      <c r="B894" s="2" t="s">
        <v>1018</v>
      </c>
      <c r="C894" s="5" t="s">
        <v>1687</v>
      </c>
      <c r="D894" s="2" t="s">
        <v>1688</v>
      </c>
    </row>
    <row r="895" spans="1:4" ht="13.05" customHeight="1" x14ac:dyDescent="0.3">
      <c r="A895" s="2" t="s">
        <v>237</v>
      </c>
      <c r="B895" s="2" t="s">
        <v>1018</v>
      </c>
      <c r="C895" s="5" t="s">
        <v>1689</v>
      </c>
      <c r="D895" s="2" t="s">
        <v>1690</v>
      </c>
    </row>
    <row r="896" spans="1:4" ht="13.05" customHeight="1" x14ac:dyDescent="0.3">
      <c r="A896" s="2" t="s">
        <v>237</v>
      </c>
      <c r="B896" s="2" t="s">
        <v>1018</v>
      </c>
      <c r="C896" s="5" t="s">
        <v>1691</v>
      </c>
      <c r="D896" s="2" t="s">
        <v>1692</v>
      </c>
    </row>
    <row r="897" spans="1:4" ht="13.05" customHeight="1" x14ac:dyDescent="0.3">
      <c r="A897" s="2" t="s">
        <v>237</v>
      </c>
      <c r="B897" s="2" t="s">
        <v>1018</v>
      </c>
      <c r="C897" s="5" t="s">
        <v>1693</v>
      </c>
      <c r="D897" s="2" t="s">
        <v>1694</v>
      </c>
    </row>
    <row r="898" spans="1:4" ht="13.05" customHeight="1" x14ac:dyDescent="0.3">
      <c r="A898" s="2" t="s">
        <v>237</v>
      </c>
      <c r="B898" s="2" t="s">
        <v>1018</v>
      </c>
      <c r="C898" s="5" t="s">
        <v>1695</v>
      </c>
      <c r="D898" s="2" t="s">
        <v>1696</v>
      </c>
    </row>
    <row r="899" spans="1:4" ht="13.05" customHeight="1" x14ac:dyDescent="0.3">
      <c r="A899" s="2" t="s">
        <v>237</v>
      </c>
      <c r="B899" s="2" t="s">
        <v>1018</v>
      </c>
      <c r="C899" s="5" t="s">
        <v>1697</v>
      </c>
      <c r="D899" s="2" t="s">
        <v>1698</v>
      </c>
    </row>
    <row r="900" spans="1:4" ht="13.05" customHeight="1" x14ac:dyDescent="0.3">
      <c r="A900" s="2" t="s">
        <v>237</v>
      </c>
      <c r="B900" s="2" t="s">
        <v>1018</v>
      </c>
      <c r="C900" s="5" t="s">
        <v>1699</v>
      </c>
      <c r="D900" s="2" t="s">
        <v>1700</v>
      </c>
    </row>
    <row r="901" spans="1:4" ht="13.05" customHeight="1" x14ac:dyDescent="0.3">
      <c r="A901" s="2" t="s">
        <v>237</v>
      </c>
      <c r="B901" s="2" t="s">
        <v>1018</v>
      </c>
      <c r="C901" s="5" t="s">
        <v>1701</v>
      </c>
      <c r="D901" s="2" t="s">
        <v>1702</v>
      </c>
    </row>
    <row r="902" spans="1:4" ht="13.05" customHeight="1" x14ac:dyDescent="0.3">
      <c r="A902" s="2" t="s">
        <v>237</v>
      </c>
      <c r="B902" s="2" t="s">
        <v>1018</v>
      </c>
      <c r="C902" s="5" t="s">
        <v>1703</v>
      </c>
      <c r="D902" s="2" t="s">
        <v>1704</v>
      </c>
    </row>
    <row r="903" spans="1:4" ht="13.05" customHeight="1" x14ac:dyDescent="0.3">
      <c r="A903" s="2" t="s">
        <v>237</v>
      </c>
      <c r="B903" s="2" t="s">
        <v>1018</v>
      </c>
      <c r="C903" s="5" t="s">
        <v>1705</v>
      </c>
      <c r="D903" s="2" t="s">
        <v>1706</v>
      </c>
    </row>
    <row r="904" spans="1:4" ht="13.05" customHeight="1" x14ac:dyDescent="0.3">
      <c r="A904" s="2" t="s">
        <v>237</v>
      </c>
      <c r="B904" s="2" t="s">
        <v>1018</v>
      </c>
      <c r="C904" s="5" t="s">
        <v>1707</v>
      </c>
      <c r="D904" s="2" t="s">
        <v>1708</v>
      </c>
    </row>
    <row r="905" spans="1:4" ht="13.05" customHeight="1" x14ac:dyDescent="0.3">
      <c r="A905" s="2" t="s">
        <v>237</v>
      </c>
      <c r="B905" s="2" t="s">
        <v>1018</v>
      </c>
      <c r="C905" s="5" t="s">
        <v>1709</v>
      </c>
      <c r="D905" s="2" t="s">
        <v>1710</v>
      </c>
    </row>
    <row r="906" spans="1:4" ht="13.05" customHeight="1" x14ac:dyDescent="0.3">
      <c r="A906" s="2" t="s">
        <v>237</v>
      </c>
      <c r="B906" s="2" t="s">
        <v>1018</v>
      </c>
      <c r="C906" s="5" t="s">
        <v>1711</v>
      </c>
      <c r="D906" s="2" t="s">
        <v>1712</v>
      </c>
    </row>
    <row r="907" spans="1:4" ht="13.05" customHeight="1" x14ac:dyDescent="0.3">
      <c r="A907" s="2" t="s">
        <v>237</v>
      </c>
      <c r="B907" s="2" t="s">
        <v>1018</v>
      </c>
      <c r="C907" s="5" t="s">
        <v>1713</v>
      </c>
      <c r="D907" s="2" t="s">
        <v>1714</v>
      </c>
    </row>
    <row r="908" spans="1:4" ht="13.05" customHeight="1" x14ac:dyDescent="0.3">
      <c r="A908" s="2" t="s">
        <v>237</v>
      </c>
      <c r="B908" s="2" t="s">
        <v>1018</v>
      </c>
      <c r="C908" s="5" t="s">
        <v>1715</v>
      </c>
      <c r="D908" s="2" t="s">
        <v>1716</v>
      </c>
    </row>
    <row r="909" spans="1:4" ht="13.05" customHeight="1" x14ac:dyDescent="0.3">
      <c r="A909" s="2" t="s">
        <v>237</v>
      </c>
      <c r="B909" s="2" t="s">
        <v>1018</v>
      </c>
      <c r="C909" s="5" t="s">
        <v>1717</v>
      </c>
      <c r="D909" s="2" t="s">
        <v>1718</v>
      </c>
    </row>
    <row r="910" spans="1:4" ht="13.05" customHeight="1" x14ac:dyDescent="0.3">
      <c r="A910" s="2" t="s">
        <v>237</v>
      </c>
      <c r="B910" s="2" t="s">
        <v>1018</v>
      </c>
      <c r="C910" s="5" t="s">
        <v>1719</v>
      </c>
      <c r="D910" s="2" t="s">
        <v>1720</v>
      </c>
    </row>
    <row r="911" spans="1:4" ht="13.05" customHeight="1" x14ac:dyDescent="0.3">
      <c r="A911" s="2" t="s">
        <v>237</v>
      </c>
      <c r="B911" s="2" t="s">
        <v>1018</v>
      </c>
      <c r="C911" s="5" t="s">
        <v>1721</v>
      </c>
      <c r="D911" s="2" t="s">
        <v>1722</v>
      </c>
    </row>
    <row r="912" spans="1:4" ht="13.05" customHeight="1" x14ac:dyDescent="0.3">
      <c r="A912" s="2" t="s">
        <v>237</v>
      </c>
      <c r="B912" s="2" t="s">
        <v>1018</v>
      </c>
      <c r="C912" s="5" t="s">
        <v>1723</v>
      </c>
      <c r="D912" s="2" t="s">
        <v>1724</v>
      </c>
    </row>
    <row r="913" spans="1:4" ht="13.05" customHeight="1" x14ac:dyDescent="0.3">
      <c r="A913" s="2" t="s">
        <v>237</v>
      </c>
      <c r="B913" s="2" t="s">
        <v>1018</v>
      </c>
      <c r="C913" s="5" t="s">
        <v>1725</v>
      </c>
      <c r="D913" s="2" t="s">
        <v>1726</v>
      </c>
    </row>
    <row r="914" spans="1:4" ht="13.05" customHeight="1" x14ac:dyDescent="0.3">
      <c r="A914" s="2" t="s">
        <v>237</v>
      </c>
      <c r="B914" s="2" t="s">
        <v>1018</v>
      </c>
      <c r="C914" s="5" t="s">
        <v>1727</v>
      </c>
      <c r="D914" s="2" t="s">
        <v>1728</v>
      </c>
    </row>
    <row r="915" spans="1:4" ht="13.05" customHeight="1" x14ac:dyDescent="0.3">
      <c r="A915" s="2" t="s">
        <v>237</v>
      </c>
      <c r="B915" s="2" t="s">
        <v>1018</v>
      </c>
      <c r="C915" s="5" t="s">
        <v>1729</v>
      </c>
      <c r="D915" s="2" t="s">
        <v>1730</v>
      </c>
    </row>
    <row r="916" spans="1:4" ht="13.05" customHeight="1" x14ac:dyDescent="0.3">
      <c r="A916" s="2" t="s">
        <v>237</v>
      </c>
      <c r="B916" s="2" t="s">
        <v>1018</v>
      </c>
      <c r="C916" s="5" t="s">
        <v>1731</v>
      </c>
      <c r="D916" s="2" t="s">
        <v>1732</v>
      </c>
    </row>
    <row r="917" spans="1:4" ht="13.05" customHeight="1" x14ac:dyDescent="0.3">
      <c r="A917" s="2" t="s">
        <v>237</v>
      </c>
      <c r="B917" s="2" t="s">
        <v>1018</v>
      </c>
      <c r="C917" s="5" t="s">
        <v>1733</v>
      </c>
      <c r="D917" s="2" t="s">
        <v>1734</v>
      </c>
    </row>
    <row r="918" spans="1:4" ht="13.05" customHeight="1" x14ac:dyDescent="0.3">
      <c r="A918" s="2" t="s">
        <v>237</v>
      </c>
      <c r="B918" s="2" t="s">
        <v>1018</v>
      </c>
      <c r="C918" s="5" t="s">
        <v>1735</v>
      </c>
      <c r="D918" s="2" t="s">
        <v>1736</v>
      </c>
    </row>
    <row r="919" spans="1:4" ht="13.05" customHeight="1" x14ac:dyDescent="0.3">
      <c r="A919" s="2" t="s">
        <v>237</v>
      </c>
      <c r="B919" s="2" t="s">
        <v>1018</v>
      </c>
      <c r="C919" s="5" t="s">
        <v>1737</v>
      </c>
      <c r="D919" s="2" t="s">
        <v>1738</v>
      </c>
    </row>
    <row r="920" spans="1:4" ht="13.05" customHeight="1" x14ac:dyDescent="0.3">
      <c r="A920" s="2" t="s">
        <v>237</v>
      </c>
      <c r="B920" s="2" t="s">
        <v>1018</v>
      </c>
      <c r="C920" s="5" t="s">
        <v>1739</v>
      </c>
      <c r="D920" s="2" t="s">
        <v>1740</v>
      </c>
    </row>
    <row r="921" spans="1:4" ht="13.05" customHeight="1" x14ac:dyDescent="0.3">
      <c r="A921" s="2" t="s">
        <v>237</v>
      </c>
      <c r="B921" s="2" t="s">
        <v>1018</v>
      </c>
      <c r="C921" s="5" t="s">
        <v>1741</v>
      </c>
      <c r="D921" s="2" t="s">
        <v>1742</v>
      </c>
    </row>
    <row r="922" spans="1:4" ht="13.05" customHeight="1" x14ac:dyDescent="0.3">
      <c r="A922" s="2" t="s">
        <v>237</v>
      </c>
      <c r="B922" s="2" t="s">
        <v>1018</v>
      </c>
      <c r="C922" s="5" t="s">
        <v>1743</v>
      </c>
      <c r="D922" s="2" t="s">
        <v>1744</v>
      </c>
    </row>
    <row r="923" spans="1:4" ht="13.05" customHeight="1" x14ac:dyDescent="0.3">
      <c r="A923" s="2" t="s">
        <v>237</v>
      </c>
      <c r="B923" s="2" t="s">
        <v>1018</v>
      </c>
      <c r="C923" s="5" t="s">
        <v>1745</v>
      </c>
      <c r="D923" s="2" t="s">
        <v>1746</v>
      </c>
    </row>
    <row r="924" spans="1:4" ht="13.05" customHeight="1" x14ac:dyDescent="0.3">
      <c r="A924" s="2" t="s">
        <v>237</v>
      </c>
      <c r="B924" s="2" t="s">
        <v>1018</v>
      </c>
      <c r="C924" s="5" t="s">
        <v>1747</v>
      </c>
      <c r="D924" s="2" t="s">
        <v>1748</v>
      </c>
    </row>
    <row r="925" spans="1:4" ht="13.05" customHeight="1" x14ac:dyDescent="0.3">
      <c r="A925" s="2" t="s">
        <v>237</v>
      </c>
      <c r="B925" s="2" t="s">
        <v>1018</v>
      </c>
      <c r="C925" s="5" t="s">
        <v>1749</v>
      </c>
      <c r="D925" s="2" t="s">
        <v>1750</v>
      </c>
    </row>
    <row r="926" spans="1:4" ht="13.05" customHeight="1" x14ac:dyDescent="0.3">
      <c r="A926" s="2" t="s">
        <v>237</v>
      </c>
      <c r="B926" s="2" t="s">
        <v>1018</v>
      </c>
      <c r="C926" s="5" t="s">
        <v>1751</v>
      </c>
      <c r="D926" s="2" t="s">
        <v>1752</v>
      </c>
    </row>
    <row r="927" spans="1:4" ht="13.05" customHeight="1" x14ac:dyDescent="0.3">
      <c r="A927" s="2" t="s">
        <v>237</v>
      </c>
      <c r="B927" s="2" t="s">
        <v>1018</v>
      </c>
      <c r="C927" s="5" t="s">
        <v>1753</v>
      </c>
      <c r="D927" s="2" t="s">
        <v>1754</v>
      </c>
    </row>
    <row r="928" spans="1:4" ht="13.05" customHeight="1" x14ac:dyDescent="0.3">
      <c r="A928" s="2" t="s">
        <v>237</v>
      </c>
      <c r="B928" s="2" t="s">
        <v>1018</v>
      </c>
      <c r="C928" s="5" t="s">
        <v>1755</v>
      </c>
      <c r="D928" s="2" t="s">
        <v>1756</v>
      </c>
    </row>
    <row r="929" spans="1:4" ht="13.05" customHeight="1" x14ac:dyDescent="0.3">
      <c r="A929" s="2" t="s">
        <v>237</v>
      </c>
      <c r="B929" s="2" t="s">
        <v>1018</v>
      </c>
      <c r="C929" s="5" t="s">
        <v>1757</v>
      </c>
      <c r="D929" s="2" t="s">
        <v>1758</v>
      </c>
    </row>
    <row r="930" spans="1:4" ht="13.05" customHeight="1" x14ac:dyDescent="0.3">
      <c r="A930" s="2" t="s">
        <v>237</v>
      </c>
      <c r="B930" s="2" t="s">
        <v>1018</v>
      </c>
      <c r="C930" s="5" t="s">
        <v>1759</v>
      </c>
      <c r="D930" s="2" t="s">
        <v>1760</v>
      </c>
    </row>
    <row r="931" spans="1:4" ht="13.05" customHeight="1" x14ac:dyDescent="0.3">
      <c r="A931" s="2" t="s">
        <v>237</v>
      </c>
      <c r="B931" s="2" t="s">
        <v>1018</v>
      </c>
      <c r="C931" s="5" t="s">
        <v>1761</v>
      </c>
      <c r="D931" s="2" t="s">
        <v>1762</v>
      </c>
    </row>
    <row r="932" spans="1:4" ht="13.05" customHeight="1" x14ac:dyDescent="0.3">
      <c r="A932" s="2" t="s">
        <v>237</v>
      </c>
      <c r="B932" s="2" t="s">
        <v>1018</v>
      </c>
      <c r="C932" s="5" t="s">
        <v>1763</v>
      </c>
      <c r="D932" s="2" t="s">
        <v>1764</v>
      </c>
    </row>
    <row r="933" spans="1:4" ht="13.05" customHeight="1" x14ac:dyDescent="0.3">
      <c r="A933" s="2" t="s">
        <v>237</v>
      </c>
      <c r="B933" s="2" t="s">
        <v>1018</v>
      </c>
      <c r="C933" s="5" t="s">
        <v>1765</v>
      </c>
      <c r="D933" s="2" t="s">
        <v>1766</v>
      </c>
    </row>
    <row r="934" spans="1:4" ht="13.05" customHeight="1" x14ac:dyDescent="0.3">
      <c r="A934" s="2" t="s">
        <v>237</v>
      </c>
      <c r="B934" s="2" t="s">
        <v>1018</v>
      </c>
      <c r="C934" s="5" t="s">
        <v>1767</v>
      </c>
      <c r="D934" s="2" t="s">
        <v>1768</v>
      </c>
    </row>
    <row r="935" spans="1:4" ht="13.05" customHeight="1" x14ac:dyDescent="0.3">
      <c r="A935" s="2" t="s">
        <v>237</v>
      </c>
      <c r="B935" s="2" t="s">
        <v>1018</v>
      </c>
      <c r="C935" s="5" t="s">
        <v>1769</v>
      </c>
      <c r="D935" s="2" t="s">
        <v>1770</v>
      </c>
    </row>
    <row r="936" spans="1:4" ht="13.05" customHeight="1" x14ac:dyDescent="0.3">
      <c r="A936" s="2" t="s">
        <v>237</v>
      </c>
      <c r="B936" s="2" t="s">
        <v>1018</v>
      </c>
      <c r="C936" s="5" t="s">
        <v>1771</v>
      </c>
      <c r="D936" s="2" t="s">
        <v>1772</v>
      </c>
    </row>
    <row r="937" spans="1:4" ht="13.05" customHeight="1" x14ac:dyDescent="0.3">
      <c r="A937" s="2" t="s">
        <v>237</v>
      </c>
      <c r="B937" s="2" t="s">
        <v>1018</v>
      </c>
      <c r="C937" s="5" t="s">
        <v>1773</v>
      </c>
      <c r="D937" s="2" t="s">
        <v>1774</v>
      </c>
    </row>
    <row r="938" spans="1:4" ht="13.05" customHeight="1" x14ac:dyDescent="0.3">
      <c r="A938" s="2" t="s">
        <v>237</v>
      </c>
      <c r="B938" s="2" t="s">
        <v>1018</v>
      </c>
      <c r="C938" s="5" t="s">
        <v>1775</v>
      </c>
      <c r="D938" s="2" t="s">
        <v>1776</v>
      </c>
    </row>
    <row r="939" spans="1:4" ht="13.05" customHeight="1" x14ac:dyDescent="0.3">
      <c r="A939" s="2" t="s">
        <v>237</v>
      </c>
      <c r="B939" s="2" t="s">
        <v>1018</v>
      </c>
      <c r="C939" s="5" t="s">
        <v>1777</v>
      </c>
      <c r="D939" s="2" t="s">
        <v>1778</v>
      </c>
    </row>
    <row r="940" spans="1:4" ht="13.05" customHeight="1" x14ac:dyDescent="0.3">
      <c r="A940" s="2" t="s">
        <v>237</v>
      </c>
      <c r="B940" s="2" t="s">
        <v>1018</v>
      </c>
      <c r="C940" s="5" t="s">
        <v>1779</v>
      </c>
      <c r="D940" s="2" t="s">
        <v>1780</v>
      </c>
    </row>
    <row r="941" spans="1:4" ht="13.05" customHeight="1" x14ac:dyDescent="0.3">
      <c r="A941" s="2" t="s">
        <v>237</v>
      </c>
      <c r="B941" s="2" t="s">
        <v>1018</v>
      </c>
      <c r="C941" s="5" t="s">
        <v>1781</v>
      </c>
      <c r="D941" s="2" t="s">
        <v>1782</v>
      </c>
    </row>
    <row r="942" spans="1:4" ht="13.05" customHeight="1" x14ac:dyDescent="0.3">
      <c r="A942" s="2" t="s">
        <v>237</v>
      </c>
      <c r="B942" s="2" t="s">
        <v>1018</v>
      </c>
      <c r="C942" s="5" t="s">
        <v>1783</v>
      </c>
      <c r="D942" s="2" t="s">
        <v>1784</v>
      </c>
    </row>
    <row r="943" spans="1:4" ht="13.05" customHeight="1" x14ac:dyDescent="0.3">
      <c r="A943" s="2" t="s">
        <v>237</v>
      </c>
      <c r="B943" s="2" t="s">
        <v>1018</v>
      </c>
      <c r="C943" s="5" t="s">
        <v>1785</v>
      </c>
      <c r="D943" s="2" t="s">
        <v>1786</v>
      </c>
    </row>
    <row r="944" spans="1:4" ht="13.05" customHeight="1" x14ac:dyDescent="0.3">
      <c r="A944" s="2" t="s">
        <v>237</v>
      </c>
      <c r="B944" s="2" t="s">
        <v>1018</v>
      </c>
      <c r="C944" s="5" t="s">
        <v>1787</v>
      </c>
      <c r="D944" s="2" t="s">
        <v>1788</v>
      </c>
    </row>
    <row r="945" spans="1:4" ht="13.05" customHeight="1" x14ac:dyDescent="0.3">
      <c r="A945" s="2" t="s">
        <v>237</v>
      </c>
      <c r="B945" s="2" t="s">
        <v>1018</v>
      </c>
      <c r="C945" s="5" t="s">
        <v>1789</v>
      </c>
      <c r="D945" s="2" t="s">
        <v>1790</v>
      </c>
    </row>
    <row r="946" spans="1:4" ht="13.05" customHeight="1" x14ac:dyDescent="0.3">
      <c r="A946" s="2" t="s">
        <v>237</v>
      </c>
      <c r="B946" s="2" t="s">
        <v>1018</v>
      </c>
      <c r="C946" s="5" t="s">
        <v>1791</v>
      </c>
      <c r="D946" s="2" t="s">
        <v>1792</v>
      </c>
    </row>
    <row r="947" spans="1:4" ht="13.05" customHeight="1" x14ac:dyDescent="0.3">
      <c r="A947" s="2" t="s">
        <v>237</v>
      </c>
      <c r="B947" s="2" t="s">
        <v>1018</v>
      </c>
      <c r="C947" s="5" t="s">
        <v>1793</v>
      </c>
      <c r="D947" s="2" t="s">
        <v>1794</v>
      </c>
    </row>
    <row r="948" spans="1:4" ht="13.05" customHeight="1" x14ac:dyDescent="0.3">
      <c r="A948" s="2" t="s">
        <v>237</v>
      </c>
      <c r="B948" s="2" t="s">
        <v>1018</v>
      </c>
      <c r="C948" s="5" t="s">
        <v>1795</v>
      </c>
      <c r="D948" s="2" t="s">
        <v>1796</v>
      </c>
    </row>
    <row r="949" spans="1:4" ht="13.05" customHeight="1" x14ac:dyDescent="0.3">
      <c r="A949" s="2" t="s">
        <v>237</v>
      </c>
      <c r="B949" s="2" t="s">
        <v>1018</v>
      </c>
      <c r="C949" s="5" t="s">
        <v>1797</v>
      </c>
      <c r="D949" s="2" t="s">
        <v>1798</v>
      </c>
    </row>
    <row r="950" spans="1:4" ht="13.05" customHeight="1" x14ac:dyDescent="0.3">
      <c r="A950" s="2" t="s">
        <v>237</v>
      </c>
      <c r="B950" s="2" t="s">
        <v>1018</v>
      </c>
      <c r="C950" s="5" t="s">
        <v>1799</v>
      </c>
      <c r="D950" s="2" t="s">
        <v>1800</v>
      </c>
    </row>
    <row r="951" spans="1:4" ht="13.05" customHeight="1" x14ac:dyDescent="0.3">
      <c r="A951" s="2" t="s">
        <v>237</v>
      </c>
      <c r="B951" s="2" t="s">
        <v>1018</v>
      </c>
      <c r="C951" s="5" t="s">
        <v>1801</v>
      </c>
      <c r="D951" s="2" t="s">
        <v>1802</v>
      </c>
    </row>
    <row r="952" spans="1:4" ht="13.05" customHeight="1" x14ac:dyDescent="0.3">
      <c r="A952" s="2" t="s">
        <v>237</v>
      </c>
      <c r="B952" s="2" t="s">
        <v>1018</v>
      </c>
      <c r="C952" s="5" t="s">
        <v>1803</v>
      </c>
      <c r="D952" s="2" t="s">
        <v>1804</v>
      </c>
    </row>
    <row r="953" spans="1:4" ht="13.05" customHeight="1" x14ac:dyDescent="0.3">
      <c r="A953" s="2" t="s">
        <v>237</v>
      </c>
      <c r="B953" s="2" t="s">
        <v>1018</v>
      </c>
      <c r="C953" s="5" t="s">
        <v>1805</v>
      </c>
      <c r="D953" s="2" t="s">
        <v>1806</v>
      </c>
    </row>
    <row r="954" spans="1:4" ht="13.05" customHeight="1" x14ac:dyDescent="0.3">
      <c r="A954" s="2" t="s">
        <v>237</v>
      </c>
      <c r="B954" s="2" t="s">
        <v>1018</v>
      </c>
      <c r="C954" s="5" t="s">
        <v>1807</v>
      </c>
      <c r="D954" s="2" t="s">
        <v>1808</v>
      </c>
    </row>
    <row r="955" spans="1:4" ht="13.05" customHeight="1" x14ac:dyDescent="0.3">
      <c r="A955" s="2" t="s">
        <v>237</v>
      </c>
      <c r="B955" s="2" t="s">
        <v>1018</v>
      </c>
      <c r="C955" s="5" t="s">
        <v>1809</v>
      </c>
      <c r="D955" s="2" t="s">
        <v>1810</v>
      </c>
    </row>
    <row r="956" spans="1:4" ht="13.05" customHeight="1" x14ac:dyDescent="0.3">
      <c r="A956" s="2" t="s">
        <v>237</v>
      </c>
      <c r="B956" s="2" t="s">
        <v>1018</v>
      </c>
      <c r="C956" s="5" t="s">
        <v>1811</v>
      </c>
      <c r="D956" s="2" t="s">
        <v>1812</v>
      </c>
    </row>
    <row r="957" spans="1:4" ht="13.05" customHeight="1" x14ac:dyDescent="0.3">
      <c r="A957" s="2" t="s">
        <v>237</v>
      </c>
      <c r="B957" s="2" t="s">
        <v>1018</v>
      </c>
      <c r="C957" s="5" t="s">
        <v>1813</v>
      </c>
      <c r="D957" s="2" t="s">
        <v>1814</v>
      </c>
    </row>
    <row r="958" spans="1:4" ht="13.05" customHeight="1" x14ac:dyDescent="0.3">
      <c r="A958" s="2" t="s">
        <v>237</v>
      </c>
      <c r="B958" s="2" t="s">
        <v>1018</v>
      </c>
      <c r="C958" s="5" t="s">
        <v>1815</v>
      </c>
      <c r="D958" s="2" t="s">
        <v>1816</v>
      </c>
    </row>
    <row r="959" spans="1:4" ht="13.05" customHeight="1" x14ac:dyDescent="0.3">
      <c r="A959" s="2" t="s">
        <v>237</v>
      </c>
      <c r="B959" s="2" t="s">
        <v>1018</v>
      </c>
      <c r="C959" s="5" t="s">
        <v>1817</v>
      </c>
      <c r="D959" s="2" t="s">
        <v>1818</v>
      </c>
    </row>
    <row r="960" spans="1:4" ht="13.05" customHeight="1" x14ac:dyDescent="0.3">
      <c r="A960" s="2" t="s">
        <v>237</v>
      </c>
      <c r="B960" s="2" t="s">
        <v>1018</v>
      </c>
      <c r="C960" s="5" t="s">
        <v>1819</v>
      </c>
      <c r="D960" s="2" t="s">
        <v>1820</v>
      </c>
    </row>
    <row r="961" spans="1:4" ht="13.05" customHeight="1" x14ac:dyDescent="0.3">
      <c r="A961" s="2" t="s">
        <v>237</v>
      </c>
      <c r="B961" s="2" t="s">
        <v>1018</v>
      </c>
      <c r="C961" s="5" t="s">
        <v>1821</v>
      </c>
      <c r="D961" s="2" t="s">
        <v>1822</v>
      </c>
    </row>
    <row r="962" spans="1:4" ht="13.05" customHeight="1" x14ac:dyDescent="0.3">
      <c r="A962" s="2" t="s">
        <v>237</v>
      </c>
      <c r="B962" s="2" t="s">
        <v>1018</v>
      </c>
      <c r="C962" s="5" t="s">
        <v>1823</v>
      </c>
      <c r="D962" s="2" t="s">
        <v>1824</v>
      </c>
    </row>
    <row r="963" spans="1:4" ht="13.05" customHeight="1" x14ac:dyDescent="0.3">
      <c r="A963" s="2" t="s">
        <v>237</v>
      </c>
      <c r="B963" s="2" t="s">
        <v>1018</v>
      </c>
      <c r="C963" s="5" t="s">
        <v>1825</v>
      </c>
      <c r="D963" s="2" t="s">
        <v>1826</v>
      </c>
    </row>
    <row r="964" spans="1:4" ht="13.05" customHeight="1" x14ac:dyDescent="0.3">
      <c r="A964" s="2" t="s">
        <v>237</v>
      </c>
      <c r="B964" s="2" t="s">
        <v>1018</v>
      </c>
      <c r="C964" s="5" t="s">
        <v>1827</v>
      </c>
      <c r="D964" s="2" t="s">
        <v>1828</v>
      </c>
    </row>
    <row r="965" spans="1:4" ht="13.05" customHeight="1" x14ac:dyDescent="0.3">
      <c r="A965" s="2" t="s">
        <v>237</v>
      </c>
      <c r="B965" s="2" t="s">
        <v>1018</v>
      </c>
      <c r="C965" s="5" t="s">
        <v>1829</v>
      </c>
      <c r="D965" s="2" t="s">
        <v>1830</v>
      </c>
    </row>
    <row r="966" spans="1:4" ht="13.05" customHeight="1" x14ac:dyDescent="0.3">
      <c r="A966" s="2" t="s">
        <v>237</v>
      </c>
      <c r="B966" s="2" t="s">
        <v>1018</v>
      </c>
      <c r="C966" s="5" t="s">
        <v>1831</v>
      </c>
      <c r="D966" s="2" t="s">
        <v>1832</v>
      </c>
    </row>
    <row r="967" spans="1:4" ht="13.05" customHeight="1" x14ac:dyDescent="0.3">
      <c r="A967" s="2" t="s">
        <v>237</v>
      </c>
      <c r="B967" s="2" t="s">
        <v>1018</v>
      </c>
      <c r="C967" s="5" t="s">
        <v>1833</v>
      </c>
      <c r="D967" s="2" t="s">
        <v>1834</v>
      </c>
    </row>
    <row r="968" spans="1:4" ht="13.05" customHeight="1" x14ac:dyDescent="0.3">
      <c r="A968" s="2" t="s">
        <v>237</v>
      </c>
      <c r="B968" s="2" t="s">
        <v>1018</v>
      </c>
      <c r="C968" s="5" t="s">
        <v>1835</v>
      </c>
      <c r="D968" s="2" t="s">
        <v>1836</v>
      </c>
    </row>
    <row r="969" spans="1:4" ht="13.05" customHeight="1" x14ac:dyDescent="0.3">
      <c r="A969" s="2" t="s">
        <v>237</v>
      </c>
      <c r="B969" s="2" t="s">
        <v>1018</v>
      </c>
      <c r="C969" s="5" t="s">
        <v>1837</v>
      </c>
      <c r="D969" s="2" t="s">
        <v>1838</v>
      </c>
    </row>
    <row r="970" spans="1:4" ht="13.05" customHeight="1" x14ac:dyDescent="0.3">
      <c r="A970" s="2" t="s">
        <v>237</v>
      </c>
      <c r="B970" s="2" t="s">
        <v>1018</v>
      </c>
      <c r="C970" s="5" t="s">
        <v>1839</v>
      </c>
      <c r="D970" s="2" t="s">
        <v>1840</v>
      </c>
    </row>
    <row r="971" spans="1:4" ht="13.05" customHeight="1" x14ac:dyDescent="0.3">
      <c r="A971" s="2" t="s">
        <v>237</v>
      </c>
      <c r="B971" s="2" t="s">
        <v>1018</v>
      </c>
      <c r="C971" s="5" t="s">
        <v>1841</v>
      </c>
      <c r="D971" s="2" t="s">
        <v>1842</v>
      </c>
    </row>
    <row r="972" spans="1:4" ht="13.05" customHeight="1" x14ac:dyDescent="0.3">
      <c r="A972" s="2" t="s">
        <v>237</v>
      </c>
      <c r="B972" s="2" t="s">
        <v>1018</v>
      </c>
      <c r="C972" s="5" t="s">
        <v>1843</v>
      </c>
      <c r="D972" s="2" t="s">
        <v>1844</v>
      </c>
    </row>
    <row r="973" spans="1:4" ht="13.05" customHeight="1" x14ac:dyDescent="0.3">
      <c r="A973" s="2" t="s">
        <v>237</v>
      </c>
      <c r="B973" s="2" t="s">
        <v>1018</v>
      </c>
      <c r="C973" s="5" t="s">
        <v>1845</v>
      </c>
      <c r="D973" s="2" t="s">
        <v>1846</v>
      </c>
    </row>
    <row r="974" spans="1:4" ht="13.05" customHeight="1" x14ac:dyDescent="0.3">
      <c r="A974" s="2" t="s">
        <v>237</v>
      </c>
      <c r="B974" s="2" t="s">
        <v>1018</v>
      </c>
      <c r="C974" s="5" t="s">
        <v>1847</v>
      </c>
      <c r="D974" s="2" t="s">
        <v>1848</v>
      </c>
    </row>
    <row r="975" spans="1:4" ht="13.05" customHeight="1" x14ac:dyDescent="0.3">
      <c r="A975" s="2" t="s">
        <v>237</v>
      </c>
      <c r="B975" s="2" t="s">
        <v>1018</v>
      </c>
      <c r="C975" s="5" t="s">
        <v>1849</v>
      </c>
      <c r="D975" s="2" t="s">
        <v>1850</v>
      </c>
    </row>
    <row r="976" spans="1:4" ht="13.05" customHeight="1" x14ac:dyDescent="0.3">
      <c r="A976" s="2" t="s">
        <v>237</v>
      </c>
      <c r="B976" s="2" t="s">
        <v>1018</v>
      </c>
      <c r="C976" s="5" t="s">
        <v>1851</v>
      </c>
      <c r="D976" s="2" t="s">
        <v>1852</v>
      </c>
    </row>
    <row r="977" spans="1:4" ht="13.05" customHeight="1" x14ac:dyDescent="0.3">
      <c r="A977" s="2" t="s">
        <v>237</v>
      </c>
      <c r="B977" s="2" t="s">
        <v>1018</v>
      </c>
      <c r="C977" s="5" t="s">
        <v>1853</v>
      </c>
      <c r="D977" s="2" t="s">
        <v>1854</v>
      </c>
    </row>
    <row r="978" spans="1:4" ht="13.05" customHeight="1" x14ac:dyDescent="0.3">
      <c r="A978" s="2" t="s">
        <v>237</v>
      </c>
      <c r="B978" s="2" t="s">
        <v>1018</v>
      </c>
      <c r="C978" s="5" t="s">
        <v>1855</v>
      </c>
      <c r="D978" s="2" t="s">
        <v>1856</v>
      </c>
    </row>
    <row r="979" spans="1:4" ht="13.05" customHeight="1" x14ac:dyDescent="0.3">
      <c r="A979" s="2" t="s">
        <v>237</v>
      </c>
      <c r="B979" s="2" t="s">
        <v>1018</v>
      </c>
      <c r="C979" s="5" t="s">
        <v>1857</v>
      </c>
      <c r="D979" s="2" t="s">
        <v>1858</v>
      </c>
    </row>
    <row r="980" spans="1:4" ht="13.05" customHeight="1" x14ac:dyDescent="0.3">
      <c r="A980" s="2" t="s">
        <v>237</v>
      </c>
      <c r="B980" s="2" t="s">
        <v>1018</v>
      </c>
      <c r="C980" s="5" t="s">
        <v>1859</v>
      </c>
      <c r="D980" s="2" t="s">
        <v>1860</v>
      </c>
    </row>
    <row r="981" spans="1:4" ht="13.05" customHeight="1" x14ac:dyDescent="0.3">
      <c r="A981" s="2" t="s">
        <v>237</v>
      </c>
      <c r="B981" s="2" t="s">
        <v>1018</v>
      </c>
      <c r="C981" s="5" t="s">
        <v>1861</v>
      </c>
      <c r="D981" s="2" t="s">
        <v>1862</v>
      </c>
    </row>
    <row r="982" spans="1:4" ht="13.05" customHeight="1" x14ac:dyDescent="0.3">
      <c r="A982" s="2" t="s">
        <v>237</v>
      </c>
      <c r="B982" s="2" t="s">
        <v>1018</v>
      </c>
      <c r="C982" s="5" t="s">
        <v>1863</v>
      </c>
      <c r="D982" s="2" t="s">
        <v>1864</v>
      </c>
    </row>
    <row r="983" spans="1:4" ht="13.05" customHeight="1" x14ac:dyDescent="0.3">
      <c r="A983" s="2" t="s">
        <v>237</v>
      </c>
      <c r="B983" s="2" t="s">
        <v>1018</v>
      </c>
      <c r="C983" s="5" t="s">
        <v>1865</v>
      </c>
      <c r="D983" s="2" t="s">
        <v>1866</v>
      </c>
    </row>
    <row r="984" spans="1:4" ht="13.05" customHeight="1" x14ac:dyDescent="0.3">
      <c r="A984" s="2" t="s">
        <v>237</v>
      </c>
      <c r="B984" s="2" t="s">
        <v>1018</v>
      </c>
      <c r="C984" s="5" t="s">
        <v>1867</v>
      </c>
      <c r="D984" s="2" t="s">
        <v>1868</v>
      </c>
    </row>
    <row r="985" spans="1:4" ht="13.05" customHeight="1" x14ac:dyDescent="0.3">
      <c r="A985" s="2" t="s">
        <v>237</v>
      </c>
      <c r="B985" s="2" t="s">
        <v>1018</v>
      </c>
      <c r="C985" s="5" t="s">
        <v>1869</v>
      </c>
      <c r="D985" s="2" t="s">
        <v>1870</v>
      </c>
    </row>
    <row r="986" spans="1:4" ht="13.05" customHeight="1" x14ac:dyDescent="0.3">
      <c r="A986" s="2" t="s">
        <v>237</v>
      </c>
      <c r="B986" s="2" t="s">
        <v>1018</v>
      </c>
      <c r="C986" s="5" t="s">
        <v>1871</v>
      </c>
      <c r="D986" s="2" t="s">
        <v>1872</v>
      </c>
    </row>
    <row r="987" spans="1:4" ht="13.05" customHeight="1" x14ac:dyDescent="0.3">
      <c r="A987" s="2" t="s">
        <v>237</v>
      </c>
      <c r="B987" s="2" t="s">
        <v>1018</v>
      </c>
      <c r="C987" s="5" t="s">
        <v>1873</v>
      </c>
      <c r="D987" s="2" t="s">
        <v>1874</v>
      </c>
    </row>
    <row r="988" spans="1:4" ht="13.05" customHeight="1" x14ac:dyDescent="0.3">
      <c r="A988" s="2" t="s">
        <v>237</v>
      </c>
      <c r="B988" s="2" t="s">
        <v>1018</v>
      </c>
      <c r="C988" s="5" t="s">
        <v>1875</v>
      </c>
      <c r="D988" s="2" t="s">
        <v>1876</v>
      </c>
    </row>
    <row r="989" spans="1:4" ht="13.05" customHeight="1" x14ac:dyDescent="0.3">
      <c r="A989" s="2" t="s">
        <v>237</v>
      </c>
      <c r="B989" s="2" t="s">
        <v>1018</v>
      </c>
      <c r="C989" s="5" t="s">
        <v>1877</v>
      </c>
      <c r="D989" s="2" t="s">
        <v>1878</v>
      </c>
    </row>
    <row r="990" spans="1:4" ht="13.05" customHeight="1" x14ac:dyDescent="0.3">
      <c r="A990" s="2" t="s">
        <v>237</v>
      </c>
      <c r="B990" s="2" t="s">
        <v>1018</v>
      </c>
      <c r="C990" s="5" t="s">
        <v>1879</v>
      </c>
      <c r="D990" s="2" t="s">
        <v>1880</v>
      </c>
    </row>
    <row r="991" spans="1:4" ht="13.05" customHeight="1" x14ac:dyDescent="0.3">
      <c r="A991" s="2" t="s">
        <v>237</v>
      </c>
      <c r="B991" s="2" t="s">
        <v>1018</v>
      </c>
      <c r="C991" s="5" t="s">
        <v>1881</v>
      </c>
      <c r="D991" s="2" t="s">
        <v>1882</v>
      </c>
    </row>
    <row r="992" spans="1:4" ht="13.05" customHeight="1" x14ac:dyDescent="0.3">
      <c r="A992" s="2" t="s">
        <v>237</v>
      </c>
      <c r="B992" s="2" t="s">
        <v>1018</v>
      </c>
      <c r="C992" s="5" t="s">
        <v>1883</v>
      </c>
      <c r="D992" s="2" t="s">
        <v>1884</v>
      </c>
    </row>
    <row r="993" spans="1:4" ht="13.05" customHeight="1" x14ac:dyDescent="0.3">
      <c r="A993" s="2" t="s">
        <v>237</v>
      </c>
      <c r="B993" s="2" t="s">
        <v>1018</v>
      </c>
      <c r="C993" s="5" t="s">
        <v>1885</v>
      </c>
      <c r="D993" s="2" t="s">
        <v>1886</v>
      </c>
    </row>
    <row r="994" spans="1:4" ht="13.05" customHeight="1" x14ac:dyDescent="0.3">
      <c r="A994" s="2" t="s">
        <v>237</v>
      </c>
      <c r="B994" s="2" t="s">
        <v>1018</v>
      </c>
      <c r="C994" s="5" t="s">
        <v>1887</v>
      </c>
      <c r="D994" s="2" t="s">
        <v>1888</v>
      </c>
    </row>
    <row r="995" spans="1:4" ht="13.05" customHeight="1" x14ac:dyDescent="0.3">
      <c r="A995" s="2" t="s">
        <v>237</v>
      </c>
      <c r="B995" s="2" t="s">
        <v>1018</v>
      </c>
      <c r="C995" s="5" t="s">
        <v>1889</v>
      </c>
      <c r="D995" s="2" t="s">
        <v>1890</v>
      </c>
    </row>
    <row r="996" spans="1:4" ht="13.05" customHeight="1" x14ac:dyDescent="0.3">
      <c r="A996" s="2" t="s">
        <v>237</v>
      </c>
      <c r="B996" s="2" t="s">
        <v>1018</v>
      </c>
      <c r="C996" s="5" t="s">
        <v>1891</v>
      </c>
      <c r="D996" s="2" t="s">
        <v>1892</v>
      </c>
    </row>
    <row r="997" spans="1:4" ht="13.05" customHeight="1" x14ac:dyDescent="0.3">
      <c r="A997" s="2" t="s">
        <v>237</v>
      </c>
      <c r="B997" s="2" t="s">
        <v>1018</v>
      </c>
      <c r="C997" s="5" t="s">
        <v>1893</v>
      </c>
      <c r="D997" s="2" t="s">
        <v>1894</v>
      </c>
    </row>
    <row r="998" spans="1:4" ht="13.05" customHeight="1" x14ac:dyDescent="0.3">
      <c r="A998" s="2" t="s">
        <v>237</v>
      </c>
      <c r="B998" s="2" t="s">
        <v>1018</v>
      </c>
      <c r="C998" s="5" t="s">
        <v>1895</v>
      </c>
      <c r="D998" s="2" t="s">
        <v>1896</v>
      </c>
    </row>
    <row r="999" spans="1:4" ht="13.05" customHeight="1" x14ac:dyDescent="0.3">
      <c r="A999" s="2" t="s">
        <v>237</v>
      </c>
      <c r="B999" s="2" t="s">
        <v>1018</v>
      </c>
      <c r="C999" s="5" t="s">
        <v>1897</v>
      </c>
      <c r="D999" s="2" t="s">
        <v>1898</v>
      </c>
    </row>
    <row r="1000" spans="1:4" ht="13.05" customHeight="1" x14ac:dyDescent="0.3">
      <c r="A1000" s="2" t="s">
        <v>237</v>
      </c>
      <c r="B1000" s="2" t="s">
        <v>1018</v>
      </c>
      <c r="C1000" s="5" t="s">
        <v>1899</v>
      </c>
      <c r="D1000" s="2" t="s">
        <v>1900</v>
      </c>
    </row>
    <row r="1001" spans="1:4" ht="13.05" customHeight="1" x14ac:dyDescent="0.3">
      <c r="A1001" s="2" t="s">
        <v>237</v>
      </c>
      <c r="B1001" s="2" t="s">
        <v>1018</v>
      </c>
      <c r="C1001" s="5" t="s">
        <v>1901</v>
      </c>
      <c r="D1001" s="2" t="s">
        <v>1902</v>
      </c>
    </row>
    <row r="1002" spans="1:4" ht="13.05" customHeight="1" x14ac:dyDescent="0.3">
      <c r="A1002" s="2" t="s">
        <v>237</v>
      </c>
      <c r="B1002" s="2" t="s">
        <v>1018</v>
      </c>
      <c r="C1002" s="5" t="s">
        <v>1903</v>
      </c>
      <c r="D1002" s="2" t="s">
        <v>1904</v>
      </c>
    </row>
    <row r="1003" spans="1:4" ht="13.05" customHeight="1" x14ac:dyDescent="0.3">
      <c r="A1003" s="2" t="s">
        <v>237</v>
      </c>
      <c r="B1003" s="2" t="s">
        <v>1018</v>
      </c>
      <c r="C1003" s="5" t="s">
        <v>1905</v>
      </c>
      <c r="D1003" s="2" t="s">
        <v>1906</v>
      </c>
    </row>
    <row r="1004" spans="1:4" ht="13.05" customHeight="1" x14ac:dyDescent="0.3">
      <c r="A1004" s="2" t="s">
        <v>237</v>
      </c>
      <c r="B1004" s="2" t="s">
        <v>1018</v>
      </c>
      <c r="C1004" s="5" t="s">
        <v>1907</v>
      </c>
      <c r="D1004" s="2" t="s">
        <v>1908</v>
      </c>
    </row>
    <row r="1005" spans="1:4" ht="13.05" customHeight="1" x14ac:dyDescent="0.3">
      <c r="A1005" s="2" t="s">
        <v>237</v>
      </c>
      <c r="B1005" s="2" t="s">
        <v>1018</v>
      </c>
      <c r="C1005" s="5" t="s">
        <v>1909</v>
      </c>
      <c r="D1005" s="2" t="s">
        <v>1910</v>
      </c>
    </row>
    <row r="1006" spans="1:4" ht="13.05" customHeight="1" x14ac:dyDescent="0.3">
      <c r="A1006" s="2" t="s">
        <v>237</v>
      </c>
      <c r="B1006" s="2" t="s">
        <v>1018</v>
      </c>
      <c r="C1006" s="5" t="s">
        <v>1911</v>
      </c>
      <c r="D1006" s="2" t="s">
        <v>1912</v>
      </c>
    </row>
    <row r="1007" spans="1:4" ht="13.05" customHeight="1" x14ac:dyDescent="0.3">
      <c r="A1007" s="2" t="s">
        <v>237</v>
      </c>
      <c r="B1007" s="2" t="s">
        <v>1018</v>
      </c>
      <c r="C1007" s="5" t="s">
        <v>1913</v>
      </c>
      <c r="D1007" s="2" t="s">
        <v>1914</v>
      </c>
    </row>
    <row r="1008" spans="1:4" ht="13.05" customHeight="1" x14ac:dyDescent="0.3">
      <c r="A1008" s="2" t="s">
        <v>237</v>
      </c>
      <c r="B1008" s="2" t="s">
        <v>1018</v>
      </c>
      <c r="C1008" s="5" t="s">
        <v>1915</v>
      </c>
      <c r="D1008" s="2" t="s">
        <v>1916</v>
      </c>
    </row>
    <row r="1009" spans="1:4" ht="13.05" customHeight="1" x14ac:dyDescent="0.3">
      <c r="A1009" s="2" t="s">
        <v>237</v>
      </c>
      <c r="B1009" s="2" t="s">
        <v>1018</v>
      </c>
      <c r="C1009" s="5" t="s">
        <v>1917</v>
      </c>
      <c r="D1009" s="2" t="s">
        <v>1918</v>
      </c>
    </row>
    <row r="1010" spans="1:4" ht="13.05" customHeight="1" x14ac:dyDescent="0.3">
      <c r="A1010" s="2" t="s">
        <v>237</v>
      </c>
      <c r="B1010" s="2" t="s">
        <v>1018</v>
      </c>
      <c r="C1010" s="5" t="s">
        <v>1919</v>
      </c>
      <c r="D1010" s="2" t="s">
        <v>1920</v>
      </c>
    </row>
    <row r="1011" spans="1:4" ht="13.05" customHeight="1" x14ac:dyDescent="0.3">
      <c r="A1011" s="2" t="s">
        <v>237</v>
      </c>
      <c r="B1011" s="2" t="s">
        <v>1018</v>
      </c>
      <c r="C1011" s="5" t="s">
        <v>1921</v>
      </c>
      <c r="D1011" s="2" t="s">
        <v>1922</v>
      </c>
    </row>
    <row r="1012" spans="1:4" ht="13.05" customHeight="1" x14ac:dyDescent="0.3">
      <c r="A1012" s="2" t="s">
        <v>237</v>
      </c>
      <c r="B1012" s="2" t="s">
        <v>1018</v>
      </c>
      <c r="C1012" s="5" t="s">
        <v>1923</v>
      </c>
      <c r="D1012" s="2" t="s">
        <v>1924</v>
      </c>
    </row>
    <row r="1013" spans="1:4" ht="13.05" customHeight="1" x14ac:dyDescent="0.3">
      <c r="A1013" s="2" t="s">
        <v>237</v>
      </c>
      <c r="B1013" s="2" t="s">
        <v>1018</v>
      </c>
      <c r="C1013" s="5" t="s">
        <v>1925</v>
      </c>
      <c r="D1013" s="2" t="s">
        <v>1926</v>
      </c>
    </row>
    <row r="1014" spans="1:4" ht="13.05" customHeight="1" x14ac:dyDescent="0.3">
      <c r="A1014" s="2" t="s">
        <v>237</v>
      </c>
      <c r="B1014" s="2" t="s">
        <v>1018</v>
      </c>
      <c r="C1014" s="5" t="s">
        <v>1927</v>
      </c>
      <c r="D1014" s="2" t="s">
        <v>1928</v>
      </c>
    </row>
    <row r="1015" spans="1:4" ht="13.05" customHeight="1" x14ac:dyDescent="0.3">
      <c r="A1015" s="2" t="s">
        <v>237</v>
      </c>
      <c r="B1015" s="2" t="s">
        <v>1018</v>
      </c>
      <c r="C1015" s="5" t="s">
        <v>1929</v>
      </c>
      <c r="D1015" s="2" t="s">
        <v>1930</v>
      </c>
    </row>
    <row r="1016" spans="1:4" ht="13.05" customHeight="1" x14ac:dyDescent="0.3">
      <c r="A1016" s="2" t="s">
        <v>237</v>
      </c>
      <c r="B1016" s="2" t="s">
        <v>1018</v>
      </c>
      <c r="C1016" s="5" t="s">
        <v>1931</v>
      </c>
      <c r="D1016" s="2" t="s">
        <v>1932</v>
      </c>
    </row>
    <row r="1017" spans="1:4" ht="13.05" customHeight="1" x14ac:dyDescent="0.3">
      <c r="A1017" s="2" t="s">
        <v>237</v>
      </c>
      <c r="B1017" s="2" t="s">
        <v>1018</v>
      </c>
      <c r="C1017" s="5" t="s">
        <v>1933</v>
      </c>
      <c r="D1017" s="2" t="s">
        <v>1934</v>
      </c>
    </row>
    <row r="1018" spans="1:4" ht="13.05" customHeight="1" x14ac:dyDescent="0.3">
      <c r="A1018" s="2" t="s">
        <v>237</v>
      </c>
      <c r="B1018" s="2" t="s">
        <v>1018</v>
      </c>
      <c r="C1018" s="5" t="s">
        <v>1935</v>
      </c>
      <c r="D1018" s="2" t="s">
        <v>1936</v>
      </c>
    </row>
    <row r="1019" spans="1:4" ht="13.05" customHeight="1" x14ac:dyDescent="0.3">
      <c r="A1019" s="2" t="s">
        <v>237</v>
      </c>
      <c r="B1019" s="2" t="s">
        <v>1018</v>
      </c>
      <c r="C1019" s="5" t="s">
        <v>1937</v>
      </c>
      <c r="D1019" s="2" t="s">
        <v>1938</v>
      </c>
    </row>
    <row r="1020" spans="1:4" ht="13.05" customHeight="1" x14ac:dyDescent="0.3">
      <c r="A1020" s="2" t="s">
        <v>237</v>
      </c>
      <c r="B1020" s="2" t="s">
        <v>1018</v>
      </c>
      <c r="C1020" s="5" t="s">
        <v>1939</v>
      </c>
      <c r="D1020" s="2" t="s">
        <v>1940</v>
      </c>
    </row>
    <row r="1021" spans="1:4" ht="13.05" customHeight="1" x14ac:dyDescent="0.3">
      <c r="A1021" s="2" t="s">
        <v>237</v>
      </c>
      <c r="B1021" s="2" t="s">
        <v>1018</v>
      </c>
      <c r="C1021" s="5" t="s">
        <v>1941</v>
      </c>
      <c r="D1021" s="2" t="s">
        <v>1942</v>
      </c>
    </row>
    <row r="1022" spans="1:4" ht="13.05" customHeight="1" x14ac:dyDescent="0.3">
      <c r="A1022" s="2" t="s">
        <v>237</v>
      </c>
      <c r="B1022" s="2" t="s">
        <v>1018</v>
      </c>
      <c r="C1022" s="5" t="s">
        <v>1943</v>
      </c>
      <c r="D1022" s="2" t="s">
        <v>1944</v>
      </c>
    </row>
    <row r="1023" spans="1:4" ht="13.05" customHeight="1" x14ac:dyDescent="0.3">
      <c r="A1023" s="2" t="s">
        <v>237</v>
      </c>
      <c r="B1023" s="2" t="s">
        <v>1018</v>
      </c>
      <c r="C1023" s="5" t="s">
        <v>1945</v>
      </c>
      <c r="D1023" s="2" t="s">
        <v>1946</v>
      </c>
    </row>
    <row r="1024" spans="1:4" ht="13.05" customHeight="1" x14ac:dyDescent="0.3">
      <c r="A1024" s="2" t="s">
        <v>237</v>
      </c>
      <c r="B1024" s="2" t="s">
        <v>1018</v>
      </c>
      <c r="C1024" s="5" t="s">
        <v>1947</v>
      </c>
      <c r="D1024" s="2" t="s">
        <v>1948</v>
      </c>
    </row>
    <row r="1025" spans="1:4" ht="13.05" customHeight="1" x14ac:dyDescent="0.3">
      <c r="A1025" s="2" t="s">
        <v>237</v>
      </c>
      <c r="B1025" s="2" t="s">
        <v>1018</v>
      </c>
      <c r="C1025" s="5" t="s">
        <v>1949</v>
      </c>
      <c r="D1025" s="2" t="s">
        <v>1950</v>
      </c>
    </row>
    <row r="1026" spans="1:4" ht="13.05" customHeight="1" x14ac:dyDescent="0.3">
      <c r="A1026" s="2" t="s">
        <v>237</v>
      </c>
      <c r="B1026" s="2" t="s">
        <v>1018</v>
      </c>
      <c r="C1026" s="5" t="s">
        <v>1951</v>
      </c>
      <c r="D1026" s="2" t="s">
        <v>1952</v>
      </c>
    </row>
    <row r="1027" spans="1:4" ht="13.05" customHeight="1" x14ac:dyDescent="0.3">
      <c r="A1027" s="2" t="s">
        <v>237</v>
      </c>
      <c r="B1027" s="2" t="s">
        <v>1018</v>
      </c>
      <c r="C1027" s="5" t="s">
        <v>1953</v>
      </c>
      <c r="D1027" s="2" t="s">
        <v>1954</v>
      </c>
    </row>
    <row r="1028" spans="1:4" ht="13.05" customHeight="1" x14ac:dyDescent="0.3">
      <c r="A1028" s="2" t="s">
        <v>237</v>
      </c>
      <c r="B1028" s="2" t="s">
        <v>1018</v>
      </c>
      <c r="C1028" s="5" t="s">
        <v>1955</v>
      </c>
      <c r="D1028" s="2" t="s">
        <v>1956</v>
      </c>
    </row>
    <row r="1029" spans="1:4" ht="13.05" customHeight="1" x14ac:dyDescent="0.3">
      <c r="A1029" s="2" t="s">
        <v>237</v>
      </c>
      <c r="B1029" s="2" t="s">
        <v>1018</v>
      </c>
      <c r="C1029" s="5" t="s">
        <v>1957</v>
      </c>
      <c r="D1029" s="2" t="s">
        <v>1958</v>
      </c>
    </row>
    <row r="1030" spans="1:4" ht="13.05" customHeight="1" x14ac:dyDescent="0.3">
      <c r="A1030" s="2" t="s">
        <v>237</v>
      </c>
      <c r="B1030" s="2" t="s">
        <v>1018</v>
      </c>
      <c r="C1030" s="5" t="s">
        <v>1959</v>
      </c>
      <c r="D1030" s="2" t="s">
        <v>1960</v>
      </c>
    </row>
    <row r="1031" spans="1:4" ht="13.05" customHeight="1" x14ac:dyDescent="0.3">
      <c r="A1031" s="2" t="s">
        <v>237</v>
      </c>
      <c r="B1031" s="2" t="s">
        <v>1018</v>
      </c>
      <c r="C1031" s="5" t="s">
        <v>1961</v>
      </c>
      <c r="D1031" s="2" t="s">
        <v>1962</v>
      </c>
    </row>
    <row r="1032" spans="1:4" ht="13.05" customHeight="1" x14ac:dyDescent="0.3">
      <c r="A1032" s="2" t="s">
        <v>237</v>
      </c>
      <c r="B1032" s="2" t="s">
        <v>1018</v>
      </c>
      <c r="C1032" s="5" t="s">
        <v>1963</v>
      </c>
      <c r="D1032" s="2" t="s">
        <v>1964</v>
      </c>
    </row>
    <row r="1033" spans="1:4" ht="13.05" customHeight="1" x14ac:dyDescent="0.3">
      <c r="A1033" s="2" t="s">
        <v>237</v>
      </c>
      <c r="B1033" s="2" t="s">
        <v>1018</v>
      </c>
      <c r="C1033" s="5" t="s">
        <v>1965</v>
      </c>
      <c r="D1033" s="2" t="s">
        <v>1966</v>
      </c>
    </row>
    <row r="1034" spans="1:4" ht="13.05" customHeight="1" x14ac:dyDescent="0.3">
      <c r="A1034" s="2" t="s">
        <v>237</v>
      </c>
      <c r="B1034" s="2" t="s">
        <v>1018</v>
      </c>
      <c r="C1034" s="5" t="s">
        <v>1967</v>
      </c>
      <c r="D1034" s="2" t="s">
        <v>1968</v>
      </c>
    </row>
    <row r="1035" spans="1:4" ht="13.05" customHeight="1" x14ac:dyDescent="0.3">
      <c r="A1035" s="2" t="s">
        <v>237</v>
      </c>
      <c r="B1035" s="2" t="s">
        <v>1018</v>
      </c>
      <c r="C1035" s="5" t="s">
        <v>1969</v>
      </c>
      <c r="D1035" s="2" t="s">
        <v>1970</v>
      </c>
    </row>
    <row r="1036" spans="1:4" ht="13.05" customHeight="1" x14ac:dyDescent="0.3">
      <c r="A1036" s="2" t="s">
        <v>237</v>
      </c>
      <c r="B1036" s="2" t="s">
        <v>1018</v>
      </c>
      <c r="C1036" s="5" t="s">
        <v>1971</v>
      </c>
      <c r="D1036" s="2" t="s">
        <v>1972</v>
      </c>
    </row>
    <row r="1037" spans="1:4" ht="13.05" customHeight="1" x14ac:dyDescent="0.3">
      <c r="A1037" s="2" t="s">
        <v>237</v>
      </c>
      <c r="B1037" s="2" t="s">
        <v>1018</v>
      </c>
      <c r="C1037" s="5" t="s">
        <v>1973</v>
      </c>
      <c r="D1037" s="2" t="s">
        <v>1974</v>
      </c>
    </row>
    <row r="1038" spans="1:4" ht="13.05" customHeight="1" x14ac:dyDescent="0.3">
      <c r="A1038" s="2" t="s">
        <v>237</v>
      </c>
      <c r="B1038" s="2" t="s">
        <v>1018</v>
      </c>
      <c r="C1038" s="5" t="s">
        <v>1975</v>
      </c>
      <c r="D1038" s="2" t="s">
        <v>1976</v>
      </c>
    </row>
    <row r="1039" spans="1:4" ht="13.05" customHeight="1" x14ac:dyDescent="0.3">
      <c r="A1039" s="2" t="s">
        <v>237</v>
      </c>
      <c r="B1039" s="2" t="s">
        <v>1018</v>
      </c>
      <c r="C1039" s="5" t="s">
        <v>1977</v>
      </c>
      <c r="D1039" s="2" t="s">
        <v>1978</v>
      </c>
    </row>
    <row r="1040" spans="1:4" ht="13.05" customHeight="1" x14ac:dyDescent="0.3">
      <c r="A1040" s="2" t="s">
        <v>237</v>
      </c>
      <c r="B1040" s="2" t="s">
        <v>1018</v>
      </c>
      <c r="C1040" s="5" t="s">
        <v>1979</v>
      </c>
      <c r="D1040" s="2" t="s">
        <v>1980</v>
      </c>
    </row>
    <row r="1041" spans="1:4" ht="13.05" customHeight="1" x14ac:dyDescent="0.3">
      <c r="A1041" s="2" t="s">
        <v>237</v>
      </c>
      <c r="B1041" s="2" t="s">
        <v>1018</v>
      </c>
      <c r="C1041" s="5" t="s">
        <v>1981</v>
      </c>
      <c r="D1041" s="2" t="s">
        <v>1982</v>
      </c>
    </row>
    <row r="1042" spans="1:4" ht="13.05" customHeight="1" x14ac:dyDescent="0.3">
      <c r="A1042" s="2" t="s">
        <v>237</v>
      </c>
      <c r="B1042" s="2" t="s">
        <v>1018</v>
      </c>
      <c r="C1042" s="5" t="s">
        <v>1983</v>
      </c>
      <c r="D1042" s="2" t="s">
        <v>1984</v>
      </c>
    </row>
    <row r="1043" spans="1:4" ht="13.05" customHeight="1" x14ac:dyDescent="0.3">
      <c r="A1043" s="2" t="s">
        <v>237</v>
      </c>
      <c r="B1043" s="2" t="s">
        <v>1018</v>
      </c>
      <c r="C1043" s="5" t="s">
        <v>1985</v>
      </c>
      <c r="D1043" s="2" t="s">
        <v>1986</v>
      </c>
    </row>
    <row r="1044" spans="1:4" ht="13.05" customHeight="1" x14ac:dyDescent="0.3">
      <c r="A1044" s="2" t="s">
        <v>237</v>
      </c>
      <c r="B1044" s="2" t="s">
        <v>1018</v>
      </c>
      <c r="C1044" s="5" t="s">
        <v>1987</v>
      </c>
      <c r="D1044" s="2" t="s">
        <v>1988</v>
      </c>
    </row>
    <row r="1045" spans="1:4" ht="13.05" customHeight="1" x14ac:dyDescent="0.3">
      <c r="A1045" s="2" t="s">
        <v>237</v>
      </c>
      <c r="B1045" s="2" t="s">
        <v>1018</v>
      </c>
      <c r="C1045" s="5" t="s">
        <v>1989</v>
      </c>
      <c r="D1045" s="2" t="s">
        <v>1990</v>
      </c>
    </row>
    <row r="1046" spans="1:4" ht="13.05" customHeight="1" x14ac:dyDescent="0.3">
      <c r="A1046" s="2" t="s">
        <v>237</v>
      </c>
      <c r="B1046" s="2" t="s">
        <v>1018</v>
      </c>
      <c r="C1046" s="5" t="s">
        <v>1991</v>
      </c>
      <c r="D1046" s="2" t="s">
        <v>1992</v>
      </c>
    </row>
    <row r="1047" spans="1:4" ht="13.05" customHeight="1" x14ac:dyDescent="0.3">
      <c r="A1047" s="2" t="s">
        <v>237</v>
      </c>
      <c r="B1047" s="2" t="s">
        <v>1018</v>
      </c>
      <c r="C1047" s="5" t="s">
        <v>1993</v>
      </c>
      <c r="D1047" s="2" t="s">
        <v>1994</v>
      </c>
    </row>
    <row r="1048" spans="1:4" ht="13.05" customHeight="1" x14ac:dyDescent="0.3">
      <c r="A1048" s="2" t="s">
        <v>237</v>
      </c>
      <c r="B1048" s="2" t="s">
        <v>1018</v>
      </c>
      <c r="C1048" s="5" t="s">
        <v>1995</v>
      </c>
      <c r="D1048" s="2" t="s">
        <v>1996</v>
      </c>
    </row>
    <row r="1049" spans="1:4" ht="13.05" customHeight="1" x14ac:dyDescent="0.3">
      <c r="A1049" s="2" t="s">
        <v>237</v>
      </c>
      <c r="B1049" s="2" t="s">
        <v>1018</v>
      </c>
      <c r="C1049" s="5" t="s">
        <v>1997</v>
      </c>
      <c r="D1049" s="2" t="s">
        <v>1998</v>
      </c>
    </row>
    <row r="1050" spans="1:4" ht="13.05" customHeight="1" x14ac:dyDescent="0.3">
      <c r="A1050" s="2" t="s">
        <v>237</v>
      </c>
      <c r="B1050" s="2" t="s">
        <v>1018</v>
      </c>
      <c r="C1050" s="5" t="s">
        <v>1999</v>
      </c>
      <c r="D1050" s="2" t="s">
        <v>2000</v>
      </c>
    </row>
    <row r="1051" spans="1:4" ht="13.05" customHeight="1" x14ac:dyDescent="0.3">
      <c r="A1051" s="2" t="s">
        <v>237</v>
      </c>
      <c r="B1051" s="2" t="s">
        <v>1018</v>
      </c>
      <c r="C1051" s="5" t="s">
        <v>2001</v>
      </c>
      <c r="D1051" s="2" t="s">
        <v>2002</v>
      </c>
    </row>
    <row r="1052" spans="1:4" ht="13.05" customHeight="1" x14ac:dyDescent="0.3">
      <c r="A1052" s="2" t="s">
        <v>237</v>
      </c>
      <c r="B1052" s="2" t="s">
        <v>1018</v>
      </c>
      <c r="C1052" s="5" t="s">
        <v>2003</v>
      </c>
      <c r="D1052" s="2" t="s">
        <v>2004</v>
      </c>
    </row>
    <row r="1053" spans="1:4" ht="13.05" customHeight="1" x14ac:dyDescent="0.3">
      <c r="A1053" s="2" t="s">
        <v>237</v>
      </c>
      <c r="B1053" s="2" t="s">
        <v>1018</v>
      </c>
      <c r="C1053" s="5" t="s">
        <v>2005</v>
      </c>
      <c r="D1053" s="2" t="s">
        <v>2006</v>
      </c>
    </row>
    <row r="1054" spans="1:4" ht="13.05" customHeight="1" x14ac:dyDescent="0.3">
      <c r="A1054" s="2" t="s">
        <v>237</v>
      </c>
      <c r="B1054" s="2" t="s">
        <v>1018</v>
      </c>
      <c r="C1054" s="5" t="s">
        <v>2007</v>
      </c>
      <c r="D1054" s="2" t="s">
        <v>2008</v>
      </c>
    </row>
    <row r="1055" spans="1:4" ht="13.05" customHeight="1" x14ac:dyDescent="0.3">
      <c r="A1055" s="2" t="s">
        <v>237</v>
      </c>
      <c r="B1055" s="2" t="s">
        <v>1018</v>
      </c>
      <c r="C1055" s="5" t="s">
        <v>2009</v>
      </c>
      <c r="D1055" s="2" t="s">
        <v>2010</v>
      </c>
    </row>
    <row r="1056" spans="1:4" ht="13.05" customHeight="1" x14ac:dyDescent="0.3">
      <c r="A1056" s="2" t="s">
        <v>237</v>
      </c>
      <c r="B1056" s="2" t="s">
        <v>1018</v>
      </c>
      <c r="C1056" s="5" t="s">
        <v>2011</v>
      </c>
      <c r="D1056" s="2" t="s">
        <v>2012</v>
      </c>
    </row>
    <row r="1057" spans="1:4" ht="13.05" customHeight="1" x14ac:dyDescent="0.3">
      <c r="A1057" s="2" t="s">
        <v>237</v>
      </c>
      <c r="B1057" s="2" t="s">
        <v>1018</v>
      </c>
      <c r="C1057" s="5" t="s">
        <v>2013</v>
      </c>
      <c r="D1057" s="2" t="s">
        <v>2014</v>
      </c>
    </row>
    <row r="1058" spans="1:4" ht="13.05" customHeight="1" x14ac:dyDescent="0.3">
      <c r="A1058" s="2" t="s">
        <v>237</v>
      </c>
      <c r="B1058" s="2" t="s">
        <v>1018</v>
      </c>
      <c r="C1058" s="5" t="s">
        <v>2015</v>
      </c>
      <c r="D1058" s="2" t="s">
        <v>2016</v>
      </c>
    </row>
    <row r="1059" spans="1:4" ht="13.05" customHeight="1" x14ac:dyDescent="0.3">
      <c r="A1059" s="2" t="s">
        <v>237</v>
      </c>
      <c r="B1059" s="2" t="s">
        <v>1018</v>
      </c>
      <c r="C1059" s="5" t="s">
        <v>2017</v>
      </c>
      <c r="D1059" s="2" t="s">
        <v>2018</v>
      </c>
    </row>
    <row r="1060" spans="1:4" ht="13.05" customHeight="1" x14ac:dyDescent="0.3">
      <c r="A1060" s="2" t="s">
        <v>237</v>
      </c>
      <c r="B1060" s="2" t="s">
        <v>1018</v>
      </c>
      <c r="C1060" s="5" t="s">
        <v>2019</v>
      </c>
      <c r="D1060" s="2" t="s">
        <v>2020</v>
      </c>
    </row>
    <row r="1061" spans="1:4" ht="13.05" customHeight="1" x14ac:dyDescent="0.3">
      <c r="A1061" s="2" t="s">
        <v>237</v>
      </c>
      <c r="B1061" s="2" t="s">
        <v>1018</v>
      </c>
      <c r="C1061" s="5" t="s">
        <v>2021</v>
      </c>
      <c r="D1061" s="2" t="s">
        <v>2022</v>
      </c>
    </row>
    <row r="1062" spans="1:4" ht="13.05" customHeight="1" x14ac:dyDescent="0.3">
      <c r="A1062" s="2" t="s">
        <v>237</v>
      </c>
      <c r="B1062" s="2" t="s">
        <v>1018</v>
      </c>
      <c r="C1062" s="5" t="s">
        <v>2023</v>
      </c>
      <c r="D1062" s="2" t="s">
        <v>2024</v>
      </c>
    </row>
    <row r="1063" spans="1:4" ht="13.05" customHeight="1" x14ac:dyDescent="0.3">
      <c r="A1063" s="2" t="s">
        <v>237</v>
      </c>
      <c r="B1063" s="2" t="s">
        <v>1018</v>
      </c>
      <c r="C1063" s="5" t="s">
        <v>2025</v>
      </c>
      <c r="D1063" s="2" t="s">
        <v>2026</v>
      </c>
    </row>
    <row r="1064" spans="1:4" ht="13.05" customHeight="1" x14ac:dyDescent="0.3">
      <c r="A1064" s="2" t="s">
        <v>237</v>
      </c>
      <c r="B1064" s="2" t="s">
        <v>1018</v>
      </c>
      <c r="C1064" s="5" t="s">
        <v>2027</v>
      </c>
      <c r="D1064" s="2" t="s">
        <v>2028</v>
      </c>
    </row>
    <row r="1065" spans="1:4" ht="13.05" customHeight="1" x14ac:dyDescent="0.3">
      <c r="A1065" s="2" t="s">
        <v>237</v>
      </c>
      <c r="B1065" s="2" t="s">
        <v>1018</v>
      </c>
      <c r="C1065" s="5" t="s">
        <v>2029</v>
      </c>
      <c r="D1065" s="2" t="s">
        <v>2030</v>
      </c>
    </row>
    <row r="1066" spans="1:4" ht="13.05" customHeight="1" x14ac:dyDescent="0.3">
      <c r="A1066" s="2" t="s">
        <v>237</v>
      </c>
      <c r="B1066" s="2" t="s">
        <v>1018</v>
      </c>
      <c r="C1066" s="5" t="s">
        <v>2031</v>
      </c>
      <c r="D1066" s="2" t="s">
        <v>2032</v>
      </c>
    </row>
    <row r="1067" spans="1:4" ht="13.05" customHeight="1" x14ac:dyDescent="0.3">
      <c r="A1067" s="2" t="s">
        <v>237</v>
      </c>
      <c r="B1067" s="2" t="s">
        <v>1018</v>
      </c>
      <c r="C1067" s="5" t="s">
        <v>2033</v>
      </c>
      <c r="D1067" s="2" t="s">
        <v>2034</v>
      </c>
    </row>
    <row r="1068" spans="1:4" ht="13.05" customHeight="1" x14ac:dyDescent="0.3">
      <c r="A1068" s="2" t="s">
        <v>237</v>
      </c>
      <c r="B1068" s="2" t="s">
        <v>1018</v>
      </c>
      <c r="C1068" s="5" t="s">
        <v>2035</v>
      </c>
      <c r="D1068" s="2" t="s">
        <v>2036</v>
      </c>
    </row>
    <row r="1069" spans="1:4" ht="13.05" customHeight="1" x14ac:dyDescent="0.3">
      <c r="A1069" s="2" t="s">
        <v>237</v>
      </c>
      <c r="B1069" s="2" t="s">
        <v>1018</v>
      </c>
      <c r="C1069" s="5" t="s">
        <v>2037</v>
      </c>
      <c r="D1069" s="2" t="s">
        <v>2038</v>
      </c>
    </row>
    <row r="1070" spans="1:4" ht="13.05" customHeight="1" x14ac:dyDescent="0.3">
      <c r="A1070" s="2" t="s">
        <v>237</v>
      </c>
      <c r="B1070" s="2" t="s">
        <v>1018</v>
      </c>
      <c r="C1070" s="5" t="s">
        <v>2039</v>
      </c>
      <c r="D1070" s="2" t="s">
        <v>2040</v>
      </c>
    </row>
    <row r="1071" spans="1:4" ht="13.05" customHeight="1" x14ac:dyDescent="0.3">
      <c r="A1071" s="2" t="s">
        <v>237</v>
      </c>
      <c r="B1071" s="2" t="s">
        <v>1018</v>
      </c>
      <c r="C1071" s="5" t="s">
        <v>2041</v>
      </c>
      <c r="D1071" s="2" t="s">
        <v>2042</v>
      </c>
    </row>
    <row r="1072" spans="1:4" ht="13.05" customHeight="1" x14ac:dyDescent="0.3">
      <c r="A1072" s="2" t="s">
        <v>237</v>
      </c>
      <c r="B1072" s="2" t="s">
        <v>1018</v>
      </c>
      <c r="C1072" s="5" t="s">
        <v>2043</v>
      </c>
      <c r="D1072" s="2" t="s">
        <v>2044</v>
      </c>
    </row>
    <row r="1073" spans="1:4" ht="13.05" customHeight="1" x14ac:dyDescent="0.3">
      <c r="A1073" s="2" t="s">
        <v>237</v>
      </c>
      <c r="B1073" s="2" t="s">
        <v>1018</v>
      </c>
      <c r="C1073" s="5" t="s">
        <v>2045</v>
      </c>
      <c r="D1073" s="2" t="s">
        <v>2046</v>
      </c>
    </row>
    <row r="1074" spans="1:4" ht="13.05" customHeight="1" x14ac:dyDescent="0.3">
      <c r="A1074" s="2" t="s">
        <v>237</v>
      </c>
      <c r="B1074" s="2" t="s">
        <v>1018</v>
      </c>
      <c r="C1074" s="5" t="s">
        <v>2047</v>
      </c>
      <c r="D1074" s="2" t="s">
        <v>2048</v>
      </c>
    </row>
    <row r="1075" spans="1:4" ht="13.05" customHeight="1" x14ac:dyDescent="0.3">
      <c r="A1075" s="2" t="s">
        <v>237</v>
      </c>
      <c r="B1075" s="2" t="s">
        <v>1018</v>
      </c>
      <c r="C1075" s="5" t="s">
        <v>2049</v>
      </c>
      <c r="D1075" s="2" t="s">
        <v>2050</v>
      </c>
    </row>
    <row r="1076" spans="1:4" ht="13.05" customHeight="1" x14ac:dyDescent="0.3">
      <c r="A1076" s="2" t="s">
        <v>237</v>
      </c>
      <c r="B1076" s="2" t="s">
        <v>1018</v>
      </c>
      <c r="C1076" s="5" t="s">
        <v>2051</v>
      </c>
      <c r="D1076" s="2" t="s">
        <v>2052</v>
      </c>
    </row>
    <row r="1077" spans="1:4" ht="13.05" customHeight="1" x14ac:dyDescent="0.3">
      <c r="A1077" s="2" t="s">
        <v>237</v>
      </c>
      <c r="B1077" s="2" t="s">
        <v>1018</v>
      </c>
      <c r="C1077" s="5" t="s">
        <v>2053</v>
      </c>
      <c r="D1077" s="2" t="s">
        <v>2054</v>
      </c>
    </row>
    <row r="1078" spans="1:4" ht="13.05" customHeight="1" x14ac:dyDescent="0.3">
      <c r="A1078" s="2" t="s">
        <v>237</v>
      </c>
      <c r="B1078" s="2" t="s">
        <v>1018</v>
      </c>
      <c r="C1078" s="5" t="s">
        <v>2055</v>
      </c>
      <c r="D1078" s="2" t="s">
        <v>2056</v>
      </c>
    </row>
    <row r="1079" spans="1:4" ht="13.05" customHeight="1" x14ac:dyDescent="0.3">
      <c r="A1079" s="2" t="s">
        <v>237</v>
      </c>
      <c r="B1079" s="2" t="s">
        <v>1018</v>
      </c>
      <c r="C1079" s="5" t="s">
        <v>2057</v>
      </c>
      <c r="D1079" s="2" t="s">
        <v>2058</v>
      </c>
    </row>
    <row r="1080" spans="1:4" ht="13.05" customHeight="1" x14ac:dyDescent="0.3">
      <c r="A1080" s="2" t="s">
        <v>237</v>
      </c>
      <c r="B1080" s="2" t="s">
        <v>1018</v>
      </c>
      <c r="C1080" s="5" t="s">
        <v>2059</v>
      </c>
      <c r="D1080" s="2" t="s">
        <v>2060</v>
      </c>
    </row>
    <row r="1081" spans="1:4" ht="13.05" customHeight="1" x14ac:dyDescent="0.3">
      <c r="A1081" s="2" t="s">
        <v>237</v>
      </c>
      <c r="B1081" s="2" t="s">
        <v>1018</v>
      </c>
      <c r="C1081" s="5" t="s">
        <v>2061</v>
      </c>
      <c r="D1081" s="2" t="s">
        <v>2062</v>
      </c>
    </row>
    <row r="1082" spans="1:4" ht="13.05" customHeight="1" x14ac:dyDescent="0.3">
      <c r="A1082" s="2" t="s">
        <v>237</v>
      </c>
      <c r="B1082" s="2" t="s">
        <v>1018</v>
      </c>
      <c r="C1082" s="5" t="s">
        <v>2063</v>
      </c>
      <c r="D1082" s="2" t="s">
        <v>2064</v>
      </c>
    </row>
    <row r="1083" spans="1:4" ht="13.05" customHeight="1" x14ac:dyDescent="0.3">
      <c r="A1083" s="2" t="s">
        <v>237</v>
      </c>
      <c r="B1083" s="2" t="s">
        <v>1018</v>
      </c>
      <c r="C1083" s="5" t="s">
        <v>2065</v>
      </c>
      <c r="D1083" s="2" t="s">
        <v>2066</v>
      </c>
    </row>
    <row r="1084" spans="1:4" ht="13.05" customHeight="1" x14ac:dyDescent="0.3">
      <c r="A1084" s="2" t="s">
        <v>237</v>
      </c>
      <c r="B1084" s="2" t="s">
        <v>1018</v>
      </c>
      <c r="C1084" s="5" t="s">
        <v>2067</v>
      </c>
      <c r="D1084" s="2" t="s">
        <v>2068</v>
      </c>
    </row>
    <row r="1085" spans="1:4" ht="13.05" customHeight="1" x14ac:dyDescent="0.3">
      <c r="A1085" s="2" t="s">
        <v>237</v>
      </c>
      <c r="B1085" s="2" t="s">
        <v>1018</v>
      </c>
      <c r="C1085" s="5" t="s">
        <v>2069</v>
      </c>
      <c r="D1085" s="2" t="s">
        <v>2070</v>
      </c>
    </row>
    <row r="1086" spans="1:4" ht="13.05" customHeight="1" x14ac:dyDescent="0.3">
      <c r="A1086" s="2" t="s">
        <v>237</v>
      </c>
      <c r="B1086" s="2" t="s">
        <v>1018</v>
      </c>
      <c r="C1086" s="5" t="s">
        <v>2071</v>
      </c>
      <c r="D1086" s="2" t="s">
        <v>2072</v>
      </c>
    </row>
    <row r="1087" spans="1:4" ht="13.05" customHeight="1" x14ac:dyDescent="0.3">
      <c r="A1087" s="2" t="s">
        <v>237</v>
      </c>
      <c r="B1087" s="2" t="s">
        <v>1018</v>
      </c>
      <c r="C1087" s="5" t="s">
        <v>2073</v>
      </c>
      <c r="D1087" s="2" t="s">
        <v>2074</v>
      </c>
    </row>
    <row r="1088" spans="1:4" ht="13.05" customHeight="1" x14ac:dyDescent="0.3">
      <c r="A1088" s="2" t="s">
        <v>237</v>
      </c>
      <c r="B1088" s="2" t="s">
        <v>1018</v>
      </c>
      <c r="C1088" s="5" t="s">
        <v>2075</v>
      </c>
      <c r="D1088" s="2" t="s">
        <v>2076</v>
      </c>
    </row>
    <row r="1089" spans="1:4" ht="13.05" customHeight="1" x14ac:dyDescent="0.3">
      <c r="A1089" s="2" t="s">
        <v>237</v>
      </c>
      <c r="B1089" s="2" t="s">
        <v>1018</v>
      </c>
      <c r="C1089" s="5" t="s">
        <v>2077</v>
      </c>
      <c r="D1089" s="2" t="s">
        <v>2078</v>
      </c>
    </row>
    <row r="1090" spans="1:4" ht="13.05" customHeight="1" x14ac:dyDescent="0.3">
      <c r="A1090" s="2" t="s">
        <v>237</v>
      </c>
      <c r="B1090" s="2" t="s">
        <v>1018</v>
      </c>
      <c r="C1090" s="5" t="s">
        <v>2079</v>
      </c>
      <c r="D1090" s="2" t="s">
        <v>2080</v>
      </c>
    </row>
    <row r="1091" spans="1:4" ht="13.05" customHeight="1" x14ac:dyDescent="0.3">
      <c r="A1091" s="2" t="s">
        <v>237</v>
      </c>
      <c r="B1091" s="2" t="s">
        <v>1018</v>
      </c>
      <c r="C1091" s="5" t="s">
        <v>2081</v>
      </c>
      <c r="D1091" s="2" t="s">
        <v>2082</v>
      </c>
    </row>
    <row r="1092" spans="1:4" ht="13.05" customHeight="1" x14ac:dyDescent="0.3">
      <c r="A1092" s="2" t="s">
        <v>237</v>
      </c>
      <c r="B1092" s="2" t="s">
        <v>1018</v>
      </c>
      <c r="C1092" s="5" t="s">
        <v>2083</v>
      </c>
      <c r="D1092" s="2" t="s">
        <v>2084</v>
      </c>
    </row>
    <row r="1093" spans="1:4" ht="13.05" customHeight="1" x14ac:dyDescent="0.3">
      <c r="A1093" s="2" t="s">
        <v>237</v>
      </c>
      <c r="B1093" s="2" t="s">
        <v>1018</v>
      </c>
      <c r="C1093" s="5" t="s">
        <v>2085</v>
      </c>
      <c r="D1093" s="2" t="s">
        <v>2086</v>
      </c>
    </row>
    <row r="1094" spans="1:4" ht="13.05" customHeight="1" x14ac:dyDescent="0.3">
      <c r="A1094" s="2" t="s">
        <v>237</v>
      </c>
      <c r="B1094" s="2" t="s">
        <v>1018</v>
      </c>
      <c r="C1094" s="5" t="s">
        <v>2087</v>
      </c>
      <c r="D1094" s="2" t="s">
        <v>2088</v>
      </c>
    </row>
    <row r="1095" spans="1:4" ht="13.05" customHeight="1" x14ac:dyDescent="0.3">
      <c r="A1095" s="2" t="s">
        <v>237</v>
      </c>
      <c r="B1095" s="2" t="s">
        <v>1018</v>
      </c>
      <c r="C1095" s="5" t="s">
        <v>2089</v>
      </c>
      <c r="D1095" s="2" t="s">
        <v>2090</v>
      </c>
    </row>
    <row r="1096" spans="1:4" ht="13.05" customHeight="1" x14ac:dyDescent="0.3">
      <c r="A1096" s="2" t="s">
        <v>237</v>
      </c>
      <c r="B1096" s="2" t="s">
        <v>1018</v>
      </c>
      <c r="C1096" s="5" t="s">
        <v>2091</v>
      </c>
      <c r="D1096" s="2" t="s">
        <v>2092</v>
      </c>
    </row>
    <row r="1097" spans="1:4" ht="13.05" customHeight="1" x14ac:dyDescent="0.3">
      <c r="A1097" s="2" t="s">
        <v>237</v>
      </c>
      <c r="B1097" s="2" t="s">
        <v>1018</v>
      </c>
      <c r="C1097" s="5" t="s">
        <v>2093</v>
      </c>
      <c r="D1097" s="2" t="s">
        <v>2094</v>
      </c>
    </row>
    <row r="1098" spans="1:4" ht="13.05" customHeight="1" x14ac:dyDescent="0.3">
      <c r="A1098" s="2" t="s">
        <v>237</v>
      </c>
      <c r="B1098" s="2" t="s">
        <v>1018</v>
      </c>
      <c r="C1098" s="5" t="s">
        <v>2095</v>
      </c>
      <c r="D1098" s="2" t="s">
        <v>2096</v>
      </c>
    </row>
    <row r="1099" spans="1:4" ht="13.05" customHeight="1" x14ac:dyDescent="0.3">
      <c r="A1099" s="2" t="s">
        <v>237</v>
      </c>
      <c r="B1099" s="2" t="s">
        <v>1018</v>
      </c>
      <c r="C1099" s="5" t="s">
        <v>2097</v>
      </c>
      <c r="D1099" s="2" t="s">
        <v>2098</v>
      </c>
    </row>
    <row r="1100" spans="1:4" ht="13.05" customHeight="1" x14ac:dyDescent="0.3">
      <c r="A1100" s="2" t="s">
        <v>237</v>
      </c>
      <c r="B1100" s="2" t="s">
        <v>1018</v>
      </c>
      <c r="C1100" s="5" t="s">
        <v>2099</v>
      </c>
      <c r="D1100" s="2" t="s">
        <v>2100</v>
      </c>
    </row>
    <row r="1101" spans="1:4" ht="13.05" customHeight="1" x14ac:dyDescent="0.3">
      <c r="A1101" s="2" t="s">
        <v>237</v>
      </c>
      <c r="B1101" s="2" t="s">
        <v>1018</v>
      </c>
      <c r="C1101" s="5" t="s">
        <v>2101</v>
      </c>
      <c r="D1101" s="2" t="s">
        <v>2102</v>
      </c>
    </row>
    <row r="1102" spans="1:4" ht="13.05" customHeight="1" x14ac:dyDescent="0.3">
      <c r="A1102" s="2" t="s">
        <v>237</v>
      </c>
      <c r="B1102" s="2" t="s">
        <v>1018</v>
      </c>
      <c r="C1102" s="5" t="s">
        <v>2103</v>
      </c>
      <c r="D1102" s="2" t="s">
        <v>2104</v>
      </c>
    </row>
    <row r="1103" spans="1:4" ht="13.05" customHeight="1" x14ac:dyDescent="0.3">
      <c r="A1103" s="2" t="s">
        <v>237</v>
      </c>
      <c r="B1103" s="2" t="s">
        <v>1018</v>
      </c>
      <c r="C1103" s="5" t="s">
        <v>2105</v>
      </c>
      <c r="D1103" s="2" t="s">
        <v>2106</v>
      </c>
    </row>
    <row r="1104" spans="1:4" ht="13.05" customHeight="1" x14ac:dyDescent="0.3">
      <c r="A1104" s="2" t="s">
        <v>237</v>
      </c>
      <c r="B1104" s="2" t="s">
        <v>1018</v>
      </c>
      <c r="C1104" s="5" t="s">
        <v>2107</v>
      </c>
      <c r="D1104" s="2" t="s">
        <v>2108</v>
      </c>
    </row>
    <row r="1105" spans="1:4" ht="13.05" customHeight="1" x14ac:dyDescent="0.3">
      <c r="A1105" s="2" t="s">
        <v>237</v>
      </c>
      <c r="B1105" s="2" t="s">
        <v>1018</v>
      </c>
      <c r="C1105" s="5" t="s">
        <v>2109</v>
      </c>
      <c r="D1105" s="2" t="s">
        <v>2110</v>
      </c>
    </row>
    <row r="1106" spans="1:4" ht="13.05" customHeight="1" x14ac:dyDescent="0.3">
      <c r="A1106" s="2" t="s">
        <v>237</v>
      </c>
      <c r="B1106" s="2" t="s">
        <v>1018</v>
      </c>
      <c r="C1106" s="5" t="s">
        <v>2111</v>
      </c>
      <c r="D1106" s="2" t="s">
        <v>2112</v>
      </c>
    </row>
    <row r="1107" spans="1:4" ht="13.05" customHeight="1" x14ac:dyDescent="0.3">
      <c r="A1107" s="2" t="s">
        <v>237</v>
      </c>
      <c r="B1107" s="2" t="s">
        <v>1018</v>
      </c>
      <c r="C1107" s="5" t="s">
        <v>2113</v>
      </c>
      <c r="D1107" s="2" t="s">
        <v>2114</v>
      </c>
    </row>
    <row r="1108" spans="1:4" ht="13.05" customHeight="1" x14ac:dyDescent="0.3">
      <c r="A1108" s="2" t="s">
        <v>237</v>
      </c>
      <c r="B1108" s="2" t="s">
        <v>1018</v>
      </c>
      <c r="C1108" s="5" t="s">
        <v>2115</v>
      </c>
      <c r="D1108" s="2" t="s">
        <v>2116</v>
      </c>
    </row>
    <row r="1109" spans="1:4" ht="13.05" customHeight="1" x14ac:dyDescent="0.3">
      <c r="A1109" s="2" t="s">
        <v>237</v>
      </c>
      <c r="B1109" s="2" t="s">
        <v>1018</v>
      </c>
      <c r="C1109" s="5" t="s">
        <v>2117</v>
      </c>
      <c r="D1109" s="2" t="s">
        <v>2118</v>
      </c>
    </row>
    <row r="1110" spans="1:4" ht="13.05" customHeight="1" x14ac:dyDescent="0.3">
      <c r="A1110" s="2" t="s">
        <v>237</v>
      </c>
      <c r="B1110" s="2" t="s">
        <v>1018</v>
      </c>
      <c r="C1110" s="5" t="s">
        <v>2119</v>
      </c>
      <c r="D1110" s="2" t="s">
        <v>2120</v>
      </c>
    </row>
    <row r="1111" spans="1:4" ht="13.05" customHeight="1" x14ac:dyDescent="0.3">
      <c r="A1111" s="2" t="s">
        <v>237</v>
      </c>
      <c r="B1111" s="2" t="s">
        <v>1018</v>
      </c>
      <c r="C1111" s="5" t="s">
        <v>2121</v>
      </c>
      <c r="D1111" s="2" t="s">
        <v>2122</v>
      </c>
    </row>
    <row r="1112" spans="1:4" ht="13.05" customHeight="1" x14ac:dyDescent="0.3">
      <c r="A1112" s="2" t="s">
        <v>237</v>
      </c>
      <c r="B1112" s="2" t="s">
        <v>1018</v>
      </c>
      <c r="C1112" s="5" t="s">
        <v>2123</v>
      </c>
      <c r="D1112" s="2" t="s">
        <v>2124</v>
      </c>
    </row>
    <row r="1113" spans="1:4" ht="13.05" customHeight="1" x14ac:dyDescent="0.3">
      <c r="A1113" s="2" t="s">
        <v>237</v>
      </c>
      <c r="B1113" s="2" t="s">
        <v>1018</v>
      </c>
      <c r="C1113" s="5" t="s">
        <v>2125</v>
      </c>
      <c r="D1113" s="2" t="s">
        <v>2126</v>
      </c>
    </row>
    <row r="1114" spans="1:4" ht="13.05" customHeight="1" x14ac:dyDescent="0.3">
      <c r="A1114" s="2" t="s">
        <v>237</v>
      </c>
      <c r="B1114" s="2" t="s">
        <v>1018</v>
      </c>
      <c r="C1114" s="5" t="s">
        <v>2127</v>
      </c>
      <c r="D1114" s="2" t="s">
        <v>2128</v>
      </c>
    </row>
    <row r="1115" spans="1:4" ht="13.05" customHeight="1" x14ac:dyDescent="0.3">
      <c r="A1115" s="2" t="s">
        <v>237</v>
      </c>
      <c r="B1115" s="2" t="s">
        <v>1018</v>
      </c>
      <c r="C1115" s="5" t="s">
        <v>2129</v>
      </c>
      <c r="D1115" s="2" t="s">
        <v>2130</v>
      </c>
    </row>
    <row r="1116" spans="1:4" ht="13.05" customHeight="1" x14ac:dyDescent="0.3">
      <c r="A1116" s="2" t="s">
        <v>237</v>
      </c>
      <c r="B1116" s="2" t="s">
        <v>1018</v>
      </c>
      <c r="C1116" s="5" t="s">
        <v>2131</v>
      </c>
      <c r="D1116" s="2" t="s">
        <v>2132</v>
      </c>
    </row>
    <row r="1117" spans="1:4" ht="13.05" customHeight="1" x14ac:dyDescent="0.3">
      <c r="A1117" s="2" t="s">
        <v>237</v>
      </c>
      <c r="B1117" s="2" t="s">
        <v>1018</v>
      </c>
      <c r="C1117" s="5" t="s">
        <v>2133</v>
      </c>
      <c r="D1117" s="2" t="s">
        <v>2134</v>
      </c>
    </row>
    <row r="1118" spans="1:4" ht="13.05" customHeight="1" x14ac:dyDescent="0.3">
      <c r="A1118" s="2" t="s">
        <v>237</v>
      </c>
      <c r="B1118" s="2" t="s">
        <v>1018</v>
      </c>
      <c r="C1118" s="5" t="s">
        <v>2135</v>
      </c>
      <c r="D1118" s="2" t="s">
        <v>2136</v>
      </c>
    </row>
    <row r="1119" spans="1:4" ht="13.05" customHeight="1" x14ac:dyDescent="0.3">
      <c r="A1119" s="2" t="s">
        <v>237</v>
      </c>
      <c r="B1119" s="2" t="s">
        <v>1018</v>
      </c>
      <c r="C1119" s="5" t="s">
        <v>2137</v>
      </c>
      <c r="D1119" s="2" t="s">
        <v>2138</v>
      </c>
    </row>
    <row r="1120" spans="1:4" ht="13.05" customHeight="1" x14ac:dyDescent="0.3">
      <c r="A1120" s="2" t="s">
        <v>237</v>
      </c>
      <c r="B1120" s="2" t="s">
        <v>1018</v>
      </c>
      <c r="C1120" s="5" t="s">
        <v>2139</v>
      </c>
      <c r="D1120" s="2" t="s">
        <v>2140</v>
      </c>
    </row>
    <row r="1121" spans="1:4" ht="13.05" customHeight="1" x14ac:dyDescent="0.3">
      <c r="A1121" s="2" t="s">
        <v>237</v>
      </c>
      <c r="B1121" s="2" t="s">
        <v>1018</v>
      </c>
      <c r="C1121" s="5" t="s">
        <v>2141</v>
      </c>
      <c r="D1121" s="2" t="s">
        <v>2142</v>
      </c>
    </row>
    <row r="1122" spans="1:4" ht="13.05" customHeight="1" x14ac:dyDescent="0.3">
      <c r="A1122" s="2" t="s">
        <v>237</v>
      </c>
      <c r="B1122" s="2" t="s">
        <v>1018</v>
      </c>
      <c r="C1122" s="5" t="s">
        <v>2143</v>
      </c>
      <c r="D1122" s="2" t="s">
        <v>2144</v>
      </c>
    </row>
    <row r="1123" spans="1:4" ht="13.05" customHeight="1" x14ac:dyDescent="0.3">
      <c r="A1123" s="2" t="s">
        <v>237</v>
      </c>
      <c r="B1123" s="2" t="s">
        <v>1018</v>
      </c>
      <c r="C1123" s="5" t="s">
        <v>2145</v>
      </c>
      <c r="D1123" s="2" t="s">
        <v>2146</v>
      </c>
    </row>
    <row r="1124" spans="1:4" ht="13.05" customHeight="1" x14ac:dyDescent="0.3">
      <c r="A1124" s="2" t="s">
        <v>237</v>
      </c>
      <c r="B1124" s="2" t="s">
        <v>1018</v>
      </c>
      <c r="C1124" s="5" t="s">
        <v>2147</v>
      </c>
      <c r="D1124" s="2" t="s">
        <v>2148</v>
      </c>
    </row>
    <row r="1125" spans="1:4" ht="13.05" customHeight="1" x14ac:dyDescent="0.3">
      <c r="A1125" s="2" t="s">
        <v>237</v>
      </c>
      <c r="B1125" s="2" t="s">
        <v>1018</v>
      </c>
      <c r="C1125" s="5" t="s">
        <v>2149</v>
      </c>
      <c r="D1125" s="2" t="s">
        <v>2150</v>
      </c>
    </row>
    <row r="1126" spans="1:4" ht="13.05" customHeight="1" x14ac:dyDescent="0.3">
      <c r="A1126" s="2" t="s">
        <v>237</v>
      </c>
      <c r="B1126" s="2" t="s">
        <v>1018</v>
      </c>
      <c r="C1126" s="5" t="s">
        <v>2151</v>
      </c>
      <c r="D1126" s="2" t="s">
        <v>2152</v>
      </c>
    </row>
    <row r="1127" spans="1:4" ht="13.05" customHeight="1" x14ac:dyDescent="0.3">
      <c r="A1127" s="2" t="s">
        <v>237</v>
      </c>
      <c r="B1127" s="2" t="s">
        <v>1018</v>
      </c>
      <c r="C1127" s="5" t="s">
        <v>2153</v>
      </c>
      <c r="D1127" s="2" t="s">
        <v>2154</v>
      </c>
    </row>
    <row r="1128" spans="1:4" ht="13.05" customHeight="1" x14ac:dyDescent="0.3">
      <c r="A1128" s="2" t="s">
        <v>237</v>
      </c>
      <c r="B1128" s="2" t="s">
        <v>1018</v>
      </c>
      <c r="C1128" s="5" t="s">
        <v>2155</v>
      </c>
      <c r="D1128" s="2" t="s">
        <v>2156</v>
      </c>
    </row>
    <row r="1129" spans="1:4" ht="13.05" customHeight="1" x14ac:dyDescent="0.3">
      <c r="A1129" s="2" t="s">
        <v>237</v>
      </c>
      <c r="B1129" s="2" t="s">
        <v>1018</v>
      </c>
      <c r="C1129" s="5" t="s">
        <v>2157</v>
      </c>
      <c r="D1129" s="2" t="s">
        <v>2158</v>
      </c>
    </row>
    <row r="1130" spans="1:4" ht="13.05" customHeight="1" x14ac:dyDescent="0.3">
      <c r="A1130" s="2" t="s">
        <v>237</v>
      </c>
      <c r="B1130" s="2" t="s">
        <v>1018</v>
      </c>
      <c r="C1130" s="5" t="s">
        <v>2159</v>
      </c>
      <c r="D1130" s="2" t="s">
        <v>2160</v>
      </c>
    </row>
    <row r="1131" spans="1:4" ht="13.05" customHeight="1" x14ac:dyDescent="0.3">
      <c r="A1131" s="2" t="s">
        <v>237</v>
      </c>
      <c r="B1131" s="2" t="s">
        <v>1018</v>
      </c>
      <c r="C1131" s="5" t="s">
        <v>2161</v>
      </c>
      <c r="D1131" s="2" t="s">
        <v>2162</v>
      </c>
    </row>
    <row r="1132" spans="1:4" ht="13.05" customHeight="1" x14ac:dyDescent="0.3">
      <c r="A1132" s="2" t="s">
        <v>237</v>
      </c>
      <c r="B1132" s="2" t="s">
        <v>1018</v>
      </c>
      <c r="C1132" s="5" t="s">
        <v>2163</v>
      </c>
      <c r="D1132" s="2" t="s">
        <v>2164</v>
      </c>
    </row>
    <row r="1133" spans="1:4" ht="13.05" customHeight="1" x14ac:dyDescent="0.3">
      <c r="A1133" s="2" t="s">
        <v>237</v>
      </c>
      <c r="B1133" s="2" t="s">
        <v>1018</v>
      </c>
      <c r="C1133" s="5" t="s">
        <v>2165</v>
      </c>
      <c r="D1133" s="2" t="s">
        <v>2166</v>
      </c>
    </row>
    <row r="1134" spans="1:4" ht="13.05" customHeight="1" x14ac:dyDescent="0.3">
      <c r="A1134" s="2" t="s">
        <v>237</v>
      </c>
      <c r="B1134" s="2" t="s">
        <v>1018</v>
      </c>
      <c r="C1134" s="5" t="s">
        <v>2167</v>
      </c>
      <c r="D1134" s="2" t="s">
        <v>2168</v>
      </c>
    </row>
    <row r="1135" spans="1:4" ht="13.05" customHeight="1" x14ac:dyDescent="0.3">
      <c r="A1135" s="2" t="s">
        <v>237</v>
      </c>
      <c r="B1135" s="2" t="s">
        <v>1018</v>
      </c>
      <c r="C1135" s="5" t="s">
        <v>2169</v>
      </c>
      <c r="D1135" s="2" t="s">
        <v>2170</v>
      </c>
    </row>
    <row r="1136" spans="1:4" ht="13.05" customHeight="1" x14ac:dyDescent="0.3">
      <c r="A1136" s="2" t="s">
        <v>237</v>
      </c>
      <c r="B1136" s="2" t="s">
        <v>1018</v>
      </c>
      <c r="C1136" s="5" t="s">
        <v>2171</v>
      </c>
      <c r="D1136" s="2" t="s">
        <v>2172</v>
      </c>
    </row>
    <row r="1137" spans="1:4" ht="13.05" customHeight="1" x14ac:dyDescent="0.3">
      <c r="A1137" s="2" t="s">
        <v>237</v>
      </c>
      <c r="B1137" s="2" t="s">
        <v>1018</v>
      </c>
      <c r="C1137" s="5" t="s">
        <v>2173</v>
      </c>
      <c r="D1137" s="2" t="s">
        <v>2174</v>
      </c>
    </row>
    <row r="1138" spans="1:4" ht="13.05" customHeight="1" x14ac:dyDescent="0.3">
      <c r="A1138" s="2" t="s">
        <v>237</v>
      </c>
      <c r="B1138" s="2" t="s">
        <v>1018</v>
      </c>
      <c r="C1138" s="5" t="s">
        <v>2175</v>
      </c>
      <c r="D1138" s="2" t="s">
        <v>2176</v>
      </c>
    </row>
    <row r="1139" spans="1:4" ht="13.05" customHeight="1" x14ac:dyDescent="0.3">
      <c r="A1139" s="2" t="s">
        <v>237</v>
      </c>
      <c r="B1139" s="2" t="s">
        <v>1018</v>
      </c>
      <c r="C1139" s="5" t="s">
        <v>2177</v>
      </c>
      <c r="D1139" s="2" t="s">
        <v>2178</v>
      </c>
    </row>
    <row r="1140" spans="1:4" ht="13.05" customHeight="1" x14ac:dyDescent="0.3">
      <c r="A1140" s="2" t="s">
        <v>237</v>
      </c>
      <c r="B1140" s="2" t="s">
        <v>1018</v>
      </c>
      <c r="C1140" s="5" t="s">
        <v>2179</v>
      </c>
      <c r="D1140" s="2" t="s">
        <v>2180</v>
      </c>
    </row>
    <row r="1141" spans="1:4" ht="13.05" customHeight="1" x14ac:dyDescent="0.3">
      <c r="A1141" s="2" t="s">
        <v>237</v>
      </c>
      <c r="B1141" s="2" t="s">
        <v>1018</v>
      </c>
      <c r="C1141" s="5" t="s">
        <v>2181</v>
      </c>
      <c r="D1141" s="2" t="s">
        <v>2182</v>
      </c>
    </row>
    <row r="1142" spans="1:4" ht="13.05" customHeight="1" x14ac:dyDescent="0.3">
      <c r="A1142" s="2" t="s">
        <v>237</v>
      </c>
      <c r="B1142" s="2" t="s">
        <v>1018</v>
      </c>
      <c r="C1142" s="5" t="s">
        <v>2183</v>
      </c>
      <c r="D1142" s="2" t="s">
        <v>2184</v>
      </c>
    </row>
    <row r="1143" spans="1:4" ht="13.05" customHeight="1" x14ac:dyDescent="0.3">
      <c r="A1143" s="2" t="s">
        <v>237</v>
      </c>
      <c r="B1143" s="2" t="s">
        <v>1018</v>
      </c>
      <c r="C1143" s="5" t="s">
        <v>2185</v>
      </c>
      <c r="D1143" s="2" t="s">
        <v>2186</v>
      </c>
    </row>
    <row r="1144" spans="1:4" ht="13.05" customHeight="1" x14ac:dyDescent="0.3">
      <c r="A1144" s="2" t="s">
        <v>237</v>
      </c>
      <c r="B1144" s="2" t="s">
        <v>1018</v>
      </c>
      <c r="C1144" s="5" t="s">
        <v>2187</v>
      </c>
      <c r="D1144" s="2" t="s">
        <v>2188</v>
      </c>
    </row>
    <row r="1145" spans="1:4" ht="13.05" customHeight="1" x14ac:dyDescent="0.3">
      <c r="A1145" s="2" t="s">
        <v>237</v>
      </c>
      <c r="B1145" s="2" t="s">
        <v>1018</v>
      </c>
      <c r="C1145" s="5" t="s">
        <v>2189</v>
      </c>
      <c r="D1145" s="2" t="s">
        <v>2190</v>
      </c>
    </row>
    <row r="1146" spans="1:4" ht="13.05" customHeight="1" x14ac:dyDescent="0.3">
      <c r="A1146" s="2" t="s">
        <v>237</v>
      </c>
      <c r="B1146" s="2" t="s">
        <v>1018</v>
      </c>
      <c r="C1146" s="5" t="s">
        <v>2191</v>
      </c>
      <c r="D1146" s="2" t="s">
        <v>2192</v>
      </c>
    </row>
    <row r="1147" spans="1:4" ht="13.05" customHeight="1" x14ac:dyDescent="0.3">
      <c r="A1147" s="2" t="s">
        <v>237</v>
      </c>
      <c r="B1147" s="2" t="s">
        <v>1018</v>
      </c>
      <c r="C1147" s="5" t="s">
        <v>2193</v>
      </c>
      <c r="D1147" s="2" t="s">
        <v>2194</v>
      </c>
    </row>
    <row r="1148" spans="1:4" ht="13.05" customHeight="1" x14ac:dyDescent="0.3">
      <c r="A1148" s="2" t="s">
        <v>237</v>
      </c>
      <c r="B1148" s="2" t="s">
        <v>1018</v>
      </c>
      <c r="C1148" s="5" t="s">
        <v>2195</v>
      </c>
      <c r="D1148" s="2" t="s">
        <v>2196</v>
      </c>
    </row>
    <row r="1149" spans="1:4" ht="13.05" customHeight="1" x14ac:dyDescent="0.3">
      <c r="A1149" s="2" t="s">
        <v>237</v>
      </c>
      <c r="B1149" s="2" t="s">
        <v>1018</v>
      </c>
      <c r="C1149" s="5" t="s">
        <v>2197</v>
      </c>
      <c r="D1149" s="2" t="s">
        <v>2198</v>
      </c>
    </row>
    <row r="1150" spans="1:4" ht="13.05" customHeight="1" x14ac:dyDescent="0.3">
      <c r="A1150" s="2" t="s">
        <v>237</v>
      </c>
      <c r="B1150" s="2" t="s">
        <v>1018</v>
      </c>
      <c r="C1150" s="5" t="s">
        <v>2199</v>
      </c>
      <c r="D1150" s="2" t="s">
        <v>2200</v>
      </c>
    </row>
    <row r="1151" spans="1:4" ht="13.05" customHeight="1" x14ac:dyDescent="0.3">
      <c r="A1151" s="2" t="s">
        <v>237</v>
      </c>
      <c r="B1151" s="2" t="s">
        <v>1018</v>
      </c>
      <c r="C1151" s="5" t="s">
        <v>2201</v>
      </c>
      <c r="D1151" s="2" t="s">
        <v>2202</v>
      </c>
    </row>
    <row r="1152" spans="1:4" ht="13.05" customHeight="1" x14ac:dyDescent="0.3">
      <c r="A1152" s="2" t="s">
        <v>237</v>
      </c>
      <c r="B1152" s="2" t="s">
        <v>1018</v>
      </c>
      <c r="C1152" s="5" t="s">
        <v>2203</v>
      </c>
      <c r="D1152" s="2" t="s">
        <v>2204</v>
      </c>
    </row>
    <row r="1153" spans="1:4" ht="13.05" customHeight="1" x14ac:dyDescent="0.3">
      <c r="A1153" s="2" t="s">
        <v>237</v>
      </c>
      <c r="B1153" s="2" t="s">
        <v>1018</v>
      </c>
      <c r="C1153" s="5" t="s">
        <v>2205</v>
      </c>
      <c r="D1153" s="2" t="s">
        <v>2206</v>
      </c>
    </row>
    <row r="1154" spans="1:4" ht="13.05" customHeight="1" x14ac:dyDescent="0.3">
      <c r="A1154" s="2" t="s">
        <v>237</v>
      </c>
      <c r="B1154" s="2" t="s">
        <v>1018</v>
      </c>
      <c r="C1154" s="5" t="s">
        <v>2207</v>
      </c>
      <c r="D1154" s="2" t="s">
        <v>2208</v>
      </c>
    </row>
    <row r="1155" spans="1:4" ht="13.05" customHeight="1" x14ac:dyDescent="0.3">
      <c r="A1155" s="2" t="s">
        <v>237</v>
      </c>
      <c r="B1155" s="2" t="s">
        <v>1018</v>
      </c>
      <c r="C1155" s="5" t="s">
        <v>2209</v>
      </c>
      <c r="D1155" s="2" t="s">
        <v>2210</v>
      </c>
    </row>
    <row r="1156" spans="1:4" ht="13.05" customHeight="1" x14ac:dyDescent="0.3">
      <c r="A1156" s="2" t="s">
        <v>237</v>
      </c>
      <c r="B1156" s="2" t="s">
        <v>1018</v>
      </c>
      <c r="C1156" s="5" t="s">
        <v>2211</v>
      </c>
      <c r="D1156" s="2" t="s">
        <v>2212</v>
      </c>
    </row>
    <row r="1157" spans="1:4" ht="13.05" customHeight="1" x14ac:dyDescent="0.3">
      <c r="A1157" s="2" t="s">
        <v>237</v>
      </c>
      <c r="B1157" s="2" t="s">
        <v>1018</v>
      </c>
      <c r="C1157" s="5" t="s">
        <v>2213</v>
      </c>
      <c r="D1157" s="2" t="s">
        <v>2214</v>
      </c>
    </row>
    <row r="1158" spans="1:4" ht="13.05" customHeight="1" x14ac:dyDescent="0.3">
      <c r="A1158" s="2" t="s">
        <v>237</v>
      </c>
      <c r="B1158" s="2" t="s">
        <v>1018</v>
      </c>
      <c r="C1158" s="5" t="s">
        <v>2215</v>
      </c>
      <c r="D1158" s="2" t="s">
        <v>2216</v>
      </c>
    </row>
    <row r="1159" spans="1:4" ht="13.05" customHeight="1" x14ac:dyDescent="0.3">
      <c r="A1159" s="2" t="s">
        <v>237</v>
      </c>
      <c r="B1159" s="2" t="s">
        <v>1018</v>
      </c>
      <c r="C1159" s="5" t="s">
        <v>2217</v>
      </c>
      <c r="D1159" s="2" t="s">
        <v>2218</v>
      </c>
    </row>
    <row r="1160" spans="1:4" ht="13.05" customHeight="1" x14ac:dyDescent="0.3">
      <c r="A1160" s="2" t="s">
        <v>237</v>
      </c>
      <c r="B1160" s="2" t="s">
        <v>1018</v>
      </c>
      <c r="C1160" s="5" t="s">
        <v>2219</v>
      </c>
      <c r="D1160" s="2" t="s">
        <v>2220</v>
      </c>
    </row>
    <row r="1161" spans="1:4" ht="13.05" customHeight="1" x14ac:dyDescent="0.3">
      <c r="A1161" s="2" t="s">
        <v>237</v>
      </c>
      <c r="B1161" s="2" t="s">
        <v>1018</v>
      </c>
      <c r="C1161" s="5" t="s">
        <v>2221</v>
      </c>
      <c r="D1161" s="2" t="s">
        <v>2222</v>
      </c>
    </row>
    <row r="1162" spans="1:4" ht="13.05" customHeight="1" x14ac:dyDescent="0.3">
      <c r="A1162" s="2" t="s">
        <v>237</v>
      </c>
      <c r="B1162" s="2" t="s">
        <v>1018</v>
      </c>
      <c r="C1162" s="5" t="s">
        <v>2223</v>
      </c>
      <c r="D1162" s="2" t="s">
        <v>2224</v>
      </c>
    </row>
    <row r="1163" spans="1:4" ht="13.05" customHeight="1" x14ac:dyDescent="0.3">
      <c r="A1163" s="2" t="s">
        <v>237</v>
      </c>
      <c r="B1163" s="2" t="s">
        <v>1018</v>
      </c>
      <c r="C1163" s="5" t="s">
        <v>2225</v>
      </c>
      <c r="D1163" s="2" t="s">
        <v>2226</v>
      </c>
    </row>
    <row r="1164" spans="1:4" ht="13.05" customHeight="1" x14ac:dyDescent="0.3">
      <c r="A1164" s="2" t="s">
        <v>237</v>
      </c>
      <c r="B1164" s="2" t="s">
        <v>1018</v>
      </c>
      <c r="C1164" s="5" t="s">
        <v>2227</v>
      </c>
      <c r="D1164" s="2" t="s">
        <v>2228</v>
      </c>
    </row>
    <row r="1165" spans="1:4" ht="13.05" customHeight="1" x14ac:dyDescent="0.3">
      <c r="A1165" s="2" t="s">
        <v>237</v>
      </c>
      <c r="B1165" s="2" t="s">
        <v>1018</v>
      </c>
      <c r="C1165" s="5" t="s">
        <v>2229</v>
      </c>
      <c r="D1165" s="2" t="s">
        <v>2230</v>
      </c>
    </row>
    <row r="1166" spans="1:4" ht="13.05" customHeight="1" x14ac:dyDescent="0.3">
      <c r="A1166" s="2" t="s">
        <v>237</v>
      </c>
      <c r="B1166" s="2" t="s">
        <v>1018</v>
      </c>
      <c r="C1166" s="5" t="s">
        <v>2231</v>
      </c>
      <c r="D1166" s="2" t="s">
        <v>2232</v>
      </c>
    </row>
    <row r="1167" spans="1:4" ht="13.05" customHeight="1" x14ac:dyDescent="0.3">
      <c r="A1167" s="2" t="s">
        <v>237</v>
      </c>
      <c r="B1167" s="2" t="s">
        <v>1018</v>
      </c>
      <c r="C1167" s="5" t="s">
        <v>2233</v>
      </c>
      <c r="D1167" s="2" t="s">
        <v>2234</v>
      </c>
    </row>
    <row r="1168" spans="1:4" ht="13.05" customHeight="1" x14ac:dyDescent="0.3">
      <c r="A1168" s="2" t="s">
        <v>237</v>
      </c>
      <c r="B1168" s="2" t="s">
        <v>1018</v>
      </c>
      <c r="C1168" s="5" t="s">
        <v>2235</v>
      </c>
      <c r="D1168" s="2" t="s">
        <v>2236</v>
      </c>
    </row>
    <row r="1169" spans="1:4" ht="13.05" customHeight="1" x14ac:dyDescent="0.3">
      <c r="A1169" s="2" t="s">
        <v>237</v>
      </c>
      <c r="B1169" s="2" t="s">
        <v>1018</v>
      </c>
      <c r="C1169" s="5" t="s">
        <v>2237</v>
      </c>
      <c r="D1169" s="2" t="s">
        <v>2238</v>
      </c>
    </row>
    <row r="1170" spans="1:4" ht="13.05" customHeight="1" x14ac:dyDescent="0.3">
      <c r="A1170" s="2" t="s">
        <v>237</v>
      </c>
      <c r="B1170" s="2" t="s">
        <v>1018</v>
      </c>
      <c r="C1170" s="5" t="s">
        <v>2239</v>
      </c>
      <c r="D1170" s="2" t="s">
        <v>2240</v>
      </c>
    </row>
    <row r="1171" spans="1:4" ht="13.05" customHeight="1" x14ac:dyDescent="0.3">
      <c r="A1171" s="2" t="s">
        <v>237</v>
      </c>
      <c r="B1171" s="2" t="s">
        <v>1018</v>
      </c>
      <c r="C1171" s="5" t="s">
        <v>2241</v>
      </c>
      <c r="D1171" s="2" t="s">
        <v>2242</v>
      </c>
    </row>
    <row r="1172" spans="1:4" ht="13.05" customHeight="1" x14ac:dyDescent="0.3">
      <c r="A1172" s="2" t="s">
        <v>237</v>
      </c>
      <c r="B1172" s="2" t="s">
        <v>1018</v>
      </c>
      <c r="C1172" s="5" t="s">
        <v>2243</v>
      </c>
      <c r="D1172" s="2" t="s">
        <v>2244</v>
      </c>
    </row>
    <row r="1173" spans="1:4" ht="13.05" customHeight="1" x14ac:dyDescent="0.3">
      <c r="A1173" s="2" t="s">
        <v>237</v>
      </c>
      <c r="B1173" s="2" t="s">
        <v>1018</v>
      </c>
      <c r="C1173" s="5" t="s">
        <v>2245</v>
      </c>
      <c r="D1173" s="2" t="s">
        <v>2246</v>
      </c>
    </row>
    <row r="1174" spans="1:4" ht="13.05" customHeight="1" x14ac:dyDescent="0.3">
      <c r="A1174" s="2" t="s">
        <v>237</v>
      </c>
      <c r="B1174" s="2" t="s">
        <v>1018</v>
      </c>
      <c r="C1174" s="5" t="s">
        <v>2247</v>
      </c>
      <c r="D1174" s="2" t="s">
        <v>2248</v>
      </c>
    </row>
    <row r="1175" spans="1:4" ht="13.05" customHeight="1" x14ac:dyDescent="0.3">
      <c r="A1175" s="2" t="s">
        <v>237</v>
      </c>
      <c r="B1175" s="2" t="s">
        <v>1018</v>
      </c>
      <c r="C1175" s="5" t="s">
        <v>2249</v>
      </c>
      <c r="D1175" s="2" t="s">
        <v>2250</v>
      </c>
    </row>
    <row r="1176" spans="1:4" ht="13.05" customHeight="1" x14ac:dyDescent="0.3">
      <c r="A1176" s="2" t="s">
        <v>237</v>
      </c>
      <c r="B1176" s="2" t="s">
        <v>1018</v>
      </c>
      <c r="C1176" s="5" t="s">
        <v>2251</v>
      </c>
      <c r="D1176" s="2" t="s">
        <v>2252</v>
      </c>
    </row>
    <row r="1177" spans="1:4" ht="13.05" customHeight="1" x14ac:dyDescent="0.3">
      <c r="A1177" s="2" t="s">
        <v>237</v>
      </c>
      <c r="B1177" s="2" t="s">
        <v>1018</v>
      </c>
      <c r="C1177" s="5" t="s">
        <v>2253</v>
      </c>
      <c r="D1177" s="2" t="s">
        <v>2254</v>
      </c>
    </row>
    <row r="1178" spans="1:4" ht="13.05" customHeight="1" x14ac:dyDescent="0.3">
      <c r="A1178" s="2" t="s">
        <v>237</v>
      </c>
      <c r="B1178" s="2" t="s">
        <v>1018</v>
      </c>
      <c r="C1178" s="5" t="s">
        <v>2255</v>
      </c>
      <c r="D1178" s="2" t="s">
        <v>2256</v>
      </c>
    </row>
    <row r="1179" spans="1:4" ht="13.05" customHeight="1" x14ac:dyDescent="0.3">
      <c r="A1179" s="2" t="s">
        <v>237</v>
      </c>
      <c r="B1179" s="2" t="s">
        <v>1018</v>
      </c>
      <c r="C1179" s="5" t="s">
        <v>2257</v>
      </c>
      <c r="D1179" s="2" t="s">
        <v>2258</v>
      </c>
    </row>
    <row r="1180" spans="1:4" ht="13.05" customHeight="1" x14ac:dyDescent="0.3">
      <c r="A1180" s="2" t="s">
        <v>237</v>
      </c>
      <c r="B1180" s="2" t="s">
        <v>1018</v>
      </c>
      <c r="C1180" s="5" t="s">
        <v>2259</v>
      </c>
      <c r="D1180" s="2" t="s">
        <v>2260</v>
      </c>
    </row>
    <row r="1181" spans="1:4" ht="13.05" customHeight="1" x14ac:dyDescent="0.3">
      <c r="A1181" s="2" t="s">
        <v>237</v>
      </c>
      <c r="B1181" s="2" t="s">
        <v>1018</v>
      </c>
      <c r="C1181" s="5" t="s">
        <v>2261</v>
      </c>
      <c r="D1181" s="2" t="s">
        <v>2262</v>
      </c>
    </row>
    <row r="1182" spans="1:4" ht="13.05" customHeight="1" x14ac:dyDescent="0.3">
      <c r="A1182" s="2" t="s">
        <v>237</v>
      </c>
      <c r="B1182" s="2" t="s">
        <v>1018</v>
      </c>
      <c r="C1182" s="5" t="s">
        <v>2263</v>
      </c>
      <c r="D1182" s="2" t="s">
        <v>2264</v>
      </c>
    </row>
    <row r="1183" spans="1:4" ht="13.05" customHeight="1" x14ac:dyDescent="0.3">
      <c r="A1183" s="2" t="s">
        <v>237</v>
      </c>
      <c r="B1183" s="2" t="s">
        <v>1018</v>
      </c>
      <c r="C1183" s="5" t="s">
        <v>2265</v>
      </c>
      <c r="D1183" s="2" t="s">
        <v>2266</v>
      </c>
    </row>
    <row r="1184" spans="1:4" ht="13.05" customHeight="1" x14ac:dyDescent="0.3">
      <c r="A1184" s="2" t="s">
        <v>237</v>
      </c>
      <c r="B1184" s="2" t="s">
        <v>1018</v>
      </c>
      <c r="C1184" s="5" t="s">
        <v>2267</v>
      </c>
      <c r="D1184" s="2" t="s">
        <v>2268</v>
      </c>
    </row>
    <row r="1185" spans="1:4" ht="13.05" customHeight="1" x14ac:dyDescent="0.3">
      <c r="A1185" s="2" t="s">
        <v>237</v>
      </c>
      <c r="B1185" s="2" t="s">
        <v>1018</v>
      </c>
      <c r="C1185" s="5" t="s">
        <v>2269</v>
      </c>
      <c r="D1185" s="2" t="s">
        <v>2270</v>
      </c>
    </row>
    <row r="1186" spans="1:4" ht="13.05" customHeight="1" x14ac:dyDescent="0.3">
      <c r="A1186" s="2" t="s">
        <v>237</v>
      </c>
      <c r="B1186" s="2" t="s">
        <v>1018</v>
      </c>
      <c r="C1186" s="5" t="s">
        <v>2271</v>
      </c>
      <c r="D1186" s="2" t="s">
        <v>2272</v>
      </c>
    </row>
    <row r="1187" spans="1:4" ht="13.05" customHeight="1" x14ac:dyDescent="0.3">
      <c r="A1187" s="2" t="s">
        <v>237</v>
      </c>
      <c r="B1187" s="2" t="s">
        <v>1018</v>
      </c>
      <c r="C1187" s="5" t="s">
        <v>2273</v>
      </c>
      <c r="D1187" s="2" t="s">
        <v>2274</v>
      </c>
    </row>
    <row r="1188" spans="1:4" ht="13.05" customHeight="1" x14ac:dyDescent="0.3">
      <c r="A1188" s="2" t="s">
        <v>237</v>
      </c>
      <c r="B1188" s="2" t="s">
        <v>1018</v>
      </c>
      <c r="C1188" s="5" t="s">
        <v>2275</v>
      </c>
      <c r="D1188" s="2" t="s">
        <v>2276</v>
      </c>
    </row>
    <row r="1189" spans="1:4" ht="13.05" customHeight="1" x14ac:dyDescent="0.3">
      <c r="A1189" s="2" t="s">
        <v>237</v>
      </c>
      <c r="B1189" s="2" t="s">
        <v>1018</v>
      </c>
      <c r="C1189" s="5" t="s">
        <v>2277</v>
      </c>
      <c r="D1189" s="2" t="s">
        <v>2278</v>
      </c>
    </row>
    <row r="1190" spans="1:4" ht="13.05" customHeight="1" x14ac:dyDescent="0.3">
      <c r="A1190" s="2" t="s">
        <v>237</v>
      </c>
      <c r="B1190" s="2" t="s">
        <v>1018</v>
      </c>
      <c r="C1190" s="5" t="s">
        <v>2279</v>
      </c>
      <c r="D1190" s="2" t="s">
        <v>2280</v>
      </c>
    </row>
    <row r="1191" spans="1:4" ht="13.05" customHeight="1" x14ac:dyDescent="0.3">
      <c r="A1191" s="2" t="s">
        <v>237</v>
      </c>
      <c r="B1191" s="2" t="s">
        <v>1018</v>
      </c>
      <c r="C1191" s="5" t="s">
        <v>2281</v>
      </c>
      <c r="D1191" s="2" t="s">
        <v>2282</v>
      </c>
    </row>
    <row r="1192" spans="1:4" ht="13.05" customHeight="1" x14ac:dyDescent="0.3">
      <c r="A1192" s="2" t="s">
        <v>237</v>
      </c>
      <c r="B1192" s="2" t="s">
        <v>1018</v>
      </c>
      <c r="C1192" s="5" t="s">
        <v>2283</v>
      </c>
      <c r="D1192" s="2" t="s">
        <v>2284</v>
      </c>
    </row>
    <row r="1193" spans="1:4" ht="13.05" customHeight="1" x14ac:dyDescent="0.3">
      <c r="A1193" s="2" t="s">
        <v>237</v>
      </c>
      <c r="B1193" s="2" t="s">
        <v>1018</v>
      </c>
      <c r="C1193" s="5" t="s">
        <v>2285</v>
      </c>
      <c r="D1193" s="2" t="s">
        <v>2286</v>
      </c>
    </row>
    <row r="1194" spans="1:4" ht="13.05" customHeight="1" x14ac:dyDescent="0.3">
      <c r="A1194" s="2" t="s">
        <v>237</v>
      </c>
      <c r="B1194" s="2" t="s">
        <v>1018</v>
      </c>
      <c r="C1194" s="5" t="s">
        <v>2287</v>
      </c>
      <c r="D1194" s="2" t="s">
        <v>2288</v>
      </c>
    </row>
    <row r="1195" spans="1:4" ht="13.05" customHeight="1" x14ac:dyDescent="0.3">
      <c r="A1195" s="2" t="s">
        <v>237</v>
      </c>
      <c r="B1195" s="2" t="s">
        <v>1018</v>
      </c>
      <c r="C1195" s="5" t="s">
        <v>2289</v>
      </c>
      <c r="D1195" s="2" t="s">
        <v>2290</v>
      </c>
    </row>
    <row r="1196" spans="1:4" ht="13.05" customHeight="1" x14ac:dyDescent="0.3">
      <c r="A1196" s="2" t="s">
        <v>237</v>
      </c>
      <c r="B1196" s="2" t="s">
        <v>1018</v>
      </c>
      <c r="C1196" s="5" t="s">
        <v>2291</v>
      </c>
      <c r="D1196" s="2" t="s">
        <v>2292</v>
      </c>
    </row>
    <row r="1197" spans="1:4" ht="13.05" customHeight="1" x14ac:dyDescent="0.3">
      <c r="A1197" s="2" t="s">
        <v>237</v>
      </c>
      <c r="B1197" s="2" t="s">
        <v>1018</v>
      </c>
      <c r="C1197" s="5" t="s">
        <v>2293</v>
      </c>
      <c r="D1197" s="2" t="s">
        <v>2294</v>
      </c>
    </row>
    <row r="1198" spans="1:4" ht="13.05" customHeight="1" x14ac:dyDescent="0.3">
      <c r="A1198" s="2" t="s">
        <v>237</v>
      </c>
      <c r="B1198" s="2" t="s">
        <v>1018</v>
      </c>
      <c r="C1198" s="5" t="s">
        <v>2295</v>
      </c>
      <c r="D1198" s="2" t="s">
        <v>2296</v>
      </c>
    </row>
    <row r="1199" spans="1:4" ht="13.05" customHeight="1" x14ac:dyDescent="0.3">
      <c r="A1199" s="2" t="s">
        <v>237</v>
      </c>
      <c r="B1199" s="2" t="s">
        <v>1018</v>
      </c>
      <c r="C1199" s="5" t="s">
        <v>2297</v>
      </c>
      <c r="D1199" s="2" t="s">
        <v>2298</v>
      </c>
    </row>
    <row r="1200" spans="1:4" ht="13.05" customHeight="1" x14ac:dyDescent="0.3">
      <c r="A1200" s="2" t="s">
        <v>237</v>
      </c>
      <c r="B1200" s="2" t="s">
        <v>1018</v>
      </c>
      <c r="C1200" s="5" t="s">
        <v>2299</v>
      </c>
      <c r="D1200" s="2" t="s">
        <v>2300</v>
      </c>
    </row>
    <row r="1201" spans="1:4" ht="13.05" customHeight="1" x14ac:dyDescent="0.3">
      <c r="A1201" s="2" t="s">
        <v>237</v>
      </c>
      <c r="B1201" s="2" t="s">
        <v>1018</v>
      </c>
      <c r="C1201" s="5" t="s">
        <v>2301</v>
      </c>
      <c r="D1201" s="2" t="s">
        <v>2302</v>
      </c>
    </row>
    <row r="1202" spans="1:4" ht="13.05" customHeight="1" x14ac:dyDescent="0.3">
      <c r="A1202" s="2" t="s">
        <v>237</v>
      </c>
      <c r="B1202" s="2" t="s">
        <v>1018</v>
      </c>
      <c r="C1202" s="5" t="s">
        <v>2303</v>
      </c>
      <c r="D1202" s="2" t="s">
        <v>2304</v>
      </c>
    </row>
    <row r="1203" spans="1:4" ht="13.05" customHeight="1" x14ac:dyDescent="0.3">
      <c r="A1203" s="2" t="s">
        <v>237</v>
      </c>
      <c r="B1203" s="2" t="s">
        <v>1018</v>
      </c>
      <c r="C1203" s="5" t="s">
        <v>2305</v>
      </c>
      <c r="D1203" s="2" t="s">
        <v>2306</v>
      </c>
    </row>
    <row r="1204" spans="1:4" ht="13.05" customHeight="1" x14ac:dyDescent="0.3">
      <c r="A1204" s="2" t="s">
        <v>237</v>
      </c>
      <c r="B1204" s="2" t="s">
        <v>1018</v>
      </c>
      <c r="C1204" s="5" t="s">
        <v>2307</v>
      </c>
      <c r="D1204" s="2" t="s">
        <v>2308</v>
      </c>
    </row>
    <row r="1205" spans="1:4" ht="13.05" customHeight="1" x14ac:dyDescent="0.3">
      <c r="A1205" s="2" t="s">
        <v>237</v>
      </c>
      <c r="B1205" s="2" t="s">
        <v>1018</v>
      </c>
      <c r="C1205" s="5" t="s">
        <v>2309</v>
      </c>
      <c r="D1205" s="2" t="s">
        <v>2310</v>
      </c>
    </row>
    <row r="1206" spans="1:4" ht="13.05" customHeight="1" x14ac:dyDescent="0.3">
      <c r="A1206" s="2" t="s">
        <v>237</v>
      </c>
      <c r="B1206" s="2" t="s">
        <v>1018</v>
      </c>
      <c r="C1206" s="5" t="s">
        <v>2311</v>
      </c>
      <c r="D1206" s="2" t="s">
        <v>2312</v>
      </c>
    </row>
    <row r="1207" spans="1:4" ht="13.05" customHeight="1" x14ac:dyDescent="0.3">
      <c r="A1207" s="2" t="s">
        <v>237</v>
      </c>
      <c r="B1207" s="2" t="s">
        <v>1018</v>
      </c>
      <c r="C1207" s="5" t="s">
        <v>2313</v>
      </c>
      <c r="D1207" s="2" t="s">
        <v>2314</v>
      </c>
    </row>
    <row r="1208" spans="1:4" ht="13.05" customHeight="1" x14ac:dyDescent="0.3">
      <c r="A1208" s="2" t="s">
        <v>237</v>
      </c>
      <c r="B1208" s="2" t="s">
        <v>1018</v>
      </c>
      <c r="C1208" s="5" t="s">
        <v>2315</v>
      </c>
      <c r="D1208" s="2" t="s">
        <v>2316</v>
      </c>
    </row>
    <row r="1209" spans="1:4" ht="13.05" customHeight="1" x14ac:dyDescent="0.3">
      <c r="A1209" s="2" t="s">
        <v>237</v>
      </c>
      <c r="B1209" s="2" t="s">
        <v>1018</v>
      </c>
      <c r="C1209" s="5" t="s">
        <v>2317</v>
      </c>
      <c r="D1209" s="2" t="s">
        <v>2318</v>
      </c>
    </row>
    <row r="1210" spans="1:4" ht="13.05" customHeight="1" x14ac:dyDescent="0.3">
      <c r="A1210" s="2" t="s">
        <v>237</v>
      </c>
      <c r="B1210" s="2" t="s">
        <v>1018</v>
      </c>
      <c r="C1210" s="5" t="s">
        <v>2319</v>
      </c>
      <c r="D1210" s="2" t="s">
        <v>2320</v>
      </c>
    </row>
    <row r="1211" spans="1:4" ht="13.05" customHeight="1" x14ac:dyDescent="0.3">
      <c r="A1211" s="2" t="s">
        <v>237</v>
      </c>
      <c r="B1211" s="2" t="s">
        <v>1018</v>
      </c>
      <c r="C1211" s="5" t="s">
        <v>2321</v>
      </c>
      <c r="D1211" s="2" t="s">
        <v>2322</v>
      </c>
    </row>
    <row r="1212" spans="1:4" ht="13.05" customHeight="1" x14ac:dyDescent="0.3">
      <c r="A1212" s="2" t="s">
        <v>237</v>
      </c>
      <c r="B1212" s="2" t="s">
        <v>1018</v>
      </c>
      <c r="C1212" s="5" t="s">
        <v>2323</v>
      </c>
      <c r="D1212" s="2" t="s">
        <v>2324</v>
      </c>
    </row>
    <row r="1213" spans="1:4" ht="13.05" customHeight="1" x14ac:dyDescent="0.3">
      <c r="A1213" s="2" t="s">
        <v>237</v>
      </c>
      <c r="B1213" s="2" t="s">
        <v>1018</v>
      </c>
      <c r="C1213" s="5" t="s">
        <v>2325</v>
      </c>
      <c r="D1213" s="2" t="s">
        <v>2326</v>
      </c>
    </row>
    <row r="1214" spans="1:4" ht="13.05" customHeight="1" x14ac:dyDescent="0.3">
      <c r="A1214" s="2" t="s">
        <v>237</v>
      </c>
      <c r="B1214" s="2" t="s">
        <v>1018</v>
      </c>
      <c r="C1214" s="5" t="s">
        <v>2327</v>
      </c>
      <c r="D1214" s="2" t="s">
        <v>2328</v>
      </c>
    </row>
    <row r="1215" spans="1:4" ht="13.05" customHeight="1" x14ac:dyDescent="0.3">
      <c r="A1215" s="2" t="s">
        <v>237</v>
      </c>
      <c r="B1215" s="2" t="s">
        <v>1018</v>
      </c>
      <c r="C1215" s="5" t="s">
        <v>2329</v>
      </c>
      <c r="D1215" s="2" t="s">
        <v>2330</v>
      </c>
    </row>
    <row r="1216" spans="1:4" ht="13.05" customHeight="1" x14ac:dyDescent="0.3">
      <c r="A1216" s="2" t="s">
        <v>237</v>
      </c>
      <c r="B1216" s="2" t="s">
        <v>1018</v>
      </c>
      <c r="C1216" s="5" t="s">
        <v>2331</v>
      </c>
      <c r="D1216" s="2" t="s">
        <v>2332</v>
      </c>
    </row>
    <row r="1217" spans="1:4" ht="13.05" customHeight="1" x14ac:dyDescent="0.3">
      <c r="A1217" s="2" t="s">
        <v>237</v>
      </c>
      <c r="B1217" s="2" t="s">
        <v>1018</v>
      </c>
      <c r="C1217" s="5" t="s">
        <v>2333</v>
      </c>
      <c r="D1217" s="2" t="s">
        <v>2334</v>
      </c>
    </row>
    <row r="1218" spans="1:4" ht="13.05" customHeight="1" x14ac:dyDescent="0.3">
      <c r="A1218" s="2" t="s">
        <v>237</v>
      </c>
      <c r="B1218" s="2" t="s">
        <v>1018</v>
      </c>
      <c r="C1218" s="5" t="s">
        <v>2335</v>
      </c>
      <c r="D1218" s="2" t="s">
        <v>2336</v>
      </c>
    </row>
    <row r="1219" spans="1:4" ht="13.05" customHeight="1" x14ac:dyDescent="0.3">
      <c r="A1219" s="2" t="s">
        <v>237</v>
      </c>
      <c r="B1219" s="2" t="s">
        <v>1018</v>
      </c>
      <c r="C1219" s="5" t="s">
        <v>2337</v>
      </c>
      <c r="D1219" s="2" t="s">
        <v>2338</v>
      </c>
    </row>
    <row r="1220" spans="1:4" ht="13.05" customHeight="1" x14ac:dyDescent="0.3">
      <c r="A1220" s="2" t="s">
        <v>237</v>
      </c>
      <c r="B1220" s="2" t="s">
        <v>1018</v>
      </c>
      <c r="C1220" s="5" t="s">
        <v>2339</v>
      </c>
      <c r="D1220" s="2" t="s">
        <v>2340</v>
      </c>
    </row>
    <row r="1221" spans="1:4" ht="13.05" customHeight="1" x14ac:dyDescent="0.3">
      <c r="A1221" s="2" t="s">
        <v>237</v>
      </c>
      <c r="B1221" s="2" t="s">
        <v>1018</v>
      </c>
      <c r="C1221" s="5" t="s">
        <v>2341</v>
      </c>
      <c r="D1221" s="2" t="s">
        <v>2342</v>
      </c>
    </row>
    <row r="1222" spans="1:4" ht="13.05" customHeight="1" x14ac:dyDescent="0.3">
      <c r="A1222" s="2" t="s">
        <v>237</v>
      </c>
      <c r="B1222" s="2" t="s">
        <v>1018</v>
      </c>
      <c r="C1222" s="5" t="s">
        <v>2343</v>
      </c>
      <c r="D1222" s="2" t="s">
        <v>2344</v>
      </c>
    </row>
    <row r="1223" spans="1:4" ht="13.05" customHeight="1" x14ac:dyDescent="0.3">
      <c r="A1223" s="2" t="s">
        <v>237</v>
      </c>
      <c r="B1223" s="2" t="s">
        <v>1018</v>
      </c>
      <c r="C1223" s="5" t="s">
        <v>2345</v>
      </c>
      <c r="D1223" s="2" t="s">
        <v>2346</v>
      </c>
    </row>
    <row r="1224" spans="1:4" ht="13.05" customHeight="1" x14ac:dyDescent="0.3">
      <c r="A1224" s="2" t="s">
        <v>237</v>
      </c>
      <c r="B1224" s="2" t="s">
        <v>1018</v>
      </c>
      <c r="C1224" s="5" t="s">
        <v>2347</v>
      </c>
      <c r="D1224" s="2" t="s">
        <v>2348</v>
      </c>
    </row>
    <row r="1225" spans="1:4" ht="13.05" customHeight="1" x14ac:dyDescent="0.3">
      <c r="A1225" s="2" t="s">
        <v>237</v>
      </c>
      <c r="B1225" s="2" t="s">
        <v>1018</v>
      </c>
      <c r="C1225" s="5" t="s">
        <v>2349</v>
      </c>
      <c r="D1225" s="2" t="s">
        <v>2350</v>
      </c>
    </row>
    <row r="1226" spans="1:4" ht="13.05" customHeight="1" x14ac:dyDescent="0.3">
      <c r="A1226" s="2" t="s">
        <v>237</v>
      </c>
      <c r="B1226" s="2" t="s">
        <v>1018</v>
      </c>
      <c r="C1226" s="5" t="s">
        <v>2351</v>
      </c>
      <c r="D1226" s="2" t="s">
        <v>2352</v>
      </c>
    </row>
    <row r="1227" spans="1:4" ht="13.05" customHeight="1" x14ac:dyDescent="0.3">
      <c r="A1227" s="2" t="s">
        <v>237</v>
      </c>
      <c r="B1227" s="2" t="s">
        <v>1018</v>
      </c>
      <c r="C1227" s="5" t="s">
        <v>2353</v>
      </c>
      <c r="D1227" s="2" t="s">
        <v>2354</v>
      </c>
    </row>
    <row r="1228" spans="1:4" ht="13.05" customHeight="1" x14ac:dyDescent="0.3">
      <c r="A1228" s="2" t="s">
        <v>237</v>
      </c>
      <c r="B1228" s="2" t="s">
        <v>1018</v>
      </c>
      <c r="C1228" s="5" t="s">
        <v>2355</v>
      </c>
      <c r="D1228" s="2" t="s">
        <v>2356</v>
      </c>
    </row>
    <row r="1229" spans="1:4" ht="13.05" customHeight="1" x14ac:dyDescent="0.3">
      <c r="A1229" s="2" t="s">
        <v>237</v>
      </c>
      <c r="B1229" s="2" t="s">
        <v>1018</v>
      </c>
      <c r="C1229" s="5" t="s">
        <v>2357</v>
      </c>
      <c r="D1229" s="2" t="s">
        <v>2358</v>
      </c>
    </row>
    <row r="1230" spans="1:4" ht="13.05" customHeight="1" x14ac:dyDescent="0.3">
      <c r="A1230" s="2" t="s">
        <v>237</v>
      </c>
      <c r="B1230" s="2" t="s">
        <v>1018</v>
      </c>
      <c r="C1230" s="5" t="s">
        <v>2359</v>
      </c>
      <c r="D1230" s="2" t="s">
        <v>2360</v>
      </c>
    </row>
    <row r="1231" spans="1:4" ht="13.05" customHeight="1" x14ac:dyDescent="0.3">
      <c r="A1231" s="2" t="s">
        <v>237</v>
      </c>
      <c r="B1231" s="2" t="s">
        <v>1018</v>
      </c>
      <c r="C1231" s="5" t="s">
        <v>2361</v>
      </c>
      <c r="D1231" s="2" t="s">
        <v>2362</v>
      </c>
    </row>
    <row r="1232" spans="1:4" ht="13.05" customHeight="1" x14ac:dyDescent="0.3">
      <c r="A1232" s="2" t="s">
        <v>237</v>
      </c>
      <c r="B1232" s="2" t="s">
        <v>1018</v>
      </c>
      <c r="C1232" s="5" t="s">
        <v>2363</v>
      </c>
      <c r="D1232" s="2" t="s">
        <v>2364</v>
      </c>
    </row>
    <row r="1233" spans="1:4" ht="13.05" customHeight="1" x14ac:dyDescent="0.3">
      <c r="A1233" s="2" t="s">
        <v>237</v>
      </c>
      <c r="B1233" s="2" t="s">
        <v>1018</v>
      </c>
      <c r="C1233" s="5" t="s">
        <v>2365</v>
      </c>
      <c r="D1233" s="2" t="s">
        <v>2366</v>
      </c>
    </row>
    <row r="1234" spans="1:4" ht="13.05" customHeight="1" x14ac:dyDescent="0.3">
      <c r="A1234" s="2" t="s">
        <v>237</v>
      </c>
      <c r="B1234" s="2" t="s">
        <v>1018</v>
      </c>
      <c r="C1234" s="5" t="s">
        <v>2367</v>
      </c>
      <c r="D1234" s="2" t="s">
        <v>2368</v>
      </c>
    </row>
    <row r="1235" spans="1:4" ht="13.05" customHeight="1" x14ac:dyDescent="0.3">
      <c r="A1235" s="2" t="s">
        <v>237</v>
      </c>
      <c r="B1235" s="2" t="s">
        <v>1018</v>
      </c>
      <c r="C1235" s="5" t="s">
        <v>2369</v>
      </c>
      <c r="D1235" s="2" t="s">
        <v>2370</v>
      </c>
    </row>
    <row r="1236" spans="1:4" ht="13.05" customHeight="1" x14ac:dyDescent="0.3">
      <c r="A1236" s="2" t="s">
        <v>237</v>
      </c>
      <c r="B1236" s="2" t="s">
        <v>1018</v>
      </c>
      <c r="C1236" s="5" t="s">
        <v>2371</v>
      </c>
      <c r="D1236" s="2" t="s">
        <v>2372</v>
      </c>
    </row>
    <row r="1237" spans="1:4" ht="13.05" customHeight="1" x14ac:dyDescent="0.3">
      <c r="A1237" s="2" t="s">
        <v>237</v>
      </c>
      <c r="B1237" s="2" t="s">
        <v>1018</v>
      </c>
      <c r="C1237" s="5" t="s">
        <v>2373</v>
      </c>
      <c r="D1237" s="2" t="s">
        <v>2374</v>
      </c>
    </row>
    <row r="1238" spans="1:4" ht="13.05" customHeight="1" x14ac:dyDescent="0.3">
      <c r="A1238" s="2" t="s">
        <v>237</v>
      </c>
      <c r="B1238" s="2" t="s">
        <v>1018</v>
      </c>
      <c r="C1238" s="5" t="s">
        <v>2375</v>
      </c>
      <c r="D1238" s="2" t="s">
        <v>2376</v>
      </c>
    </row>
    <row r="1239" spans="1:4" ht="13.05" customHeight="1" x14ac:dyDescent="0.3">
      <c r="A1239" s="2" t="s">
        <v>237</v>
      </c>
      <c r="B1239" s="2" t="s">
        <v>1018</v>
      </c>
      <c r="C1239" s="5" t="s">
        <v>2377</v>
      </c>
      <c r="D1239" s="2" t="s">
        <v>2378</v>
      </c>
    </row>
    <row r="1240" spans="1:4" ht="13.05" customHeight="1" x14ac:dyDescent="0.3">
      <c r="A1240" s="2" t="s">
        <v>237</v>
      </c>
      <c r="B1240" s="2" t="s">
        <v>1018</v>
      </c>
      <c r="C1240" s="5" t="s">
        <v>2379</v>
      </c>
      <c r="D1240" s="2" t="s">
        <v>2380</v>
      </c>
    </row>
    <row r="1241" spans="1:4" ht="13.05" customHeight="1" x14ac:dyDescent="0.3">
      <c r="A1241" s="2" t="s">
        <v>237</v>
      </c>
      <c r="B1241" s="2" t="s">
        <v>1018</v>
      </c>
      <c r="C1241" s="5" t="s">
        <v>2381</v>
      </c>
      <c r="D1241" s="2" t="s">
        <v>2382</v>
      </c>
    </row>
    <row r="1242" spans="1:4" ht="13.05" customHeight="1" x14ac:dyDescent="0.3">
      <c r="A1242" s="2" t="s">
        <v>237</v>
      </c>
      <c r="B1242" s="2" t="s">
        <v>1018</v>
      </c>
      <c r="C1242" s="5" t="s">
        <v>2383</v>
      </c>
      <c r="D1242" s="2" t="s">
        <v>2384</v>
      </c>
    </row>
    <row r="1243" spans="1:4" ht="13.05" customHeight="1" x14ac:dyDescent="0.3">
      <c r="A1243" s="2" t="s">
        <v>237</v>
      </c>
      <c r="B1243" s="2" t="s">
        <v>1018</v>
      </c>
      <c r="C1243" s="5" t="s">
        <v>2385</v>
      </c>
      <c r="D1243" s="2" t="s">
        <v>2386</v>
      </c>
    </row>
    <row r="1244" spans="1:4" ht="13.05" customHeight="1" x14ac:dyDescent="0.3">
      <c r="A1244" s="2" t="s">
        <v>237</v>
      </c>
      <c r="B1244" s="2" t="s">
        <v>1018</v>
      </c>
      <c r="C1244" s="5" t="s">
        <v>2387</v>
      </c>
      <c r="D1244" s="2" t="s">
        <v>2388</v>
      </c>
    </row>
    <row r="1245" spans="1:4" ht="13.05" customHeight="1" x14ac:dyDescent="0.3">
      <c r="A1245" s="2" t="s">
        <v>237</v>
      </c>
      <c r="B1245" s="2" t="s">
        <v>1018</v>
      </c>
      <c r="C1245" s="5" t="s">
        <v>2389</v>
      </c>
      <c r="D1245" s="2" t="s">
        <v>2390</v>
      </c>
    </row>
    <row r="1246" spans="1:4" ht="13.05" customHeight="1" x14ac:dyDescent="0.3">
      <c r="A1246" s="2" t="s">
        <v>237</v>
      </c>
      <c r="B1246" s="2" t="s">
        <v>1018</v>
      </c>
      <c r="C1246" s="5" t="s">
        <v>2391</v>
      </c>
      <c r="D1246" s="2" t="s">
        <v>2392</v>
      </c>
    </row>
    <row r="1247" spans="1:4" ht="13.05" customHeight="1" x14ac:dyDescent="0.3">
      <c r="A1247" s="2" t="s">
        <v>237</v>
      </c>
      <c r="B1247" s="2" t="s">
        <v>1018</v>
      </c>
      <c r="C1247" s="5" t="s">
        <v>2393</v>
      </c>
      <c r="D1247" s="2" t="s">
        <v>2394</v>
      </c>
    </row>
    <row r="1248" spans="1:4" ht="13.05" customHeight="1" x14ac:dyDescent="0.3">
      <c r="A1248" s="2" t="s">
        <v>237</v>
      </c>
      <c r="B1248" s="2" t="s">
        <v>1018</v>
      </c>
      <c r="C1248" s="5" t="s">
        <v>2395</v>
      </c>
      <c r="D1248" s="2" t="s">
        <v>2396</v>
      </c>
    </row>
    <row r="1249" spans="1:4" ht="13.05" customHeight="1" x14ac:dyDescent="0.3">
      <c r="A1249" s="2" t="s">
        <v>237</v>
      </c>
      <c r="B1249" s="2" t="s">
        <v>1018</v>
      </c>
      <c r="C1249" s="5" t="s">
        <v>2397</v>
      </c>
      <c r="D1249" s="2" t="s">
        <v>2398</v>
      </c>
    </row>
    <row r="1250" spans="1:4" ht="13.05" customHeight="1" x14ac:dyDescent="0.3">
      <c r="A1250" s="2" t="s">
        <v>237</v>
      </c>
      <c r="B1250" s="2" t="s">
        <v>1018</v>
      </c>
      <c r="C1250" s="5" t="s">
        <v>2399</v>
      </c>
      <c r="D1250" s="2" t="s">
        <v>2400</v>
      </c>
    </row>
    <row r="1251" spans="1:4" ht="13.05" customHeight="1" x14ac:dyDescent="0.3">
      <c r="A1251" s="2" t="s">
        <v>237</v>
      </c>
      <c r="B1251" s="2" t="s">
        <v>1018</v>
      </c>
      <c r="C1251" s="5" t="s">
        <v>2401</v>
      </c>
      <c r="D1251" s="2" t="s">
        <v>2402</v>
      </c>
    </row>
    <row r="1252" spans="1:4" ht="13.05" customHeight="1" x14ac:dyDescent="0.3">
      <c r="A1252" s="2" t="s">
        <v>237</v>
      </c>
      <c r="B1252" s="2" t="s">
        <v>1018</v>
      </c>
      <c r="C1252" s="5" t="s">
        <v>2403</v>
      </c>
      <c r="D1252" s="2" t="s">
        <v>2404</v>
      </c>
    </row>
    <row r="1253" spans="1:4" ht="13.05" customHeight="1" x14ac:dyDescent="0.3">
      <c r="A1253" s="2" t="s">
        <v>237</v>
      </c>
      <c r="B1253" s="2" t="s">
        <v>1018</v>
      </c>
      <c r="C1253" s="5" t="s">
        <v>2405</v>
      </c>
      <c r="D1253" s="2" t="s">
        <v>2406</v>
      </c>
    </row>
    <row r="1254" spans="1:4" ht="13.05" customHeight="1" x14ac:dyDescent="0.3">
      <c r="A1254" s="2" t="s">
        <v>237</v>
      </c>
      <c r="B1254" s="2" t="s">
        <v>1018</v>
      </c>
      <c r="C1254" s="5" t="s">
        <v>2407</v>
      </c>
      <c r="D1254" s="2" t="s">
        <v>2408</v>
      </c>
    </row>
    <row r="1255" spans="1:4" ht="13.05" customHeight="1" x14ac:dyDescent="0.3">
      <c r="A1255" s="2" t="s">
        <v>237</v>
      </c>
      <c r="B1255" s="2" t="s">
        <v>1018</v>
      </c>
      <c r="C1255" s="5" t="s">
        <v>2409</v>
      </c>
      <c r="D1255" s="2" t="s">
        <v>2410</v>
      </c>
    </row>
    <row r="1256" spans="1:4" ht="13.05" customHeight="1" x14ac:dyDescent="0.3">
      <c r="A1256" s="2" t="s">
        <v>237</v>
      </c>
      <c r="B1256" s="2" t="s">
        <v>1018</v>
      </c>
      <c r="C1256" s="5" t="s">
        <v>2411</v>
      </c>
      <c r="D1256" s="2" t="s">
        <v>2412</v>
      </c>
    </row>
    <row r="1257" spans="1:4" ht="13.05" customHeight="1" x14ac:dyDescent="0.3">
      <c r="A1257" s="2" t="s">
        <v>237</v>
      </c>
      <c r="B1257" s="2" t="s">
        <v>1018</v>
      </c>
      <c r="C1257" s="5" t="s">
        <v>2413</v>
      </c>
      <c r="D1257" s="2" t="s">
        <v>2414</v>
      </c>
    </row>
    <row r="1258" spans="1:4" ht="13.05" customHeight="1" x14ac:dyDescent="0.3">
      <c r="A1258" s="2" t="s">
        <v>237</v>
      </c>
      <c r="B1258" s="2" t="s">
        <v>1018</v>
      </c>
      <c r="C1258" s="5" t="s">
        <v>2415</v>
      </c>
      <c r="D1258" s="2" t="s">
        <v>2416</v>
      </c>
    </row>
    <row r="1259" spans="1:4" ht="13.05" customHeight="1" x14ac:dyDescent="0.3">
      <c r="A1259" s="2" t="s">
        <v>237</v>
      </c>
      <c r="B1259" s="2" t="s">
        <v>1018</v>
      </c>
      <c r="C1259" s="5" t="s">
        <v>2417</v>
      </c>
      <c r="D1259" s="2" t="s">
        <v>2418</v>
      </c>
    </row>
    <row r="1260" spans="1:4" ht="13.05" customHeight="1" x14ac:dyDescent="0.3">
      <c r="A1260" s="2" t="s">
        <v>237</v>
      </c>
      <c r="B1260" s="2" t="s">
        <v>1018</v>
      </c>
      <c r="C1260" s="5" t="s">
        <v>2419</v>
      </c>
      <c r="D1260" s="2" t="s">
        <v>2420</v>
      </c>
    </row>
    <row r="1261" spans="1:4" ht="13.05" customHeight="1" x14ac:dyDescent="0.3">
      <c r="A1261" s="2" t="s">
        <v>237</v>
      </c>
      <c r="B1261" s="2" t="s">
        <v>1018</v>
      </c>
      <c r="C1261" s="5" t="s">
        <v>2421</v>
      </c>
      <c r="D1261" s="2" t="s">
        <v>2422</v>
      </c>
    </row>
    <row r="1262" spans="1:4" ht="13.05" customHeight="1" x14ac:dyDescent="0.3">
      <c r="A1262" s="2" t="s">
        <v>237</v>
      </c>
      <c r="B1262" s="2" t="s">
        <v>1018</v>
      </c>
      <c r="C1262" s="5" t="s">
        <v>2423</v>
      </c>
      <c r="D1262" s="2" t="s">
        <v>2424</v>
      </c>
    </row>
    <row r="1263" spans="1:4" ht="13.05" customHeight="1" x14ac:dyDescent="0.3">
      <c r="A1263" s="2" t="s">
        <v>237</v>
      </c>
      <c r="B1263" s="2" t="s">
        <v>1018</v>
      </c>
      <c r="C1263" s="5" t="s">
        <v>2425</v>
      </c>
      <c r="D1263" s="2" t="s">
        <v>2426</v>
      </c>
    </row>
    <row r="1264" spans="1:4" ht="13.05" customHeight="1" x14ac:dyDescent="0.3">
      <c r="A1264" s="2" t="s">
        <v>237</v>
      </c>
      <c r="B1264" s="2" t="s">
        <v>1018</v>
      </c>
      <c r="C1264" s="5" t="s">
        <v>2427</v>
      </c>
      <c r="D1264" s="2" t="s">
        <v>2428</v>
      </c>
    </row>
    <row r="1265" spans="1:4" ht="13.05" customHeight="1" x14ac:dyDescent="0.3">
      <c r="A1265" s="2" t="s">
        <v>237</v>
      </c>
      <c r="B1265" s="2" t="s">
        <v>1018</v>
      </c>
      <c r="C1265" s="5" t="s">
        <v>2429</v>
      </c>
      <c r="D1265" s="2" t="s">
        <v>2430</v>
      </c>
    </row>
    <row r="1266" spans="1:4" ht="13.05" customHeight="1" x14ac:dyDescent="0.3">
      <c r="A1266" s="2" t="s">
        <v>237</v>
      </c>
      <c r="B1266" s="2" t="s">
        <v>1018</v>
      </c>
      <c r="C1266" s="5" t="s">
        <v>2431</v>
      </c>
      <c r="D1266" s="2" t="s">
        <v>2432</v>
      </c>
    </row>
    <row r="1267" spans="1:4" ht="13.05" customHeight="1" x14ac:dyDescent="0.3">
      <c r="A1267" s="2" t="s">
        <v>237</v>
      </c>
      <c r="B1267" s="2" t="s">
        <v>1018</v>
      </c>
      <c r="C1267" s="5" t="s">
        <v>2433</v>
      </c>
      <c r="D1267" s="2" t="s">
        <v>2434</v>
      </c>
    </row>
    <row r="1268" spans="1:4" ht="13.05" customHeight="1" x14ac:dyDescent="0.3">
      <c r="A1268" s="2" t="s">
        <v>237</v>
      </c>
      <c r="B1268" s="2" t="s">
        <v>1018</v>
      </c>
      <c r="C1268" s="5" t="s">
        <v>2435</v>
      </c>
      <c r="D1268" s="2" t="s">
        <v>2436</v>
      </c>
    </row>
    <row r="1269" spans="1:4" ht="13.05" customHeight="1" x14ac:dyDescent="0.3">
      <c r="A1269" s="2" t="s">
        <v>237</v>
      </c>
      <c r="B1269" s="2" t="s">
        <v>1018</v>
      </c>
      <c r="C1269" s="5" t="s">
        <v>2437</v>
      </c>
      <c r="D1269" s="2" t="s">
        <v>2438</v>
      </c>
    </row>
    <row r="1270" spans="1:4" ht="13.05" customHeight="1" x14ac:dyDescent="0.3">
      <c r="A1270" s="2" t="s">
        <v>237</v>
      </c>
      <c r="B1270" s="2" t="s">
        <v>1018</v>
      </c>
      <c r="C1270" s="5" t="s">
        <v>2439</v>
      </c>
      <c r="D1270" s="2" t="s">
        <v>2440</v>
      </c>
    </row>
    <row r="1271" spans="1:4" ht="13.05" customHeight="1" x14ac:dyDescent="0.3">
      <c r="A1271" s="2" t="s">
        <v>237</v>
      </c>
      <c r="B1271" s="2" t="s">
        <v>1018</v>
      </c>
      <c r="C1271" s="5" t="s">
        <v>2441</v>
      </c>
      <c r="D1271" s="2" t="s">
        <v>2442</v>
      </c>
    </row>
    <row r="1272" spans="1:4" ht="13.05" customHeight="1" x14ac:dyDescent="0.3">
      <c r="A1272" s="2" t="s">
        <v>237</v>
      </c>
      <c r="B1272" s="2" t="s">
        <v>1018</v>
      </c>
      <c r="C1272" s="5" t="s">
        <v>2443</v>
      </c>
      <c r="D1272" s="2" t="s">
        <v>2444</v>
      </c>
    </row>
    <row r="1273" spans="1:4" ht="13.05" customHeight="1" x14ac:dyDescent="0.3">
      <c r="A1273" s="2" t="s">
        <v>237</v>
      </c>
      <c r="B1273" s="2" t="s">
        <v>1018</v>
      </c>
      <c r="C1273" s="5" t="s">
        <v>2445</v>
      </c>
      <c r="D1273" s="2" t="s">
        <v>2446</v>
      </c>
    </row>
    <row r="1274" spans="1:4" ht="13.05" customHeight="1" x14ac:dyDescent="0.3">
      <c r="A1274" s="2" t="s">
        <v>237</v>
      </c>
      <c r="B1274" s="2" t="s">
        <v>1018</v>
      </c>
      <c r="C1274" s="5" t="s">
        <v>2447</v>
      </c>
      <c r="D1274" s="2" t="s">
        <v>2448</v>
      </c>
    </row>
    <row r="1275" spans="1:4" ht="13.05" customHeight="1" x14ac:dyDescent="0.3">
      <c r="A1275" s="2" t="s">
        <v>237</v>
      </c>
      <c r="B1275" s="2" t="s">
        <v>1018</v>
      </c>
      <c r="C1275" s="5" t="s">
        <v>2449</v>
      </c>
      <c r="D1275" s="2" t="s">
        <v>2450</v>
      </c>
    </row>
    <row r="1276" spans="1:4" ht="13.05" customHeight="1" x14ac:dyDescent="0.3">
      <c r="A1276" s="2" t="s">
        <v>237</v>
      </c>
      <c r="B1276" s="2" t="s">
        <v>1018</v>
      </c>
      <c r="C1276" s="5" t="s">
        <v>2451</v>
      </c>
      <c r="D1276" s="2" t="s">
        <v>2452</v>
      </c>
    </row>
    <row r="1277" spans="1:4" ht="13.05" customHeight="1" x14ac:dyDescent="0.3">
      <c r="A1277" s="2" t="s">
        <v>237</v>
      </c>
      <c r="B1277" s="2" t="s">
        <v>1018</v>
      </c>
      <c r="C1277" s="5" t="s">
        <v>2453</v>
      </c>
      <c r="D1277" s="2" t="s">
        <v>2454</v>
      </c>
    </row>
    <row r="1278" spans="1:4" ht="13.05" customHeight="1" x14ac:dyDescent="0.3">
      <c r="A1278" s="2" t="s">
        <v>237</v>
      </c>
      <c r="B1278" s="2" t="s">
        <v>1018</v>
      </c>
      <c r="C1278" s="5" t="s">
        <v>2455</v>
      </c>
      <c r="D1278" s="2" t="s">
        <v>2456</v>
      </c>
    </row>
    <row r="1279" spans="1:4" ht="13.05" customHeight="1" x14ac:dyDescent="0.3">
      <c r="A1279" s="2" t="s">
        <v>237</v>
      </c>
      <c r="B1279" s="2" t="s">
        <v>1018</v>
      </c>
      <c r="C1279" s="5" t="s">
        <v>2457</v>
      </c>
      <c r="D1279" s="2" t="s">
        <v>2458</v>
      </c>
    </row>
    <row r="1280" spans="1:4" ht="13.05" customHeight="1" x14ac:dyDescent="0.3">
      <c r="A1280" s="2" t="s">
        <v>237</v>
      </c>
      <c r="B1280" s="2" t="s">
        <v>1018</v>
      </c>
      <c r="C1280" s="5" t="s">
        <v>2459</v>
      </c>
      <c r="D1280" s="2" t="s">
        <v>2460</v>
      </c>
    </row>
    <row r="1281" spans="1:4" ht="13.05" customHeight="1" x14ac:dyDescent="0.3">
      <c r="A1281" s="2" t="s">
        <v>237</v>
      </c>
      <c r="B1281" s="2" t="s">
        <v>1018</v>
      </c>
      <c r="C1281" s="5" t="s">
        <v>2461</v>
      </c>
      <c r="D1281" s="2" t="s">
        <v>2462</v>
      </c>
    </row>
    <row r="1282" spans="1:4" ht="13.05" customHeight="1" x14ac:dyDescent="0.3">
      <c r="A1282" s="2" t="s">
        <v>237</v>
      </c>
      <c r="B1282" s="2" t="s">
        <v>1018</v>
      </c>
      <c r="C1282" s="5" t="s">
        <v>2463</v>
      </c>
      <c r="D1282" s="2" t="s">
        <v>2464</v>
      </c>
    </row>
    <row r="1283" spans="1:4" ht="13.05" customHeight="1" x14ac:dyDescent="0.3">
      <c r="A1283" s="2" t="s">
        <v>237</v>
      </c>
      <c r="B1283" s="2" t="s">
        <v>1018</v>
      </c>
      <c r="C1283" s="5" t="s">
        <v>2465</v>
      </c>
      <c r="D1283" s="2" t="s">
        <v>2466</v>
      </c>
    </row>
    <row r="1284" spans="1:4" ht="13.05" customHeight="1" x14ac:dyDescent="0.3">
      <c r="A1284" s="2" t="s">
        <v>237</v>
      </c>
      <c r="B1284" s="2" t="s">
        <v>1018</v>
      </c>
      <c r="C1284" s="5" t="s">
        <v>2467</v>
      </c>
      <c r="D1284" s="2" t="s">
        <v>2468</v>
      </c>
    </row>
    <row r="1285" spans="1:4" ht="13.05" customHeight="1" x14ac:dyDescent="0.3">
      <c r="A1285" s="2" t="s">
        <v>237</v>
      </c>
      <c r="B1285" s="2" t="s">
        <v>1018</v>
      </c>
      <c r="C1285" s="5" t="s">
        <v>2469</v>
      </c>
      <c r="D1285" s="2" t="s">
        <v>2470</v>
      </c>
    </row>
    <row r="1286" spans="1:4" ht="13.05" customHeight="1" x14ac:dyDescent="0.3">
      <c r="A1286" s="2" t="s">
        <v>237</v>
      </c>
      <c r="B1286" s="2" t="s">
        <v>1018</v>
      </c>
      <c r="C1286" s="5" t="s">
        <v>2471</v>
      </c>
      <c r="D1286" s="2" t="s">
        <v>2472</v>
      </c>
    </row>
    <row r="1287" spans="1:4" ht="13.05" customHeight="1" x14ac:dyDescent="0.3">
      <c r="A1287" s="2" t="s">
        <v>237</v>
      </c>
      <c r="B1287" s="2" t="s">
        <v>1018</v>
      </c>
      <c r="C1287" s="5" t="s">
        <v>2473</v>
      </c>
      <c r="D1287" s="2" t="s">
        <v>2474</v>
      </c>
    </row>
    <row r="1288" spans="1:4" ht="13.05" customHeight="1" x14ac:dyDescent="0.3">
      <c r="A1288" s="2" t="s">
        <v>237</v>
      </c>
      <c r="B1288" s="2" t="s">
        <v>1018</v>
      </c>
      <c r="C1288" s="5" t="s">
        <v>2475</v>
      </c>
      <c r="D1288" s="2" t="s">
        <v>2476</v>
      </c>
    </row>
    <row r="1289" spans="1:4" ht="13.05" customHeight="1" x14ac:dyDescent="0.3">
      <c r="A1289" s="2" t="s">
        <v>237</v>
      </c>
      <c r="B1289" s="2" t="s">
        <v>1018</v>
      </c>
      <c r="C1289" s="5" t="s">
        <v>2477</v>
      </c>
      <c r="D1289" s="2" t="s">
        <v>2478</v>
      </c>
    </row>
    <row r="1290" spans="1:4" ht="13.05" customHeight="1" x14ac:dyDescent="0.3">
      <c r="A1290" s="2" t="s">
        <v>237</v>
      </c>
      <c r="B1290" s="2" t="s">
        <v>1018</v>
      </c>
      <c r="C1290" s="5" t="s">
        <v>2479</v>
      </c>
      <c r="D1290" s="2" t="s">
        <v>2480</v>
      </c>
    </row>
    <row r="1291" spans="1:4" ht="13.05" customHeight="1" x14ac:dyDescent="0.3">
      <c r="A1291" s="2" t="s">
        <v>237</v>
      </c>
      <c r="B1291" s="2" t="s">
        <v>1018</v>
      </c>
      <c r="C1291" s="5" t="s">
        <v>2481</v>
      </c>
      <c r="D1291" s="2" t="s">
        <v>2482</v>
      </c>
    </row>
    <row r="1292" spans="1:4" ht="13.05" customHeight="1" x14ac:dyDescent="0.3">
      <c r="A1292" s="2" t="s">
        <v>237</v>
      </c>
      <c r="B1292" s="2" t="s">
        <v>1018</v>
      </c>
      <c r="C1292" s="5" t="s">
        <v>2483</v>
      </c>
      <c r="D1292" s="2" t="s">
        <v>2484</v>
      </c>
    </row>
    <row r="1293" spans="1:4" ht="13.05" customHeight="1" x14ac:dyDescent="0.3">
      <c r="A1293" s="2" t="s">
        <v>237</v>
      </c>
      <c r="B1293" s="2" t="s">
        <v>1018</v>
      </c>
      <c r="C1293" s="5" t="s">
        <v>2485</v>
      </c>
      <c r="D1293" s="2" t="s">
        <v>2486</v>
      </c>
    </row>
    <row r="1294" spans="1:4" ht="13.05" customHeight="1" x14ac:dyDescent="0.3">
      <c r="A1294" s="2" t="s">
        <v>237</v>
      </c>
      <c r="B1294" s="2" t="s">
        <v>1018</v>
      </c>
      <c r="C1294" s="5" t="s">
        <v>2487</v>
      </c>
      <c r="D1294" s="2" t="s">
        <v>2488</v>
      </c>
    </row>
    <row r="1295" spans="1:4" ht="13.05" customHeight="1" x14ac:dyDescent="0.3">
      <c r="A1295" s="2" t="s">
        <v>237</v>
      </c>
      <c r="B1295" s="2" t="s">
        <v>1018</v>
      </c>
      <c r="C1295" s="5" t="s">
        <v>2489</v>
      </c>
      <c r="D1295" s="2" t="s">
        <v>2490</v>
      </c>
    </row>
    <row r="1296" spans="1:4" ht="13.05" customHeight="1" x14ac:dyDescent="0.3">
      <c r="A1296" s="2" t="s">
        <v>237</v>
      </c>
      <c r="B1296" s="2" t="s">
        <v>1018</v>
      </c>
      <c r="C1296" s="5" t="s">
        <v>2491</v>
      </c>
      <c r="D1296" s="2" t="s">
        <v>2492</v>
      </c>
    </row>
    <row r="1297" spans="1:4" ht="13.05" customHeight="1" x14ac:dyDescent="0.3">
      <c r="A1297" s="2" t="s">
        <v>237</v>
      </c>
      <c r="B1297" s="2" t="s">
        <v>1018</v>
      </c>
      <c r="C1297" s="5" t="s">
        <v>2493</v>
      </c>
      <c r="D1297" s="2" t="s">
        <v>2494</v>
      </c>
    </row>
    <row r="1298" spans="1:4" ht="13.05" customHeight="1" x14ac:dyDescent="0.3">
      <c r="A1298" s="2" t="s">
        <v>237</v>
      </c>
      <c r="B1298" s="2" t="s">
        <v>1018</v>
      </c>
      <c r="C1298" s="5" t="s">
        <v>2495</v>
      </c>
      <c r="D1298" s="2" t="s">
        <v>2496</v>
      </c>
    </row>
    <row r="1299" spans="1:4" ht="13.05" customHeight="1" x14ac:dyDescent="0.3">
      <c r="A1299" s="2" t="s">
        <v>237</v>
      </c>
      <c r="B1299" s="2" t="s">
        <v>1018</v>
      </c>
      <c r="C1299" s="5" t="s">
        <v>2497</v>
      </c>
      <c r="D1299" s="2" t="s">
        <v>2498</v>
      </c>
    </row>
    <row r="1300" spans="1:4" ht="13.05" customHeight="1" x14ac:dyDescent="0.3">
      <c r="A1300" s="2" t="s">
        <v>237</v>
      </c>
      <c r="B1300" s="2" t="s">
        <v>1018</v>
      </c>
      <c r="C1300" s="5" t="s">
        <v>2499</v>
      </c>
      <c r="D1300" s="2" t="s">
        <v>2500</v>
      </c>
    </row>
    <row r="1301" spans="1:4" ht="13.05" customHeight="1" x14ac:dyDescent="0.3">
      <c r="A1301" s="2" t="s">
        <v>237</v>
      </c>
      <c r="B1301" s="2" t="s">
        <v>1018</v>
      </c>
      <c r="C1301" s="5" t="s">
        <v>2501</v>
      </c>
      <c r="D1301" s="2" t="s">
        <v>2502</v>
      </c>
    </row>
    <row r="1302" spans="1:4" ht="13.05" customHeight="1" x14ac:dyDescent="0.3">
      <c r="A1302" s="2" t="s">
        <v>237</v>
      </c>
      <c r="B1302" s="2" t="s">
        <v>1018</v>
      </c>
      <c r="C1302" s="5" t="s">
        <v>2503</v>
      </c>
      <c r="D1302" s="2" t="s">
        <v>2504</v>
      </c>
    </row>
    <row r="1303" spans="1:4" ht="13.05" customHeight="1" x14ac:dyDescent="0.3">
      <c r="A1303" s="2" t="s">
        <v>237</v>
      </c>
      <c r="B1303" s="2" t="s">
        <v>1018</v>
      </c>
      <c r="C1303" s="5" t="s">
        <v>2505</v>
      </c>
      <c r="D1303" s="2" t="s">
        <v>2506</v>
      </c>
    </row>
    <row r="1304" spans="1:4" ht="13.05" customHeight="1" x14ac:dyDescent="0.3">
      <c r="A1304" s="2" t="s">
        <v>237</v>
      </c>
      <c r="B1304" s="2" t="s">
        <v>1018</v>
      </c>
      <c r="C1304" s="5" t="s">
        <v>2507</v>
      </c>
      <c r="D1304" s="2" t="s">
        <v>2508</v>
      </c>
    </row>
    <row r="1305" spans="1:4" ht="13.05" customHeight="1" x14ac:dyDescent="0.3">
      <c r="A1305" s="2" t="s">
        <v>237</v>
      </c>
      <c r="B1305" s="2" t="s">
        <v>1018</v>
      </c>
      <c r="C1305" s="5" t="s">
        <v>2509</v>
      </c>
      <c r="D1305" s="2" t="s">
        <v>2510</v>
      </c>
    </row>
    <row r="1306" spans="1:4" ht="13.05" customHeight="1" x14ac:dyDescent="0.3">
      <c r="A1306" s="2" t="s">
        <v>237</v>
      </c>
      <c r="B1306" s="2" t="s">
        <v>1018</v>
      </c>
      <c r="C1306" s="5" t="s">
        <v>2511</v>
      </c>
      <c r="D1306" s="2" t="s">
        <v>2512</v>
      </c>
    </row>
    <row r="1307" spans="1:4" ht="13.05" customHeight="1" x14ac:dyDescent="0.3">
      <c r="A1307" s="2" t="s">
        <v>237</v>
      </c>
      <c r="B1307" s="2" t="s">
        <v>1018</v>
      </c>
      <c r="C1307" s="5" t="s">
        <v>2513</v>
      </c>
      <c r="D1307" s="2" t="s">
        <v>2514</v>
      </c>
    </row>
    <row r="1308" spans="1:4" ht="13.05" customHeight="1" x14ac:dyDescent="0.3">
      <c r="A1308" s="2" t="s">
        <v>237</v>
      </c>
      <c r="B1308" s="2" t="s">
        <v>1018</v>
      </c>
      <c r="C1308" s="5" t="s">
        <v>2515</v>
      </c>
      <c r="D1308" s="2" t="s">
        <v>2516</v>
      </c>
    </row>
    <row r="1309" spans="1:4" ht="13.05" customHeight="1" x14ac:dyDescent="0.3">
      <c r="A1309" s="2" t="s">
        <v>237</v>
      </c>
      <c r="B1309" s="2" t="s">
        <v>1018</v>
      </c>
      <c r="C1309" s="5" t="s">
        <v>2517</v>
      </c>
      <c r="D1309" s="2" t="s">
        <v>2518</v>
      </c>
    </row>
    <row r="1310" spans="1:4" ht="13.05" customHeight="1" x14ac:dyDescent="0.3">
      <c r="A1310" s="2" t="s">
        <v>237</v>
      </c>
      <c r="B1310" s="2" t="s">
        <v>1018</v>
      </c>
      <c r="C1310" s="5" t="s">
        <v>2519</v>
      </c>
      <c r="D1310" s="2" t="s">
        <v>2520</v>
      </c>
    </row>
    <row r="1311" spans="1:4" ht="13.05" customHeight="1" x14ac:dyDescent="0.3">
      <c r="A1311" s="2" t="s">
        <v>237</v>
      </c>
      <c r="B1311" s="2" t="s">
        <v>1018</v>
      </c>
      <c r="C1311" s="5" t="s">
        <v>2521</v>
      </c>
      <c r="D1311" s="2" t="s">
        <v>2522</v>
      </c>
    </row>
    <row r="1312" spans="1:4" ht="13.05" customHeight="1" x14ac:dyDescent="0.3">
      <c r="A1312" s="2" t="s">
        <v>237</v>
      </c>
      <c r="B1312" s="2" t="s">
        <v>1018</v>
      </c>
      <c r="C1312" s="5" t="s">
        <v>2523</v>
      </c>
      <c r="D1312" s="2" t="s">
        <v>2524</v>
      </c>
    </row>
    <row r="1313" spans="1:4" ht="13.05" customHeight="1" x14ac:dyDescent="0.3">
      <c r="A1313" s="2" t="s">
        <v>237</v>
      </c>
      <c r="B1313" s="2" t="s">
        <v>1018</v>
      </c>
      <c r="C1313" s="5" t="s">
        <v>2525</v>
      </c>
      <c r="D1313" s="2" t="s">
        <v>2526</v>
      </c>
    </row>
    <row r="1314" spans="1:4" ht="13.05" customHeight="1" x14ac:dyDescent="0.3">
      <c r="A1314" s="2" t="s">
        <v>237</v>
      </c>
      <c r="B1314" s="2" t="s">
        <v>1018</v>
      </c>
      <c r="C1314" s="5" t="s">
        <v>2527</v>
      </c>
      <c r="D1314" s="2" t="s">
        <v>2528</v>
      </c>
    </row>
    <row r="1315" spans="1:4" ht="13.05" customHeight="1" x14ac:dyDescent="0.3">
      <c r="A1315" s="2" t="s">
        <v>237</v>
      </c>
      <c r="B1315" s="2" t="s">
        <v>1018</v>
      </c>
      <c r="C1315" s="5" t="s">
        <v>2529</v>
      </c>
      <c r="D1315" s="2" t="s">
        <v>2530</v>
      </c>
    </row>
    <row r="1316" spans="1:4" ht="13.05" customHeight="1" x14ac:dyDescent="0.3">
      <c r="A1316" s="2" t="s">
        <v>237</v>
      </c>
      <c r="B1316" s="2" t="s">
        <v>1018</v>
      </c>
      <c r="C1316" s="5" t="s">
        <v>2531</v>
      </c>
      <c r="D1316" s="2" t="s">
        <v>2532</v>
      </c>
    </row>
    <row r="1317" spans="1:4" ht="13.05" customHeight="1" x14ac:dyDescent="0.3">
      <c r="A1317" s="2" t="s">
        <v>237</v>
      </c>
      <c r="B1317" s="2" t="s">
        <v>1018</v>
      </c>
      <c r="C1317" s="5" t="s">
        <v>2533</v>
      </c>
      <c r="D1317" s="2" t="s">
        <v>2534</v>
      </c>
    </row>
    <row r="1318" spans="1:4" ht="13.05" customHeight="1" x14ac:dyDescent="0.3">
      <c r="A1318" s="2" t="s">
        <v>237</v>
      </c>
      <c r="B1318" s="2" t="s">
        <v>1018</v>
      </c>
      <c r="C1318" s="5" t="s">
        <v>2535</v>
      </c>
      <c r="D1318" s="2" t="s">
        <v>2536</v>
      </c>
    </row>
    <row r="1319" spans="1:4" ht="13.05" customHeight="1" x14ac:dyDescent="0.3">
      <c r="A1319" s="2" t="s">
        <v>237</v>
      </c>
      <c r="B1319" s="2" t="s">
        <v>1018</v>
      </c>
      <c r="C1319" s="5" t="s">
        <v>2537</v>
      </c>
      <c r="D1319" s="2" t="s">
        <v>2538</v>
      </c>
    </row>
    <row r="1320" spans="1:4" ht="13.05" customHeight="1" x14ac:dyDescent="0.3">
      <c r="A1320" s="2" t="s">
        <v>237</v>
      </c>
      <c r="B1320" s="2" t="s">
        <v>1018</v>
      </c>
      <c r="C1320" s="5" t="s">
        <v>2539</v>
      </c>
      <c r="D1320" s="2" t="s">
        <v>2540</v>
      </c>
    </row>
    <row r="1321" spans="1:4" ht="13.05" customHeight="1" x14ac:dyDescent="0.3">
      <c r="A1321" s="2" t="s">
        <v>237</v>
      </c>
      <c r="B1321" s="2" t="s">
        <v>1018</v>
      </c>
      <c r="C1321" s="5" t="s">
        <v>2541</v>
      </c>
      <c r="D1321" s="2" t="s">
        <v>2542</v>
      </c>
    </row>
    <row r="1322" spans="1:4" ht="13.05" customHeight="1" x14ac:dyDescent="0.3">
      <c r="A1322" s="2" t="s">
        <v>237</v>
      </c>
      <c r="B1322" s="2" t="s">
        <v>1018</v>
      </c>
      <c r="C1322" s="5" t="s">
        <v>2543</v>
      </c>
      <c r="D1322" s="2" t="s">
        <v>2544</v>
      </c>
    </row>
    <row r="1323" spans="1:4" ht="13.05" customHeight="1" x14ac:dyDescent="0.3">
      <c r="A1323" s="2" t="s">
        <v>237</v>
      </c>
      <c r="B1323" s="2" t="s">
        <v>1018</v>
      </c>
      <c r="C1323" s="5" t="s">
        <v>2545</v>
      </c>
      <c r="D1323" s="2" t="s">
        <v>2546</v>
      </c>
    </row>
    <row r="1324" spans="1:4" ht="13.05" customHeight="1" x14ac:dyDescent="0.3">
      <c r="A1324" s="2" t="s">
        <v>237</v>
      </c>
      <c r="B1324" s="2" t="s">
        <v>1018</v>
      </c>
      <c r="C1324" s="5" t="s">
        <v>2547</v>
      </c>
      <c r="D1324" s="2" t="s">
        <v>2548</v>
      </c>
    </row>
    <row r="1325" spans="1:4" ht="13.05" customHeight="1" x14ac:dyDescent="0.3">
      <c r="A1325" s="2" t="s">
        <v>237</v>
      </c>
      <c r="B1325" s="2" t="s">
        <v>1018</v>
      </c>
      <c r="C1325" s="5" t="s">
        <v>2549</v>
      </c>
      <c r="D1325" s="2" t="s">
        <v>2550</v>
      </c>
    </row>
    <row r="1326" spans="1:4" ht="13.05" customHeight="1" x14ac:dyDescent="0.3">
      <c r="A1326" s="2" t="s">
        <v>237</v>
      </c>
      <c r="B1326" s="2" t="s">
        <v>1018</v>
      </c>
      <c r="C1326" s="5" t="s">
        <v>2551</v>
      </c>
      <c r="D1326" s="2" t="s">
        <v>2552</v>
      </c>
    </row>
    <row r="1327" spans="1:4" ht="13.05" customHeight="1" x14ac:dyDescent="0.3">
      <c r="A1327" s="2" t="s">
        <v>237</v>
      </c>
      <c r="B1327" s="2" t="s">
        <v>1018</v>
      </c>
      <c r="C1327" s="5" t="s">
        <v>2553</v>
      </c>
      <c r="D1327" s="2" t="s">
        <v>2554</v>
      </c>
    </row>
    <row r="1328" spans="1:4" ht="13.05" customHeight="1" x14ac:dyDescent="0.3">
      <c r="A1328" s="2" t="s">
        <v>237</v>
      </c>
      <c r="B1328" s="2" t="s">
        <v>1018</v>
      </c>
      <c r="C1328" s="5" t="s">
        <v>2555</v>
      </c>
      <c r="D1328" s="2" t="s">
        <v>2556</v>
      </c>
    </row>
    <row r="1329" spans="1:4" ht="13.05" customHeight="1" x14ac:dyDescent="0.3">
      <c r="A1329" s="2" t="s">
        <v>237</v>
      </c>
      <c r="B1329" s="2" t="s">
        <v>1018</v>
      </c>
      <c r="C1329" s="5" t="s">
        <v>2557</v>
      </c>
      <c r="D1329" s="2" t="s">
        <v>2558</v>
      </c>
    </row>
    <row r="1330" spans="1:4" ht="13.05" customHeight="1" x14ac:dyDescent="0.3">
      <c r="A1330" s="2" t="s">
        <v>237</v>
      </c>
      <c r="B1330" s="2" t="s">
        <v>1018</v>
      </c>
      <c r="C1330" s="5" t="s">
        <v>2559</v>
      </c>
      <c r="D1330" s="2" t="s">
        <v>2560</v>
      </c>
    </row>
    <row r="1331" spans="1:4" ht="13.05" customHeight="1" x14ac:dyDescent="0.3">
      <c r="A1331" s="2" t="s">
        <v>237</v>
      </c>
      <c r="B1331" s="2" t="s">
        <v>1018</v>
      </c>
      <c r="C1331" s="5" t="s">
        <v>2561</v>
      </c>
      <c r="D1331" s="2" t="s">
        <v>2562</v>
      </c>
    </row>
    <row r="1332" spans="1:4" ht="13.05" customHeight="1" x14ac:dyDescent="0.3">
      <c r="A1332" s="2" t="s">
        <v>237</v>
      </c>
      <c r="B1332" s="2" t="s">
        <v>1018</v>
      </c>
      <c r="C1332" s="5" t="s">
        <v>2563</v>
      </c>
      <c r="D1332" s="2" t="s">
        <v>2564</v>
      </c>
    </row>
    <row r="1333" spans="1:4" ht="13.05" customHeight="1" x14ac:dyDescent="0.3">
      <c r="A1333" s="2" t="s">
        <v>237</v>
      </c>
      <c r="B1333" s="2" t="s">
        <v>1018</v>
      </c>
      <c r="C1333" s="5" t="s">
        <v>2565</v>
      </c>
      <c r="D1333" s="2" t="s">
        <v>2566</v>
      </c>
    </row>
    <row r="1334" spans="1:4" ht="13.05" customHeight="1" x14ac:dyDescent="0.3">
      <c r="A1334" s="2" t="s">
        <v>237</v>
      </c>
      <c r="B1334" s="2" t="s">
        <v>1018</v>
      </c>
      <c r="C1334" s="5" t="s">
        <v>2567</v>
      </c>
      <c r="D1334" s="2" t="s">
        <v>2568</v>
      </c>
    </row>
    <row r="1335" spans="1:4" ht="13.05" customHeight="1" x14ac:dyDescent="0.3">
      <c r="A1335" s="2" t="s">
        <v>237</v>
      </c>
      <c r="B1335" s="2" t="s">
        <v>1018</v>
      </c>
      <c r="C1335" s="5" t="s">
        <v>2569</v>
      </c>
      <c r="D1335" s="2" t="s">
        <v>2570</v>
      </c>
    </row>
    <row r="1336" spans="1:4" ht="13.05" customHeight="1" x14ac:dyDescent="0.3">
      <c r="A1336" s="2" t="s">
        <v>237</v>
      </c>
      <c r="B1336" s="2" t="s">
        <v>1018</v>
      </c>
      <c r="C1336" s="5" t="s">
        <v>2571</v>
      </c>
      <c r="D1336" s="2" t="s">
        <v>2572</v>
      </c>
    </row>
    <row r="1337" spans="1:4" ht="13.05" customHeight="1" x14ac:dyDescent="0.3">
      <c r="A1337" s="2" t="s">
        <v>237</v>
      </c>
      <c r="B1337" s="2" t="s">
        <v>1018</v>
      </c>
      <c r="C1337" s="5" t="s">
        <v>2573</v>
      </c>
      <c r="D1337" s="2" t="s">
        <v>2574</v>
      </c>
    </row>
    <row r="1338" spans="1:4" ht="13.05" customHeight="1" x14ac:dyDescent="0.3">
      <c r="A1338" s="2" t="s">
        <v>237</v>
      </c>
      <c r="B1338" s="2" t="s">
        <v>1018</v>
      </c>
      <c r="C1338" s="5" t="s">
        <v>2575</v>
      </c>
      <c r="D1338" s="2" t="s">
        <v>2576</v>
      </c>
    </row>
    <row r="1339" spans="1:4" ht="13.05" customHeight="1" x14ac:dyDescent="0.3">
      <c r="A1339" s="2" t="s">
        <v>237</v>
      </c>
      <c r="B1339" s="2" t="s">
        <v>1018</v>
      </c>
      <c r="C1339" s="5" t="s">
        <v>2577</v>
      </c>
      <c r="D1339" s="2" t="s">
        <v>2578</v>
      </c>
    </row>
    <row r="1340" spans="1:4" ht="13.05" customHeight="1" x14ac:dyDescent="0.3">
      <c r="A1340" s="2" t="s">
        <v>237</v>
      </c>
      <c r="B1340" s="2" t="s">
        <v>1018</v>
      </c>
      <c r="C1340" s="5" t="s">
        <v>2579</v>
      </c>
      <c r="D1340" s="2" t="s">
        <v>2580</v>
      </c>
    </row>
    <row r="1341" spans="1:4" ht="13.05" customHeight="1" x14ac:dyDescent="0.3">
      <c r="A1341" s="2" t="s">
        <v>237</v>
      </c>
      <c r="B1341" s="2" t="s">
        <v>1018</v>
      </c>
      <c r="C1341" s="5" t="s">
        <v>2581</v>
      </c>
      <c r="D1341" s="2" t="s">
        <v>2582</v>
      </c>
    </row>
    <row r="1342" spans="1:4" ht="13.05" customHeight="1" x14ac:dyDescent="0.3">
      <c r="A1342" s="2" t="s">
        <v>237</v>
      </c>
      <c r="B1342" s="2" t="s">
        <v>1018</v>
      </c>
      <c r="C1342" s="5" t="s">
        <v>2583</v>
      </c>
      <c r="D1342" s="2" t="s">
        <v>2584</v>
      </c>
    </row>
    <row r="1343" spans="1:4" ht="13.05" customHeight="1" x14ac:dyDescent="0.3">
      <c r="A1343" s="2" t="s">
        <v>237</v>
      </c>
      <c r="B1343" s="2" t="s">
        <v>1018</v>
      </c>
      <c r="C1343" s="5" t="s">
        <v>2585</v>
      </c>
      <c r="D1343" s="2" t="s">
        <v>2586</v>
      </c>
    </row>
    <row r="1344" spans="1:4" ht="13.05" customHeight="1" x14ac:dyDescent="0.3">
      <c r="A1344" s="2" t="s">
        <v>237</v>
      </c>
      <c r="B1344" s="2" t="s">
        <v>1018</v>
      </c>
      <c r="C1344" s="5" t="s">
        <v>2587</v>
      </c>
      <c r="D1344" s="2" t="s">
        <v>2588</v>
      </c>
    </row>
    <row r="1345" spans="1:4" ht="13.05" customHeight="1" x14ac:dyDescent="0.3">
      <c r="A1345" s="2" t="s">
        <v>237</v>
      </c>
      <c r="B1345" s="2" t="s">
        <v>1018</v>
      </c>
      <c r="C1345" s="5" t="s">
        <v>2589</v>
      </c>
      <c r="D1345" s="2" t="s">
        <v>2590</v>
      </c>
    </row>
    <row r="1346" spans="1:4" ht="13.05" customHeight="1" x14ac:dyDescent="0.3">
      <c r="A1346" s="2" t="s">
        <v>237</v>
      </c>
      <c r="B1346" s="2" t="s">
        <v>1018</v>
      </c>
      <c r="C1346" s="5" t="s">
        <v>2591</v>
      </c>
      <c r="D1346" s="2" t="s">
        <v>2592</v>
      </c>
    </row>
    <row r="1347" spans="1:4" ht="13.05" customHeight="1" x14ac:dyDescent="0.3">
      <c r="A1347" s="2" t="s">
        <v>237</v>
      </c>
      <c r="B1347" s="2" t="s">
        <v>1018</v>
      </c>
      <c r="C1347" s="5" t="s">
        <v>2593</v>
      </c>
      <c r="D1347" s="2" t="s">
        <v>2594</v>
      </c>
    </row>
    <row r="1348" spans="1:4" ht="13.05" customHeight="1" x14ac:dyDescent="0.3">
      <c r="A1348" s="2" t="s">
        <v>237</v>
      </c>
      <c r="B1348" s="2" t="s">
        <v>1018</v>
      </c>
      <c r="C1348" s="5" t="s">
        <v>2595</v>
      </c>
      <c r="D1348" s="2" t="s">
        <v>2596</v>
      </c>
    </row>
    <row r="1349" spans="1:4" ht="13.05" customHeight="1" x14ac:dyDescent="0.3">
      <c r="A1349" s="2" t="s">
        <v>237</v>
      </c>
      <c r="B1349" s="2" t="s">
        <v>1018</v>
      </c>
      <c r="C1349" s="5" t="s">
        <v>2597</v>
      </c>
      <c r="D1349" s="2" t="s">
        <v>2598</v>
      </c>
    </row>
    <row r="1350" spans="1:4" ht="13.05" customHeight="1" x14ac:dyDescent="0.3">
      <c r="A1350" s="2" t="s">
        <v>237</v>
      </c>
      <c r="B1350" s="2" t="s">
        <v>1018</v>
      </c>
      <c r="C1350" s="5" t="s">
        <v>2599</v>
      </c>
      <c r="D1350" s="2" t="s">
        <v>2600</v>
      </c>
    </row>
    <row r="1351" spans="1:4" ht="13.05" customHeight="1" x14ac:dyDescent="0.3">
      <c r="A1351" s="2" t="s">
        <v>237</v>
      </c>
      <c r="B1351" s="2" t="s">
        <v>1018</v>
      </c>
      <c r="C1351" s="5" t="s">
        <v>2601</v>
      </c>
      <c r="D1351" s="2" t="s">
        <v>2602</v>
      </c>
    </row>
    <row r="1352" spans="1:4" ht="13.05" customHeight="1" x14ac:dyDescent="0.3">
      <c r="A1352" s="2" t="s">
        <v>237</v>
      </c>
      <c r="B1352" s="2" t="s">
        <v>1018</v>
      </c>
      <c r="C1352" s="5" t="s">
        <v>2603</v>
      </c>
      <c r="D1352" s="2" t="s">
        <v>2604</v>
      </c>
    </row>
    <row r="1353" spans="1:4" ht="13.05" customHeight="1" x14ac:dyDescent="0.3">
      <c r="A1353" s="2" t="s">
        <v>237</v>
      </c>
      <c r="B1353" s="2" t="s">
        <v>1018</v>
      </c>
      <c r="C1353" s="5" t="s">
        <v>2605</v>
      </c>
      <c r="D1353" s="2" t="s">
        <v>2606</v>
      </c>
    </row>
    <row r="1354" spans="1:4" ht="13.05" customHeight="1" x14ac:dyDescent="0.3">
      <c r="A1354" s="2" t="s">
        <v>237</v>
      </c>
      <c r="B1354" s="2" t="s">
        <v>1018</v>
      </c>
      <c r="C1354" s="5" t="s">
        <v>2607</v>
      </c>
      <c r="D1354" s="2" t="s">
        <v>2608</v>
      </c>
    </row>
    <row r="1355" spans="1:4" ht="13.05" customHeight="1" x14ac:dyDescent="0.3">
      <c r="A1355" s="2" t="s">
        <v>237</v>
      </c>
      <c r="B1355" s="2" t="s">
        <v>1018</v>
      </c>
      <c r="C1355" s="5" t="s">
        <v>2609</v>
      </c>
      <c r="D1355" s="2" t="s">
        <v>2610</v>
      </c>
    </row>
    <row r="1356" spans="1:4" ht="13.05" customHeight="1" x14ac:dyDescent="0.3">
      <c r="A1356" s="2" t="s">
        <v>237</v>
      </c>
      <c r="B1356" s="2" t="s">
        <v>1018</v>
      </c>
      <c r="C1356" s="5" t="s">
        <v>2611</v>
      </c>
      <c r="D1356" s="2" t="s">
        <v>2612</v>
      </c>
    </row>
    <row r="1357" spans="1:4" ht="13.05" customHeight="1" x14ac:dyDescent="0.3">
      <c r="A1357" s="2" t="s">
        <v>237</v>
      </c>
      <c r="B1357" s="2" t="s">
        <v>1018</v>
      </c>
      <c r="C1357" s="5" t="s">
        <v>2613</v>
      </c>
      <c r="D1357" s="2" t="s">
        <v>2614</v>
      </c>
    </row>
    <row r="1358" spans="1:4" ht="13.05" customHeight="1" x14ac:dyDescent="0.3">
      <c r="A1358" s="2" t="s">
        <v>237</v>
      </c>
      <c r="B1358" s="2" t="s">
        <v>1018</v>
      </c>
      <c r="C1358" s="5" t="s">
        <v>2615</v>
      </c>
      <c r="D1358" s="2" t="s">
        <v>2616</v>
      </c>
    </row>
    <row r="1359" spans="1:4" ht="13.05" customHeight="1" x14ac:dyDescent="0.3">
      <c r="A1359" s="2" t="s">
        <v>237</v>
      </c>
      <c r="B1359" s="2" t="s">
        <v>1018</v>
      </c>
      <c r="C1359" s="5" t="s">
        <v>2617</v>
      </c>
      <c r="D1359" s="2" t="s">
        <v>2618</v>
      </c>
    </row>
    <row r="1360" spans="1:4" ht="13.05" customHeight="1" x14ac:dyDescent="0.3">
      <c r="A1360" s="2" t="s">
        <v>237</v>
      </c>
      <c r="B1360" s="2" t="s">
        <v>1018</v>
      </c>
      <c r="C1360" s="5" t="s">
        <v>2619</v>
      </c>
      <c r="D1360" s="2" t="s">
        <v>2620</v>
      </c>
    </row>
    <row r="1361" spans="1:4" ht="13.05" customHeight="1" x14ac:dyDescent="0.3">
      <c r="A1361" s="2" t="s">
        <v>237</v>
      </c>
      <c r="B1361" s="2" t="s">
        <v>1018</v>
      </c>
      <c r="C1361" s="5" t="s">
        <v>2621</v>
      </c>
      <c r="D1361" s="2" t="s">
        <v>2622</v>
      </c>
    </row>
    <row r="1362" spans="1:4" ht="13.05" customHeight="1" x14ac:dyDescent="0.3">
      <c r="A1362" s="2" t="s">
        <v>237</v>
      </c>
      <c r="B1362" s="2" t="s">
        <v>1018</v>
      </c>
      <c r="C1362" s="5" t="s">
        <v>2623</v>
      </c>
      <c r="D1362" s="2" t="s">
        <v>2624</v>
      </c>
    </row>
    <row r="1363" spans="1:4" ht="13.05" customHeight="1" x14ac:dyDescent="0.3">
      <c r="A1363" s="2" t="s">
        <v>237</v>
      </c>
      <c r="B1363" s="2" t="s">
        <v>1018</v>
      </c>
      <c r="C1363" s="5" t="s">
        <v>2625</v>
      </c>
      <c r="D1363" s="2" t="s">
        <v>2626</v>
      </c>
    </row>
    <row r="1364" spans="1:4" ht="13.05" customHeight="1" x14ac:dyDescent="0.3">
      <c r="A1364" s="2" t="s">
        <v>237</v>
      </c>
      <c r="B1364" s="2" t="s">
        <v>1018</v>
      </c>
      <c r="C1364" s="5" t="s">
        <v>2627</v>
      </c>
      <c r="D1364" s="2" t="s">
        <v>2628</v>
      </c>
    </row>
    <row r="1365" spans="1:4" ht="13.05" customHeight="1" x14ac:dyDescent="0.3">
      <c r="A1365" s="2" t="s">
        <v>237</v>
      </c>
      <c r="B1365" s="2" t="s">
        <v>1018</v>
      </c>
      <c r="C1365" s="5" t="s">
        <v>2629</v>
      </c>
      <c r="D1365" s="2" t="s">
        <v>2630</v>
      </c>
    </row>
    <row r="1366" spans="1:4" ht="13.05" customHeight="1" x14ac:dyDescent="0.3">
      <c r="A1366" s="2" t="s">
        <v>237</v>
      </c>
      <c r="B1366" s="2" t="s">
        <v>1018</v>
      </c>
      <c r="C1366" s="5" t="s">
        <v>2631</v>
      </c>
      <c r="D1366" s="2" t="s">
        <v>2632</v>
      </c>
    </row>
    <row r="1367" spans="1:4" ht="13.05" customHeight="1" x14ac:dyDescent="0.3">
      <c r="A1367" s="2" t="s">
        <v>237</v>
      </c>
      <c r="B1367" s="2" t="s">
        <v>1018</v>
      </c>
      <c r="C1367" s="5" t="s">
        <v>2633</v>
      </c>
      <c r="D1367" s="2" t="s">
        <v>2634</v>
      </c>
    </row>
    <row r="1368" spans="1:4" ht="13.05" customHeight="1" x14ac:dyDescent="0.3">
      <c r="A1368" s="2" t="s">
        <v>237</v>
      </c>
      <c r="B1368" s="2" t="s">
        <v>1018</v>
      </c>
      <c r="C1368" s="5" t="s">
        <v>2635</v>
      </c>
      <c r="D1368" s="2" t="s">
        <v>2636</v>
      </c>
    </row>
    <row r="1369" spans="1:4" ht="13.05" customHeight="1" x14ac:dyDescent="0.3">
      <c r="A1369" s="2" t="s">
        <v>237</v>
      </c>
      <c r="B1369" s="2" t="s">
        <v>1018</v>
      </c>
      <c r="C1369" s="5" t="s">
        <v>2637</v>
      </c>
      <c r="D1369" s="2" t="s">
        <v>2638</v>
      </c>
    </row>
    <row r="1370" spans="1:4" ht="13.05" customHeight="1" x14ac:dyDescent="0.3">
      <c r="A1370" s="2" t="s">
        <v>237</v>
      </c>
      <c r="B1370" s="2" t="s">
        <v>1018</v>
      </c>
      <c r="C1370" s="5" t="s">
        <v>2639</v>
      </c>
      <c r="D1370" s="2" t="s">
        <v>2640</v>
      </c>
    </row>
    <row r="1371" spans="1:4" ht="13.05" customHeight="1" x14ac:dyDescent="0.3">
      <c r="A1371" s="2" t="s">
        <v>237</v>
      </c>
      <c r="B1371" s="2" t="s">
        <v>1018</v>
      </c>
      <c r="C1371" s="5" t="s">
        <v>2641</v>
      </c>
      <c r="D1371" s="2" t="s">
        <v>2642</v>
      </c>
    </row>
    <row r="1372" spans="1:4" ht="13.05" customHeight="1" x14ac:dyDescent="0.3">
      <c r="A1372" s="2" t="s">
        <v>237</v>
      </c>
      <c r="B1372" s="2" t="s">
        <v>1018</v>
      </c>
      <c r="C1372" s="5" t="s">
        <v>2643</v>
      </c>
      <c r="D1372" s="2" t="s">
        <v>2644</v>
      </c>
    </row>
    <row r="1373" spans="1:4" ht="13.05" customHeight="1" x14ac:dyDescent="0.3">
      <c r="A1373" s="2" t="s">
        <v>237</v>
      </c>
      <c r="B1373" s="2" t="s">
        <v>1018</v>
      </c>
      <c r="C1373" s="5" t="s">
        <v>2645</v>
      </c>
      <c r="D1373" s="2" t="s">
        <v>2646</v>
      </c>
    </row>
    <row r="1374" spans="1:4" ht="13.05" customHeight="1" x14ac:dyDescent="0.3">
      <c r="A1374" s="2" t="s">
        <v>237</v>
      </c>
      <c r="B1374" s="2" t="s">
        <v>1018</v>
      </c>
      <c r="C1374" s="5" t="s">
        <v>2647</v>
      </c>
      <c r="D1374" s="2" t="s">
        <v>2648</v>
      </c>
    </row>
    <row r="1375" spans="1:4" ht="13.05" customHeight="1" x14ac:dyDescent="0.3">
      <c r="A1375" s="2" t="s">
        <v>237</v>
      </c>
      <c r="B1375" s="2" t="s">
        <v>1018</v>
      </c>
      <c r="C1375" s="5" t="s">
        <v>2649</v>
      </c>
      <c r="D1375" s="2" t="s">
        <v>2650</v>
      </c>
    </row>
    <row r="1376" spans="1:4" ht="13.05" customHeight="1" x14ac:dyDescent="0.3">
      <c r="A1376" s="2" t="s">
        <v>237</v>
      </c>
      <c r="B1376" s="2" t="s">
        <v>1018</v>
      </c>
      <c r="C1376" s="5" t="s">
        <v>2651</v>
      </c>
      <c r="D1376" s="2" t="s">
        <v>2652</v>
      </c>
    </row>
    <row r="1377" spans="1:4" ht="13.05" customHeight="1" x14ac:dyDescent="0.3">
      <c r="A1377" s="2" t="s">
        <v>237</v>
      </c>
      <c r="B1377" s="2" t="s">
        <v>1018</v>
      </c>
      <c r="C1377" s="5" t="s">
        <v>2653</v>
      </c>
      <c r="D1377" s="2" t="s">
        <v>2654</v>
      </c>
    </row>
    <row r="1378" spans="1:4" ht="13.05" customHeight="1" x14ac:dyDescent="0.3">
      <c r="A1378" s="2" t="s">
        <v>237</v>
      </c>
      <c r="B1378" s="2" t="s">
        <v>1018</v>
      </c>
      <c r="C1378" s="5" t="s">
        <v>2655</v>
      </c>
      <c r="D1378" s="2" t="s">
        <v>2656</v>
      </c>
    </row>
    <row r="1379" spans="1:4" ht="13.05" customHeight="1" x14ac:dyDescent="0.3">
      <c r="A1379" s="2" t="s">
        <v>237</v>
      </c>
      <c r="B1379" s="2" t="s">
        <v>1018</v>
      </c>
      <c r="C1379" s="5" t="s">
        <v>2657</v>
      </c>
      <c r="D1379" s="2" t="s">
        <v>2658</v>
      </c>
    </row>
    <row r="1380" spans="1:4" ht="13.05" customHeight="1" x14ac:dyDescent="0.3">
      <c r="A1380" s="2" t="s">
        <v>237</v>
      </c>
      <c r="B1380" s="2" t="s">
        <v>1018</v>
      </c>
      <c r="C1380" s="5" t="s">
        <v>2659</v>
      </c>
      <c r="D1380" s="2" t="s">
        <v>2660</v>
      </c>
    </row>
    <row r="1381" spans="1:4" ht="13.05" customHeight="1" x14ac:dyDescent="0.3">
      <c r="A1381" s="2" t="s">
        <v>237</v>
      </c>
      <c r="B1381" s="2" t="s">
        <v>1018</v>
      </c>
      <c r="C1381" s="5" t="s">
        <v>2661</v>
      </c>
      <c r="D1381" s="2" t="s">
        <v>2662</v>
      </c>
    </row>
    <row r="1382" spans="1:4" ht="13.05" customHeight="1" x14ac:dyDescent="0.3">
      <c r="A1382" s="2" t="s">
        <v>237</v>
      </c>
      <c r="B1382" s="2" t="s">
        <v>1018</v>
      </c>
      <c r="C1382" s="5" t="s">
        <v>2663</v>
      </c>
      <c r="D1382" s="2" t="s">
        <v>2664</v>
      </c>
    </row>
    <row r="1383" spans="1:4" ht="13.05" customHeight="1" x14ac:dyDescent="0.3">
      <c r="A1383" s="2" t="s">
        <v>237</v>
      </c>
      <c r="B1383" s="2" t="s">
        <v>1018</v>
      </c>
      <c r="C1383" s="5" t="s">
        <v>2665</v>
      </c>
      <c r="D1383" s="2" t="s">
        <v>2666</v>
      </c>
    </row>
    <row r="1384" spans="1:4" ht="13.05" customHeight="1" x14ac:dyDescent="0.3">
      <c r="A1384" s="2" t="s">
        <v>237</v>
      </c>
      <c r="B1384" s="2" t="s">
        <v>1018</v>
      </c>
      <c r="C1384" s="5" t="s">
        <v>2667</v>
      </c>
      <c r="D1384" s="2" t="s">
        <v>2668</v>
      </c>
    </row>
    <row r="1385" spans="1:4" ht="13.05" customHeight="1" x14ac:dyDescent="0.3">
      <c r="A1385" s="2" t="s">
        <v>237</v>
      </c>
      <c r="B1385" s="2" t="s">
        <v>1018</v>
      </c>
      <c r="C1385" s="5" t="s">
        <v>2669</v>
      </c>
      <c r="D1385" s="2" t="s">
        <v>2670</v>
      </c>
    </row>
    <row r="1386" spans="1:4" ht="13.05" customHeight="1" x14ac:dyDescent="0.3">
      <c r="A1386" s="2" t="s">
        <v>237</v>
      </c>
      <c r="B1386" s="2" t="s">
        <v>1018</v>
      </c>
      <c r="C1386" s="5" t="s">
        <v>2671</v>
      </c>
      <c r="D1386" s="2" t="s">
        <v>2672</v>
      </c>
    </row>
    <row r="1387" spans="1:4" ht="13.05" customHeight="1" x14ac:dyDescent="0.3">
      <c r="A1387" s="2" t="s">
        <v>237</v>
      </c>
      <c r="B1387" s="2" t="s">
        <v>1018</v>
      </c>
      <c r="C1387" s="5" t="s">
        <v>2673</v>
      </c>
      <c r="D1387" s="2" t="s">
        <v>2674</v>
      </c>
    </row>
    <row r="1388" spans="1:4" ht="13.05" customHeight="1" x14ac:dyDescent="0.3">
      <c r="A1388" s="2" t="s">
        <v>237</v>
      </c>
      <c r="B1388" s="2" t="s">
        <v>1018</v>
      </c>
      <c r="C1388" s="5" t="s">
        <v>2675</v>
      </c>
      <c r="D1388" s="2" t="s">
        <v>2676</v>
      </c>
    </row>
    <row r="1389" spans="1:4" ht="13.05" customHeight="1" x14ac:dyDescent="0.3">
      <c r="A1389" s="2" t="s">
        <v>237</v>
      </c>
      <c r="B1389" s="2" t="s">
        <v>1018</v>
      </c>
      <c r="C1389" s="5" t="s">
        <v>2677</v>
      </c>
      <c r="D1389" s="2" t="s">
        <v>2678</v>
      </c>
    </row>
    <row r="1390" spans="1:4" ht="13.05" customHeight="1" x14ac:dyDescent="0.3">
      <c r="A1390" s="2" t="s">
        <v>237</v>
      </c>
      <c r="B1390" s="2" t="s">
        <v>1018</v>
      </c>
      <c r="C1390" s="5" t="s">
        <v>2679</v>
      </c>
      <c r="D1390" s="2" t="s">
        <v>2680</v>
      </c>
    </row>
    <row r="1391" spans="1:4" ht="13.05" customHeight="1" x14ac:dyDescent="0.3">
      <c r="A1391" s="2" t="s">
        <v>237</v>
      </c>
      <c r="B1391" s="2" t="s">
        <v>1018</v>
      </c>
      <c r="C1391" s="5" t="s">
        <v>2681</v>
      </c>
      <c r="D1391" s="2" t="s">
        <v>2682</v>
      </c>
    </row>
    <row r="1392" spans="1:4" ht="13.05" customHeight="1" x14ac:dyDescent="0.3">
      <c r="A1392" s="2" t="s">
        <v>237</v>
      </c>
      <c r="B1392" s="2" t="s">
        <v>1018</v>
      </c>
      <c r="C1392" s="5" t="s">
        <v>2683</v>
      </c>
      <c r="D1392" s="2" t="s">
        <v>2684</v>
      </c>
    </row>
    <row r="1393" spans="1:4" ht="13.05" customHeight="1" x14ac:dyDescent="0.3">
      <c r="A1393" s="2" t="s">
        <v>237</v>
      </c>
      <c r="B1393" s="2" t="s">
        <v>1018</v>
      </c>
      <c r="C1393" s="5" t="s">
        <v>2685</v>
      </c>
      <c r="D1393" s="2" t="s">
        <v>2686</v>
      </c>
    </row>
    <row r="1394" spans="1:4" ht="13.05" customHeight="1" x14ac:dyDescent="0.3">
      <c r="A1394" s="2" t="s">
        <v>237</v>
      </c>
      <c r="B1394" s="2" t="s">
        <v>1018</v>
      </c>
      <c r="C1394" s="5" t="s">
        <v>2687</v>
      </c>
      <c r="D1394" s="2" t="s">
        <v>2688</v>
      </c>
    </row>
    <row r="1395" spans="1:4" ht="13.05" customHeight="1" x14ac:dyDescent="0.3">
      <c r="A1395" s="2" t="s">
        <v>237</v>
      </c>
      <c r="B1395" s="2" t="s">
        <v>1018</v>
      </c>
      <c r="C1395" s="5" t="s">
        <v>2689</v>
      </c>
      <c r="D1395" s="2" t="s">
        <v>2690</v>
      </c>
    </row>
    <row r="1396" spans="1:4" ht="13.05" customHeight="1" x14ac:dyDescent="0.3">
      <c r="A1396" s="2" t="s">
        <v>237</v>
      </c>
      <c r="B1396" s="2" t="s">
        <v>1018</v>
      </c>
      <c r="C1396" s="5" t="s">
        <v>2691</v>
      </c>
      <c r="D1396" s="2" t="s">
        <v>2692</v>
      </c>
    </row>
    <row r="1397" spans="1:4" ht="13.05" customHeight="1" x14ac:dyDescent="0.3">
      <c r="A1397" s="2" t="s">
        <v>237</v>
      </c>
      <c r="B1397" s="2" t="s">
        <v>1018</v>
      </c>
      <c r="C1397" s="5" t="s">
        <v>2693</v>
      </c>
      <c r="D1397" s="2" t="s">
        <v>2694</v>
      </c>
    </row>
    <row r="1398" spans="1:4" ht="13.05" customHeight="1" x14ac:dyDescent="0.3">
      <c r="A1398" s="2" t="s">
        <v>237</v>
      </c>
      <c r="B1398" s="2" t="s">
        <v>1018</v>
      </c>
      <c r="C1398" s="5" t="s">
        <v>2695</v>
      </c>
      <c r="D1398" s="2" t="s">
        <v>2696</v>
      </c>
    </row>
    <row r="1399" spans="1:4" ht="13.05" customHeight="1" x14ac:dyDescent="0.3">
      <c r="A1399" s="2" t="s">
        <v>237</v>
      </c>
      <c r="B1399" s="2" t="s">
        <v>1018</v>
      </c>
      <c r="C1399" s="5" t="s">
        <v>2697</v>
      </c>
      <c r="D1399" s="2" t="s">
        <v>2698</v>
      </c>
    </row>
    <row r="1400" spans="1:4" ht="13.05" customHeight="1" x14ac:dyDescent="0.3">
      <c r="A1400" s="2" t="s">
        <v>237</v>
      </c>
      <c r="B1400" s="2" t="s">
        <v>1018</v>
      </c>
      <c r="C1400" s="5" t="s">
        <v>2699</v>
      </c>
      <c r="D1400" s="2" t="s">
        <v>2700</v>
      </c>
    </row>
    <row r="1401" spans="1:4" ht="13.05" customHeight="1" x14ac:dyDescent="0.3">
      <c r="A1401" s="2" t="s">
        <v>237</v>
      </c>
      <c r="B1401" s="2" t="s">
        <v>1018</v>
      </c>
      <c r="C1401" s="5" t="s">
        <v>2701</v>
      </c>
      <c r="D1401" s="2" t="s">
        <v>2702</v>
      </c>
    </row>
    <row r="1402" spans="1:4" ht="13.05" customHeight="1" x14ac:dyDescent="0.3">
      <c r="A1402" s="2" t="s">
        <v>237</v>
      </c>
      <c r="B1402" s="2" t="s">
        <v>1018</v>
      </c>
      <c r="C1402" s="5" t="s">
        <v>2703</v>
      </c>
      <c r="D1402" s="2" t="s">
        <v>2704</v>
      </c>
    </row>
    <row r="1403" spans="1:4" ht="13.05" customHeight="1" x14ac:dyDescent="0.3">
      <c r="A1403" s="2" t="s">
        <v>237</v>
      </c>
      <c r="B1403" s="2" t="s">
        <v>1018</v>
      </c>
      <c r="C1403" s="5" t="s">
        <v>2705</v>
      </c>
      <c r="D1403" s="2" t="s">
        <v>2706</v>
      </c>
    </row>
    <row r="1404" spans="1:4" ht="13.05" customHeight="1" x14ac:dyDescent="0.3">
      <c r="A1404" s="2" t="s">
        <v>237</v>
      </c>
      <c r="B1404" s="2" t="s">
        <v>1018</v>
      </c>
      <c r="C1404" s="5" t="s">
        <v>2707</v>
      </c>
      <c r="D1404" s="2" t="s">
        <v>2708</v>
      </c>
    </row>
    <row r="1405" spans="1:4" ht="13.05" customHeight="1" x14ac:dyDescent="0.3">
      <c r="A1405" s="2" t="s">
        <v>237</v>
      </c>
      <c r="B1405" s="2" t="s">
        <v>1018</v>
      </c>
      <c r="C1405" s="5" t="s">
        <v>2709</v>
      </c>
      <c r="D1405" s="2" t="s">
        <v>2710</v>
      </c>
    </row>
    <row r="1406" spans="1:4" ht="13.05" customHeight="1" x14ac:dyDescent="0.3">
      <c r="A1406" s="2" t="s">
        <v>237</v>
      </c>
      <c r="B1406" s="2" t="s">
        <v>1018</v>
      </c>
      <c r="C1406" s="5" t="s">
        <v>2711</v>
      </c>
      <c r="D1406" s="2" t="s">
        <v>2712</v>
      </c>
    </row>
    <row r="1407" spans="1:4" ht="13.05" customHeight="1" x14ac:dyDescent="0.3">
      <c r="A1407" s="2" t="s">
        <v>237</v>
      </c>
      <c r="B1407" s="2" t="s">
        <v>1018</v>
      </c>
      <c r="C1407" s="5" t="s">
        <v>2713</v>
      </c>
      <c r="D1407" s="2" t="s">
        <v>2714</v>
      </c>
    </row>
    <row r="1408" spans="1:4" ht="13.05" customHeight="1" x14ac:dyDescent="0.3">
      <c r="A1408" s="2" t="s">
        <v>237</v>
      </c>
      <c r="B1408" s="2" t="s">
        <v>1018</v>
      </c>
      <c r="C1408" s="5" t="s">
        <v>2715</v>
      </c>
      <c r="D1408" s="2" t="s">
        <v>2716</v>
      </c>
    </row>
    <row r="1409" spans="1:4" ht="13.05" customHeight="1" x14ac:dyDescent="0.3">
      <c r="A1409" s="2" t="s">
        <v>237</v>
      </c>
      <c r="B1409" s="2" t="s">
        <v>1018</v>
      </c>
      <c r="C1409" s="5" t="s">
        <v>2717</v>
      </c>
      <c r="D1409" s="2" t="s">
        <v>2718</v>
      </c>
    </row>
    <row r="1410" spans="1:4" ht="13.05" customHeight="1" x14ac:dyDescent="0.3">
      <c r="A1410" s="2" t="s">
        <v>237</v>
      </c>
      <c r="B1410" s="2" t="s">
        <v>1018</v>
      </c>
      <c r="C1410" s="5" t="s">
        <v>2719</v>
      </c>
      <c r="D1410" s="2" t="s">
        <v>2720</v>
      </c>
    </row>
    <row r="1411" spans="1:4" ht="13.05" customHeight="1" x14ac:dyDescent="0.3">
      <c r="A1411" s="2" t="s">
        <v>237</v>
      </c>
      <c r="B1411" s="2" t="s">
        <v>1018</v>
      </c>
      <c r="C1411" s="5" t="s">
        <v>2721</v>
      </c>
      <c r="D1411" s="2" t="s">
        <v>2722</v>
      </c>
    </row>
    <row r="1412" spans="1:4" ht="13.05" customHeight="1" x14ac:dyDescent="0.3">
      <c r="A1412" s="2" t="s">
        <v>237</v>
      </c>
      <c r="B1412" s="2" t="s">
        <v>1018</v>
      </c>
      <c r="C1412" s="5" t="s">
        <v>2723</v>
      </c>
      <c r="D1412" s="2" t="s">
        <v>2724</v>
      </c>
    </row>
    <row r="1413" spans="1:4" ht="13.05" customHeight="1" x14ac:dyDescent="0.3">
      <c r="A1413" s="2" t="s">
        <v>237</v>
      </c>
      <c r="B1413" s="2" t="s">
        <v>1018</v>
      </c>
      <c r="C1413" s="5" t="s">
        <v>2725</v>
      </c>
      <c r="D1413" s="2" t="s">
        <v>2726</v>
      </c>
    </row>
    <row r="1414" spans="1:4" ht="13.05" customHeight="1" x14ac:dyDescent="0.3">
      <c r="A1414" s="2" t="s">
        <v>237</v>
      </c>
      <c r="B1414" s="2" t="s">
        <v>1018</v>
      </c>
      <c r="C1414" s="5" t="s">
        <v>2727</v>
      </c>
      <c r="D1414" s="2" t="s">
        <v>2728</v>
      </c>
    </row>
    <row r="1415" spans="1:4" ht="13.05" customHeight="1" x14ac:dyDescent="0.3">
      <c r="A1415" s="2" t="s">
        <v>237</v>
      </c>
      <c r="B1415" s="2" t="s">
        <v>1018</v>
      </c>
      <c r="C1415" s="5" t="s">
        <v>2729</v>
      </c>
      <c r="D1415" s="2" t="s">
        <v>2730</v>
      </c>
    </row>
    <row r="1416" spans="1:4" ht="13.05" customHeight="1" x14ac:dyDescent="0.3">
      <c r="A1416" s="2" t="s">
        <v>237</v>
      </c>
      <c r="B1416" s="2" t="s">
        <v>1018</v>
      </c>
      <c r="C1416" s="5" t="s">
        <v>2731</v>
      </c>
      <c r="D1416" s="2" t="s">
        <v>2732</v>
      </c>
    </row>
    <row r="1417" spans="1:4" ht="13.05" customHeight="1" x14ac:dyDescent="0.3">
      <c r="A1417" s="2" t="s">
        <v>237</v>
      </c>
      <c r="B1417" s="2" t="s">
        <v>1018</v>
      </c>
      <c r="C1417" s="5" t="s">
        <v>2733</v>
      </c>
      <c r="D1417" s="2" t="s">
        <v>2734</v>
      </c>
    </row>
    <row r="1418" spans="1:4" ht="13.05" customHeight="1" x14ac:dyDescent="0.3">
      <c r="A1418" s="2" t="s">
        <v>237</v>
      </c>
      <c r="B1418" s="2" t="s">
        <v>1018</v>
      </c>
      <c r="C1418" s="5" t="s">
        <v>2735</v>
      </c>
      <c r="D1418" s="2" t="s">
        <v>2736</v>
      </c>
    </row>
    <row r="1419" spans="1:4" ht="13.05" customHeight="1" x14ac:dyDescent="0.3">
      <c r="A1419" s="2" t="s">
        <v>237</v>
      </c>
      <c r="B1419" s="2" t="s">
        <v>1018</v>
      </c>
      <c r="C1419" s="5" t="s">
        <v>2737</v>
      </c>
      <c r="D1419" s="2" t="s">
        <v>2738</v>
      </c>
    </row>
    <row r="1420" spans="1:4" ht="13.05" customHeight="1" x14ac:dyDescent="0.3">
      <c r="A1420" s="2" t="s">
        <v>237</v>
      </c>
      <c r="B1420" s="2" t="s">
        <v>1018</v>
      </c>
      <c r="C1420" s="5" t="s">
        <v>2739</v>
      </c>
      <c r="D1420" s="2" t="s">
        <v>2740</v>
      </c>
    </row>
    <row r="1421" spans="1:4" ht="13.05" customHeight="1" x14ac:dyDescent="0.3">
      <c r="A1421" s="2" t="s">
        <v>237</v>
      </c>
      <c r="B1421" s="2" t="s">
        <v>1018</v>
      </c>
      <c r="C1421" s="5" t="s">
        <v>2741</v>
      </c>
      <c r="D1421" s="2" t="s">
        <v>2742</v>
      </c>
    </row>
    <row r="1422" spans="1:4" ht="13.05" customHeight="1" x14ac:dyDescent="0.3">
      <c r="A1422" s="2" t="s">
        <v>237</v>
      </c>
      <c r="B1422" s="2" t="s">
        <v>1018</v>
      </c>
      <c r="C1422" s="5" t="s">
        <v>2743</v>
      </c>
      <c r="D1422" s="2" t="s">
        <v>2744</v>
      </c>
    </row>
    <row r="1423" spans="1:4" ht="13.05" customHeight="1" x14ac:dyDescent="0.3">
      <c r="A1423" s="2" t="s">
        <v>237</v>
      </c>
      <c r="B1423" s="2" t="s">
        <v>1018</v>
      </c>
      <c r="C1423" s="5" t="s">
        <v>2745</v>
      </c>
      <c r="D1423" s="2" t="s">
        <v>2746</v>
      </c>
    </row>
    <row r="1424" spans="1:4" ht="13.05" customHeight="1" x14ac:dyDescent="0.3">
      <c r="A1424" s="2" t="s">
        <v>237</v>
      </c>
      <c r="B1424" s="2" t="s">
        <v>1018</v>
      </c>
      <c r="C1424" s="5" t="s">
        <v>2747</v>
      </c>
      <c r="D1424" s="2" t="s">
        <v>2748</v>
      </c>
    </row>
    <row r="1425" spans="1:4" ht="13.05" customHeight="1" x14ac:dyDescent="0.3">
      <c r="A1425" s="2" t="s">
        <v>237</v>
      </c>
      <c r="B1425" s="2" t="s">
        <v>1018</v>
      </c>
      <c r="C1425" s="5" t="s">
        <v>2749</v>
      </c>
      <c r="D1425" s="2" t="s">
        <v>2750</v>
      </c>
    </row>
    <row r="1426" spans="1:4" ht="13.05" customHeight="1" x14ac:dyDescent="0.3">
      <c r="A1426" s="2" t="s">
        <v>237</v>
      </c>
      <c r="B1426" s="2" t="s">
        <v>1018</v>
      </c>
      <c r="C1426" s="5" t="s">
        <v>2751</v>
      </c>
      <c r="D1426" s="2" t="s">
        <v>2752</v>
      </c>
    </row>
    <row r="1427" spans="1:4" ht="13.05" customHeight="1" x14ac:dyDescent="0.3">
      <c r="A1427" s="2" t="s">
        <v>237</v>
      </c>
      <c r="B1427" s="2" t="s">
        <v>1018</v>
      </c>
      <c r="C1427" s="5" t="s">
        <v>2753</v>
      </c>
      <c r="D1427" s="2" t="s">
        <v>2754</v>
      </c>
    </row>
    <row r="1428" spans="1:4" ht="13.05" customHeight="1" x14ac:dyDescent="0.3">
      <c r="A1428" s="2" t="s">
        <v>237</v>
      </c>
      <c r="B1428" s="2" t="s">
        <v>1018</v>
      </c>
      <c r="C1428" s="5" t="s">
        <v>2755</v>
      </c>
      <c r="D1428" s="2" t="s">
        <v>2756</v>
      </c>
    </row>
    <row r="1429" spans="1:4" ht="13.05" customHeight="1" x14ac:dyDescent="0.3">
      <c r="A1429" s="2" t="s">
        <v>237</v>
      </c>
      <c r="B1429" s="2" t="s">
        <v>1018</v>
      </c>
      <c r="C1429" s="5" t="s">
        <v>2757</v>
      </c>
      <c r="D1429" s="2" t="s">
        <v>2758</v>
      </c>
    </row>
    <row r="1430" spans="1:4" ht="13.05" customHeight="1" x14ac:dyDescent="0.3">
      <c r="A1430" s="2" t="s">
        <v>237</v>
      </c>
      <c r="B1430" s="2" t="s">
        <v>1018</v>
      </c>
      <c r="C1430" s="5" t="s">
        <v>2759</v>
      </c>
      <c r="D1430" s="2" t="s">
        <v>2760</v>
      </c>
    </row>
    <row r="1431" spans="1:4" ht="13.05" customHeight="1" x14ac:dyDescent="0.3">
      <c r="A1431" s="2" t="s">
        <v>237</v>
      </c>
      <c r="B1431" s="2" t="s">
        <v>1018</v>
      </c>
      <c r="C1431" s="5" t="s">
        <v>2761</v>
      </c>
      <c r="D1431" s="2" t="s">
        <v>2762</v>
      </c>
    </row>
    <row r="1432" spans="1:4" ht="13.05" customHeight="1" x14ac:dyDescent="0.3">
      <c r="A1432" s="2" t="s">
        <v>237</v>
      </c>
      <c r="B1432" s="2" t="s">
        <v>1018</v>
      </c>
      <c r="C1432" s="5" t="s">
        <v>2763</v>
      </c>
      <c r="D1432" s="2" t="s">
        <v>2764</v>
      </c>
    </row>
    <row r="1433" spans="1:4" ht="13.05" customHeight="1" x14ac:dyDescent="0.3">
      <c r="A1433" s="2" t="s">
        <v>237</v>
      </c>
      <c r="B1433" s="2" t="s">
        <v>1018</v>
      </c>
      <c r="C1433" s="5" t="s">
        <v>2765</v>
      </c>
      <c r="D1433" s="2" t="s">
        <v>2766</v>
      </c>
    </row>
    <row r="1434" spans="1:4" ht="13.05" customHeight="1" x14ac:dyDescent="0.3">
      <c r="A1434" s="2" t="s">
        <v>237</v>
      </c>
      <c r="B1434" s="2" t="s">
        <v>1018</v>
      </c>
      <c r="C1434" s="5" t="s">
        <v>2767</v>
      </c>
      <c r="D1434" s="2" t="s">
        <v>2768</v>
      </c>
    </row>
    <row r="1435" spans="1:4" ht="13.05" customHeight="1" x14ac:dyDescent="0.3">
      <c r="A1435" s="2" t="s">
        <v>237</v>
      </c>
      <c r="B1435" s="2" t="s">
        <v>1018</v>
      </c>
      <c r="C1435" s="5" t="s">
        <v>2769</v>
      </c>
      <c r="D1435" s="2" t="s">
        <v>2770</v>
      </c>
    </row>
    <row r="1436" spans="1:4" ht="13.05" customHeight="1" x14ac:dyDescent="0.3">
      <c r="A1436" s="2" t="s">
        <v>237</v>
      </c>
      <c r="B1436" s="2" t="s">
        <v>1018</v>
      </c>
      <c r="C1436" s="5" t="s">
        <v>2771</v>
      </c>
      <c r="D1436" s="2" t="s">
        <v>2772</v>
      </c>
    </row>
    <row r="1437" spans="1:4" ht="13.05" customHeight="1" x14ac:dyDescent="0.3">
      <c r="A1437" s="2" t="s">
        <v>237</v>
      </c>
      <c r="B1437" s="2" t="s">
        <v>1018</v>
      </c>
      <c r="C1437" s="5" t="s">
        <v>2773</v>
      </c>
      <c r="D1437" s="2" t="s">
        <v>2774</v>
      </c>
    </row>
    <row r="1438" spans="1:4" ht="13.05" customHeight="1" x14ac:dyDescent="0.3">
      <c r="A1438" s="2" t="s">
        <v>237</v>
      </c>
      <c r="B1438" s="2" t="s">
        <v>1018</v>
      </c>
      <c r="C1438" s="5" t="s">
        <v>2775</v>
      </c>
      <c r="D1438" s="2" t="s">
        <v>2776</v>
      </c>
    </row>
    <row r="1439" spans="1:4" ht="13.05" customHeight="1" x14ac:dyDescent="0.3">
      <c r="A1439" s="2" t="s">
        <v>237</v>
      </c>
      <c r="B1439" s="2" t="s">
        <v>1018</v>
      </c>
      <c r="C1439" s="5" t="s">
        <v>2777</v>
      </c>
      <c r="D1439" s="2" t="s">
        <v>2778</v>
      </c>
    </row>
    <row r="1440" spans="1:4" ht="13.05" customHeight="1" x14ac:dyDescent="0.3">
      <c r="A1440" s="2" t="s">
        <v>237</v>
      </c>
      <c r="B1440" s="2" t="s">
        <v>1018</v>
      </c>
      <c r="C1440" s="5" t="s">
        <v>2779</v>
      </c>
      <c r="D1440" s="2" t="s">
        <v>2780</v>
      </c>
    </row>
    <row r="1441" spans="1:4" ht="13.05" customHeight="1" x14ac:dyDescent="0.3">
      <c r="A1441" s="2" t="s">
        <v>237</v>
      </c>
      <c r="B1441" s="2" t="s">
        <v>1018</v>
      </c>
      <c r="C1441" s="5" t="s">
        <v>2781</v>
      </c>
      <c r="D1441" s="2" t="s">
        <v>2782</v>
      </c>
    </row>
    <row r="1442" spans="1:4" ht="13.05" customHeight="1" x14ac:dyDescent="0.3">
      <c r="A1442" s="2" t="s">
        <v>237</v>
      </c>
      <c r="B1442" s="2" t="s">
        <v>1018</v>
      </c>
      <c r="C1442" s="5" t="s">
        <v>2783</v>
      </c>
      <c r="D1442" s="2" t="s">
        <v>2784</v>
      </c>
    </row>
    <row r="1443" spans="1:4" ht="13.05" customHeight="1" x14ac:dyDescent="0.3">
      <c r="A1443" s="2" t="s">
        <v>237</v>
      </c>
      <c r="B1443" s="2" t="s">
        <v>1018</v>
      </c>
      <c r="C1443" s="5" t="s">
        <v>2785</v>
      </c>
      <c r="D1443" s="2" t="s">
        <v>2786</v>
      </c>
    </row>
    <row r="1444" spans="1:4" ht="13.05" customHeight="1" x14ac:dyDescent="0.3">
      <c r="A1444" s="2" t="s">
        <v>237</v>
      </c>
      <c r="B1444" s="2" t="s">
        <v>1018</v>
      </c>
      <c r="C1444" s="5" t="s">
        <v>2787</v>
      </c>
      <c r="D1444" s="2" t="s">
        <v>2788</v>
      </c>
    </row>
    <row r="1445" spans="1:4" ht="13.05" customHeight="1" x14ac:dyDescent="0.3">
      <c r="A1445" s="2" t="s">
        <v>237</v>
      </c>
      <c r="B1445" s="2" t="s">
        <v>1018</v>
      </c>
      <c r="C1445" s="5" t="s">
        <v>2789</v>
      </c>
      <c r="D1445" s="2" t="s">
        <v>2790</v>
      </c>
    </row>
    <row r="1446" spans="1:4" ht="13.05" customHeight="1" x14ac:dyDescent="0.3">
      <c r="A1446" s="2" t="s">
        <v>237</v>
      </c>
      <c r="B1446" s="2" t="s">
        <v>1018</v>
      </c>
      <c r="C1446" s="5" t="s">
        <v>2791</v>
      </c>
      <c r="D1446" s="2" t="s">
        <v>2792</v>
      </c>
    </row>
    <row r="1447" spans="1:4" ht="13.05" customHeight="1" x14ac:dyDescent="0.3">
      <c r="A1447" s="2" t="s">
        <v>237</v>
      </c>
      <c r="B1447" s="2" t="s">
        <v>1018</v>
      </c>
      <c r="C1447" s="5" t="s">
        <v>2793</v>
      </c>
      <c r="D1447" s="2" t="s">
        <v>2794</v>
      </c>
    </row>
    <row r="1448" spans="1:4" ht="13.05" customHeight="1" x14ac:dyDescent="0.3">
      <c r="A1448" s="2" t="s">
        <v>237</v>
      </c>
      <c r="B1448" s="2" t="s">
        <v>1018</v>
      </c>
      <c r="C1448" s="5" t="s">
        <v>2795</v>
      </c>
      <c r="D1448" s="2" t="s">
        <v>2796</v>
      </c>
    </row>
    <row r="1449" spans="1:4" ht="13.05" customHeight="1" x14ac:dyDescent="0.3">
      <c r="A1449" s="2" t="s">
        <v>237</v>
      </c>
      <c r="B1449" s="2" t="s">
        <v>1018</v>
      </c>
      <c r="C1449" s="5" t="s">
        <v>2797</v>
      </c>
      <c r="D1449" s="2" t="s">
        <v>2798</v>
      </c>
    </row>
    <row r="1450" spans="1:4" ht="13.05" customHeight="1" x14ac:dyDescent="0.3">
      <c r="A1450" s="2" t="s">
        <v>237</v>
      </c>
      <c r="B1450" s="2" t="s">
        <v>1018</v>
      </c>
      <c r="C1450" s="5" t="s">
        <v>2799</v>
      </c>
      <c r="D1450" s="2" t="s">
        <v>2800</v>
      </c>
    </row>
    <row r="1451" spans="1:4" ht="13.05" customHeight="1" x14ac:dyDescent="0.3">
      <c r="A1451" s="2" t="s">
        <v>237</v>
      </c>
      <c r="B1451" s="2" t="s">
        <v>1018</v>
      </c>
      <c r="C1451" s="5" t="s">
        <v>2801</v>
      </c>
      <c r="D1451" s="2" t="s">
        <v>2802</v>
      </c>
    </row>
    <row r="1452" spans="1:4" ht="13.05" customHeight="1" x14ac:dyDescent="0.3">
      <c r="A1452" s="2" t="s">
        <v>237</v>
      </c>
      <c r="B1452" s="2" t="s">
        <v>1018</v>
      </c>
      <c r="C1452" s="5" t="s">
        <v>2803</v>
      </c>
      <c r="D1452" s="2" t="s">
        <v>2804</v>
      </c>
    </row>
    <row r="1453" spans="1:4" ht="13.05" customHeight="1" x14ac:dyDescent="0.3">
      <c r="A1453" s="2" t="s">
        <v>237</v>
      </c>
      <c r="B1453" s="2" t="s">
        <v>1018</v>
      </c>
      <c r="C1453" s="5" t="s">
        <v>2805</v>
      </c>
      <c r="D1453" s="2" t="s">
        <v>2806</v>
      </c>
    </row>
    <row r="1454" spans="1:4" ht="13.05" customHeight="1" x14ac:dyDescent="0.3">
      <c r="A1454" s="2" t="s">
        <v>237</v>
      </c>
      <c r="B1454" s="2" t="s">
        <v>1018</v>
      </c>
      <c r="C1454" s="5" t="s">
        <v>2807</v>
      </c>
      <c r="D1454" s="2" t="s">
        <v>2808</v>
      </c>
    </row>
    <row r="1455" spans="1:4" ht="13.05" customHeight="1" x14ac:dyDescent="0.3">
      <c r="A1455" s="2" t="s">
        <v>237</v>
      </c>
      <c r="B1455" s="2" t="s">
        <v>1018</v>
      </c>
      <c r="C1455" s="5" t="s">
        <v>2809</v>
      </c>
      <c r="D1455" s="2" t="s">
        <v>2810</v>
      </c>
    </row>
    <row r="1456" spans="1:4" ht="13.05" customHeight="1" x14ac:dyDescent="0.3">
      <c r="A1456" s="2" t="s">
        <v>237</v>
      </c>
      <c r="B1456" s="2" t="s">
        <v>1018</v>
      </c>
      <c r="C1456" s="5" t="s">
        <v>2811</v>
      </c>
      <c r="D1456" s="2" t="s">
        <v>2812</v>
      </c>
    </row>
    <row r="1457" spans="1:4" ht="13.05" customHeight="1" x14ac:dyDescent="0.3">
      <c r="A1457" s="2" t="s">
        <v>237</v>
      </c>
      <c r="B1457" s="2" t="s">
        <v>1018</v>
      </c>
      <c r="C1457" s="5" t="s">
        <v>2813</v>
      </c>
      <c r="D1457" s="2" t="s">
        <v>2814</v>
      </c>
    </row>
    <row r="1458" spans="1:4" ht="13.05" customHeight="1" x14ac:dyDescent="0.3">
      <c r="A1458" s="2" t="s">
        <v>237</v>
      </c>
      <c r="B1458" s="2" t="s">
        <v>1018</v>
      </c>
      <c r="C1458" s="5" t="s">
        <v>2815</v>
      </c>
      <c r="D1458" s="2" t="s">
        <v>2816</v>
      </c>
    </row>
    <row r="1459" spans="1:4" ht="13.05" customHeight="1" x14ac:dyDescent="0.3">
      <c r="A1459" s="2" t="s">
        <v>237</v>
      </c>
      <c r="B1459" s="2" t="s">
        <v>1018</v>
      </c>
      <c r="C1459" s="5" t="s">
        <v>2817</v>
      </c>
      <c r="D1459" s="2" t="s">
        <v>2818</v>
      </c>
    </row>
    <row r="1460" spans="1:4" ht="13.05" customHeight="1" x14ac:dyDescent="0.3">
      <c r="A1460" s="2" t="s">
        <v>237</v>
      </c>
      <c r="B1460" s="2" t="s">
        <v>1018</v>
      </c>
      <c r="C1460" s="5" t="s">
        <v>2819</v>
      </c>
      <c r="D1460" s="2" t="s">
        <v>2820</v>
      </c>
    </row>
    <row r="1461" spans="1:4" ht="13.05" customHeight="1" x14ac:dyDescent="0.3">
      <c r="A1461" s="2" t="s">
        <v>237</v>
      </c>
      <c r="B1461" s="2" t="s">
        <v>1018</v>
      </c>
      <c r="C1461" s="5" t="s">
        <v>2821</v>
      </c>
      <c r="D1461" s="2" t="s">
        <v>2822</v>
      </c>
    </row>
    <row r="1462" spans="1:4" ht="13.05" customHeight="1" x14ac:dyDescent="0.3">
      <c r="A1462" s="2" t="s">
        <v>237</v>
      </c>
      <c r="B1462" s="2" t="s">
        <v>1018</v>
      </c>
      <c r="C1462" s="5" t="s">
        <v>2823</v>
      </c>
      <c r="D1462" s="2" t="s">
        <v>2824</v>
      </c>
    </row>
    <row r="1463" spans="1:4" ht="13.05" customHeight="1" x14ac:dyDescent="0.3">
      <c r="A1463" s="2" t="s">
        <v>237</v>
      </c>
      <c r="B1463" s="2" t="s">
        <v>1018</v>
      </c>
      <c r="C1463" s="5" t="s">
        <v>2825</v>
      </c>
      <c r="D1463" s="2" t="s">
        <v>2826</v>
      </c>
    </row>
    <row r="1464" spans="1:4" ht="13.05" customHeight="1" x14ac:dyDescent="0.3">
      <c r="A1464" s="2" t="s">
        <v>237</v>
      </c>
      <c r="B1464" s="2" t="s">
        <v>1018</v>
      </c>
      <c r="C1464" s="5" t="s">
        <v>2827</v>
      </c>
      <c r="D1464" s="2" t="s">
        <v>2828</v>
      </c>
    </row>
    <row r="1465" spans="1:4" ht="13.05" customHeight="1" x14ac:dyDescent="0.3">
      <c r="A1465" s="2" t="s">
        <v>237</v>
      </c>
      <c r="B1465" s="2" t="s">
        <v>1018</v>
      </c>
      <c r="C1465" s="5" t="s">
        <v>2829</v>
      </c>
      <c r="D1465" s="2" t="s">
        <v>2830</v>
      </c>
    </row>
    <row r="1466" spans="1:4" ht="13.05" customHeight="1" x14ac:dyDescent="0.3">
      <c r="A1466" s="2" t="s">
        <v>237</v>
      </c>
      <c r="B1466" s="2" t="s">
        <v>1018</v>
      </c>
      <c r="C1466" s="5" t="s">
        <v>2831</v>
      </c>
      <c r="D1466" s="2" t="s">
        <v>2832</v>
      </c>
    </row>
    <row r="1467" spans="1:4" ht="13.05" customHeight="1" x14ac:dyDescent="0.3">
      <c r="A1467" s="2" t="s">
        <v>237</v>
      </c>
      <c r="B1467" s="2" t="s">
        <v>1018</v>
      </c>
      <c r="C1467" s="5" t="s">
        <v>2833</v>
      </c>
      <c r="D1467" s="2" t="s">
        <v>2834</v>
      </c>
    </row>
    <row r="1468" spans="1:4" ht="13.05" customHeight="1" x14ac:dyDescent="0.3">
      <c r="A1468" s="2" t="s">
        <v>237</v>
      </c>
      <c r="B1468" s="2" t="s">
        <v>1018</v>
      </c>
      <c r="C1468" s="5" t="s">
        <v>2835</v>
      </c>
      <c r="D1468" s="2" t="s">
        <v>2836</v>
      </c>
    </row>
    <row r="1469" spans="1:4" ht="13.05" customHeight="1" x14ac:dyDescent="0.3">
      <c r="A1469" s="2" t="s">
        <v>237</v>
      </c>
      <c r="B1469" s="2" t="s">
        <v>1018</v>
      </c>
      <c r="C1469" s="5" t="s">
        <v>2837</v>
      </c>
      <c r="D1469" s="2" t="s">
        <v>2838</v>
      </c>
    </row>
    <row r="1470" spans="1:4" ht="13.05" customHeight="1" x14ac:dyDescent="0.3">
      <c r="A1470" s="2" t="s">
        <v>237</v>
      </c>
      <c r="B1470" s="2" t="s">
        <v>1018</v>
      </c>
      <c r="C1470" s="5" t="s">
        <v>2839</v>
      </c>
      <c r="D1470" s="2" t="s">
        <v>2840</v>
      </c>
    </row>
    <row r="1471" spans="1:4" ht="13.05" customHeight="1" x14ac:dyDescent="0.3">
      <c r="A1471" s="2" t="s">
        <v>237</v>
      </c>
      <c r="B1471" s="2" t="s">
        <v>1018</v>
      </c>
      <c r="C1471" s="5" t="s">
        <v>2841</v>
      </c>
      <c r="D1471" s="2" t="s">
        <v>2842</v>
      </c>
    </row>
    <row r="1472" spans="1:4" ht="13.05" customHeight="1" x14ac:dyDescent="0.3">
      <c r="A1472" s="2" t="s">
        <v>237</v>
      </c>
      <c r="B1472" s="2" t="s">
        <v>1018</v>
      </c>
      <c r="C1472" s="5" t="s">
        <v>2843</v>
      </c>
      <c r="D1472" s="2" t="s">
        <v>2844</v>
      </c>
    </row>
    <row r="1473" spans="1:4" ht="13.05" customHeight="1" x14ac:dyDescent="0.3">
      <c r="A1473" s="2" t="s">
        <v>237</v>
      </c>
      <c r="B1473" s="2" t="s">
        <v>1018</v>
      </c>
      <c r="C1473" s="5" t="s">
        <v>2845</v>
      </c>
      <c r="D1473" s="2" t="s">
        <v>2846</v>
      </c>
    </row>
    <row r="1474" spans="1:4" ht="13.05" customHeight="1" x14ac:dyDescent="0.3">
      <c r="A1474" s="2" t="s">
        <v>237</v>
      </c>
      <c r="B1474" s="2" t="s">
        <v>1018</v>
      </c>
      <c r="C1474" s="5" t="s">
        <v>2847</v>
      </c>
      <c r="D1474" s="2" t="s">
        <v>2848</v>
      </c>
    </row>
    <row r="1475" spans="1:4" ht="13.05" customHeight="1" x14ac:dyDescent="0.3">
      <c r="A1475" s="2" t="s">
        <v>237</v>
      </c>
      <c r="B1475" s="2" t="s">
        <v>1018</v>
      </c>
      <c r="C1475" s="5" t="s">
        <v>2849</v>
      </c>
      <c r="D1475" s="2" t="s">
        <v>2850</v>
      </c>
    </row>
    <row r="1476" spans="1:4" ht="13.05" customHeight="1" x14ac:dyDescent="0.3">
      <c r="A1476" s="2" t="s">
        <v>237</v>
      </c>
      <c r="B1476" s="2" t="s">
        <v>1018</v>
      </c>
      <c r="C1476" s="5" t="s">
        <v>2851</v>
      </c>
      <c r="D1476" s="2" t="s">
        <v>2852</v>
      </c>
    </row>
    <row r="1477" spans="1:4" ht="13.05" customHeight="1" x14ac:dyDescent="0.3">
      <c r="A1477" s="2" t="s">
        <v>237</v>
      </c>
      <c r="B1477" s="2" t="s">
        <v>1018</v>
      </c>
      <c r="C1477" s="5" t="s">
        <v>2853</v>
      </c>
      <c r="D1477" s="2" t="s">
        <v>2854</v>
      </c>
    </row>
    <row r="1478" spans="1:4" ht="13.05" customHeight="1" x14ac:dyDescent="0.3">
      <c r="A1478" s="2" t="s">
        <v>237</v>
      </c>
      <c r="B1478" s="2" t="s">
        <v>1018</v>
      </c>
      <c r="C1478" s="5" t="s">
        <v>2855</v>
      </c>
      <c r="D1478" s="2" t="s">
        <v>2856</v>
      </c>
    </row>
    <row r="1479" spans="1:4" ht="13.05" customHeight="1" x14ac:dyDescent="0.3">
      <c r="A1479" s="2" t="s">
        <v>237</v>
      </c>
      <c r="B1479" s="2" t="s">
        <v>1018</v>
      </c>
      <c r="C1479" s="5" t="s">
        <v>2857</v>
      </c>
      <c r="D1479" s="2" t="s">
        <v>2858</v>
      </c>
    </row>
    <row r="1480" spans="1:4" ht="13.05" customHeight="1" x14ac:dyDescent="0.3">
      <c r="A1480" s="2" t="s">
        <v>237</v>
      </c>
      <c r="B1480" s="2" t="s">
        <v>1018</v>
      </c>
      <c r="C1480" s="5" t="s">
        <v>2859</v>
      </c>
      <c r="D1480" s="2" t="s">
        <v>2860</v>
      </c>
    </row>
    <row r="1481" spans="1:4" ht="13.05" customHeight="1" x14ac:dyDescent="0.3">
      <c r="A1481" s="2" t="s">
        <v>237</v>
      </c>
      <c r="B1481" s="2" t="s">
        <v>1018</v>
      </c>
      <c r="C1481" s="5" t="s">
        <v>2861</v>
      </c>
      <c r="D1481" s="2" t="s">
        <v>2862</v>
      </c>
    </row>
    <row r="1482" spans="1:4" ht="13.05" customHeight="1" x14ac:dyDescent="0.3">
      <c r="A1482" s="2" t="s">
        <v>237</v>
      </c>
      <c r="B1482" s="2" t="s">
        <v>1018</v>
      </c>
      <c r="C1482" s="5" t="s">
        <v>2863</v>
      </c>
      <c r="D1482" s="2" t="s">
        <v>2864</v>
      </c>
    </row>
    <row r="1483" spans="1:4" ht="13.05" customHeight="1" x14ac:dyDescent="0.3">
      <c r="A1483" s="2" t="s">
        <v>237</v>
      </c>
      <c r="B1483" s="2" t="s">
        <v>1018</v>
      </c>
      <c r="C1483" s="5" t="s">
        <v>2865</v>
      </c>
      <c r="D1483" s="2" t="s">
        <v>2866</v>
      </c>
    </row>
    <row r="1484" spans="1:4" ht="13.05" customHeight="1" x14ac:dyDescent="0.3">
      <c r="A1484" s="2" t="s">
        <v>237</v>
      </c>
      <c r="B1484" s="2" t="s">
        <v>1018</v>
      </c>
      <c r="C1484" s="5" t="s">
        <v>2867</v>
      </c>
      <c r="D1484" s="2" t="s">
        <v>2868</v>
      </c>
    </row>
    <row r="1485" spans="1:4" ht="13.05" customHeight="1" x14ac:dyDescent="0.3">
      <c r="A1485" s="2" t="s">
        <v>237</v>
      </c>
      <c r="B1485" s="2" t="s">
        <v>1018</v>
      </c>
      <c r="C1485" s="5" t="s">
        <v>2869</v>
      </c>
      <c r="D1485" s="2" t="s">
        <v>2870</v>
      </c>
    </row>
    <row r="1486" spans="1:4" ht="13.05" customHeight="1" x14ac:dyDescent="0.3">
      <c r="A1486" s="2" t="s">
        <v>237</v>
      </c>
      <c r="B1486" s="2" t="s">
        <v>1018</v>
      </c>
      <c r="C1486" s="5" t="s">
        <v>2871</v>
      </c>
      <c r="D1486" s="2" t="s">
        <v>2872</v>
      </c>
    </row>
    <row r="1487" spans="1:4" ht="13.05" customHeight="1" x14ac:dyDescent="0.3">
      <c r="A1487" s="2" t="s">
        <v>237</v>
      </c>
      <c r="B1487" s="2" t="s">
        <v>1018</v>
      </c>
      <c r="C1487" s="5" t="s">
        <v>2873</v>
      </c>
      <c r="D1487" s="2" t="s">
        <v>2874</v>
      </c>
    </row>
    <row r="1488" spans="1:4" ht="13.05" customHeight="1" x14ac:dyDescent="0.3">
      <c r="A1488" s="2" t="s">
        <v>237</v>
      </c>
      <c r="B1488" s="2" t="s">
        <v>1018</v>
      </c>
      <c r="C1488" s="5" t="s">
        <v>2875</v>
      </c>
      <c r="D1488" s="2" t="s">
        <v>2876</v>
      </c>
    </row>
    <row r="1489" spans="1:4" ht="13.05" customHeight="1" x14ac:dyDescent="0.3">
      <c r="A1489" s="2" t="s">
        <v>237</v>
      </c>
      <c r="B1489" s="2" t="s">
        <v>1018</v>
      </c>
      <c r="C1489" s="5" t="s">
        <v>2877</v>
      </c>
      <c r="D1489" s="2" t="s">
        <v>2878</v>
      </c>
    </row>
    <row r="1490" spans="1:4" ht="13.05" customHeight="1" x14ac:dyDescent="0.3">
      <c r="A1490" s="2" t="s">
        <v>237</v>
      </c>
      <c r="B1490" s="2" t="s">
        <v>1018</v>
      </c>
      <c r="C1490" s="5" t="s">
        <v>2879</v>
      </c>
      <c r="D1490" s="2" t="s">
        <v>2880</v>
      </c>
    </row>
    <row r="1491" spans="1:4" ht="13.05" customHeight="1" x14ac:dyDescent="0.3">
      <c r="A1491" s="2" t="s">
        <v>237</v>
      </c>
      <c r="B1491" s="2" t="s">
        <v>1018</v>
      </c>
      <c r="C1491" s="5" t="s">
        <v>2881</v>
      </c>
      <c r="D1491" s="2" t="s">
        <v>2882</v>
      </c>
    </row>
    <row r="1492" spans="1:4" ht="13.05" customHeight="1" x14ac:dyDescent="0.3">
      <c r="A1492" s="2" t="s">
        <v>237</v>
      </c>
      <c r="B1492" s="2" t="s">
        <v>1018</v>
      </c>
      <c r="C1492" s="5" t="s">
        <v>2883</v>
      </c>
      <c r="D1492" s="2" t="s">
        <v>2884</v>
      </c>
    </row>
    <row r="1493" spans="1:4" ht="13.05" customHeight="1" x14ac:dyDescent="0.3">
      <c r="A1493" s="2" t="s">
        <v>237</v>
      </c>
      <c r="B1493" s="2" t="s">
        <v>1018</v>
      </c>
      <c r="C1493" s="5" t="s">
        <v>2885</v>
      </c>
      <c r="D1493" s="2" t="s">
        <v>2886</v>
      </c>
    </row>
    <row r="1494" spans="1:4" ht="13.05" customHeight="1" x14ac:dyDescent="0.3">
      <c r="A1494" s="2" t="s">
        <v>237</v>
      </c>
      <c r="B1494" s="2" t="s">
        <v>1018</v>
      </c>
      <c r="C1494" s="5" t="s">
        <v>2887</v>
      </c>
      <c r="D1494" s="2" t="s">
        <v>2888</v>
      </c>
    </row>
    <row r="1495" spans="1:4" ht="13.05" customHeight="1" x14ac:dyDescent="0.3">
      <c r="A1495" s="2" t="s">
        <v>237</v>
      </c>
      <c r="B1495" s="2" t="s">
        <v>1018</v>
      </c>
      <c r="C1495" s="5" t="s">
        <v>2889</v>
      </c>
      <c r="D1495" s="2" t="s">
        <v>2890</v>
      </c>
    </row>
    <row r="1496" spans="1:4" ht="13.05" customHeight="1" x14ac:dyDescent="0.3">
      <c r="A1496" s="2" t="s">
        <v>237</v>
      </c>
      <c r="B1496" s="2" t="s">
        <v>1018</v>
      </c>
      <c r="C1496" s="5" t="s">
        <v>2891</v>
      </c>
      <c r="D1496" s="2" t="s">
        <v>2892</v>
      </c>
    </row>
    <row r="1497" spans="1:4" ht="13.05" customHeight="1" x14ac:dyDescent="0.3">
      <c r="A1497" s="2" t="s">
        <v>237</v>
      </c>
      <c r="B1497" s="2" t="s">
        <v>1018</v>
      </c>
      <c r="C1497" s="5" t="s">
        <v>2893</v>
      </c>
      <c r="D1497" s="2" t="s">
        <v>2894</v>
      </c>
    </row>
    <row r="1498" spans="1:4" ht="13.05" customHeight="1" x14ac:dyDescent="0.3">
      <c r="A1498" s="2" t="s">
        <v>237</v>
      </c>
      <c r="B1498" s="2" t="s">
        <v>1018</v>
      </c>
      <c r="C1498" s="5" t="s">
        <v>2895</v>
      </c>
      <c r="D1498" s="2" t="s">
        <v>2896</v>
      </c>
    </row>
    <row r="1499" spans="1:4" ht="13.05" customHeight="1" x14ac:dyDescent="0.3">
      <c r="A1499" s="2" t="s">
        <v>237</v>
      </c>
      <c r="B1499" s="2" t="s">
        <v>1018</v>
      </c>
      <c r="C1499" s="5" t="s">
        <v>2897</v>
      </c>
      <c r="D1499" s="2" t="s">
        <v>2898</v>
      </c>
    </row>
    <row r="1500" spans="1:4" ht="13.05" customHeight="1" x14ac:dyDescent="0.3">
      <c r="A1500" s="2" t="s">
        <v>237</v>
      </c>
      <c r="B1500" s="2" t="s">
        <v>1018</v>
      </c>
      <c r="C1500" s="5" t="s">
        <v>2899</v>
      </c>
      <c r="D1500" s="2" t="s">
        <v>2900</v>
      </c>
    </row>
    <row r="1501" spans="1:4" ht="13.05" customHeight="1" x14ac:dyDescent="0.3">
      <c r="A1501" s="2" t="s">
        <v>237</v>
      </c>
      <c r="B1501" s="2" t="s">
        <v>1018</v>
      </c>
      <c r="C1501" s="5" t="s">
        <v>2901</v>
      </c>
      <c r="D1501" s="2" t="s">
        <v>2902</v>
      </c>
    </row>
    <row r="1502" spans="1:4" ht="13.05" customHeight="1" x14ac:dyDescent="0.3">
      <c r="A1502" s="2" t="s">
        <v>237</v>
      </c>
      <c r="B1502" s="2" t="s">
        <v>1018</v>
      </c>
      <c r="C1502" s="5" t="s">
        <v>2903</v>
      </c>
      <c r="D1502" s="2" t="s">
        <v>2904</v>
      </c>
    </row>
    <row r="1503" spans="1:4" ht="13.05" customHeight="1" x14ac:dyDescent="0.3">
      <c r="A1503" s="2" t="s">
        <v>237</v>
      </c>
      <c r="B1503" s="2" t="s">
        <v>1018</v>
      </c>
      <c r="C1503" s="5" t="s">
        <v>2905</v>
      </c>
      <c r="D1503" s="2" t="s">
        <v>2906</v>
      </c>
    </row>
    <row r="1504" spans="1:4" ht="13.05" customHeight="1" x14ac:dyDescent="0.3">
      <c r="A1504" s="2" t="s">
        <v>237</v>
      </c>
      <c r="B1504" s="2" t="s">
        <v>1018</v>
      </c>
      <c r="C1504" s="5" t="s">
        <v>2907</v>
      </c>
      <c r="D1504" s="2" t="s">
        <v>2908</v>
      </c>
    </row>
    <row r="1505" spans="1:4" ht="13.05" customHeight="1" x14ac:dyDescent="0.3">
      <c r="A1505" s="2" t="s">
        <v>237</v>
      </c>
      <c r="B1505" s="2" t="s">
        <v>1018</v>
      </c>
      <c r="C1505" s="5" t="s">
        <v>2909</v>
      </c>
      <c r="D1505" s="2" t="s">
        <v>2910</v>
      </c>
    </row>
    <row r="1506" spans="1:4" ht="13.05" customHeight="1" x14ac:dyDescent="0.3">
      <c r="A1506" s="2" t="s">
        <v>237</v>
      </c>
      <c r="B1506" s="2" t="s">
        <v>1018</v>
      </c>
      <c r="C1506" s="5" t="s">
        <v>2911</v>
      </c>
      <c r="D1506" s="2" t="s">
        <v>2912</v>
      </c>
    </row>
    <row r="1507" spans="1:4" ht="13.05" customHeight="1" x14ac:dyDescent="0.3">
      <c r="A1507" s="2" t="s">
        <v>237</v>
      </c>
      <c r="B1507" s="2" t="s">
        <v>1018</v>
      </c>
      <c r="C1507" s="5" t="s">
        <v>2913</v>
      </c>
      <c r="D1507" s="2" t="s">
        <v>2914</v>
      </c>
    </row>
    <row r="1508" spans="1:4" ht="13.05" customHeight="1" x14ac:dyDescent="0.3">
      <c r="A1508" s="2" t="s">
        <v>237</v>
      </c>
      <c r="B1508" s="2" t="s">
        <v>1018</v>
      </c>
      <c r="C1508" s="5" t="s">
        <v>2915</v>
      </c>
      <c r="D1508" s="2" t="s">
        <v>2916</v>
      </c>
    </row>
    <row r="1509" spans="1:4" ht="13.05" customHeight="1" x14ac:dyDescent="0.3">
      <c r="A1509" s="2" t="s">
        <v>237</v>
      </c>
      <c r="B1509" s="2" t="s">
        <v>1018</v>
      </c>
      <c r="C1509" s="5" t="s">
        <v>2917</v>
      </c>
      <c r="D1509" s="2" t="s">
        <v>2918</v>
      </c>
    </row>
    <row r="1510" spans="1:4" ht="13.05" customHeight="1" x14ac:dyDescent="0.3">
      <c r="A1510" s="2" t="s">
        <v>237</v>
      </c>
      <c r="B1510" s="2" t="s">
        <v>1018</v>
      </c>
      <c r="C1510" s="5" t="s">
        <v>2919</v>
      </c>
      <c r="D1510" s="2" t="s">
        <v>2920</v>
      </c>
    </row>
    <row r="1511" spans="1:4" ht="13.05" customHeight="1" x14ac:dyDescent="0.3">
      <c r="A1511" s="2" t="s">
        <v>237</v>
      </c>
      <c r="B1511" s="2" t="s">
        <v>1018</v>
      </c>
      <c r="C1511" s="5" t="s">
        <v>2921</v>
      </c>
      <c r="D1511" s="2" t="s">
        <v>2922</v>
      </c>
    </row>
    <row r="1512" spans="1:4" ht="13.05" customHeight="1" x14ac:dyDescent="0.3">
      <c r="A1512" s="2" t="s">
        <v>237</v>
      </c>
      <c r="B1512" s="2" t="s">
        <v>1018</v>
      </c>
      <c r="C1512" s="5" t="s">
        <v>2923</v>
      </c>
      <c r="D1512" s="2" t="s">
        <v>2924</v>
      </c>
    </row>
    <row r="1513" spans="1:4" ht="13.05" customHeight="1" x14ac:dyDescent="0.3">
      <c r="A1513" s="2" t="s">
        <v>237</v>
      </c>
      <c r="B1513" s="2" t="s">
        <v>1018</v>
      </c>
      <c r="C1513" s="5" t="s">
        <v>2925</v>
      </c>
      <c r="D1513" s="2" t="s">
        <v>2926</v>
      </c>
    </row>
    <row r="1514" spans="1:4" ht="13.05" customHeight="1" x14ac:dyDescent="0.3">
      <c r="A1514" s="2" t="s">
        <v>237</v>
      </c>
      <c r="B1514" s="2" t="s">
        <v>1018</v>
      </c>
      <c r="C1514" s="5" t="s">
        <v>2927</v>
      </c>
      <c r="D1514" s="2" t="s">
        <v>2928</v>
      </c>
    </row>
    <row r="1515" spans="1:4" ht="13.05" customHeight="1" x14ac:dyDescent="0.3">
      <c r="A1515" s="2" t="s">
        <v>237</v>
      </c>
      <c r="B1515" s="2" t="s">
        <v>1018</v>
      </c>
      <c r="C1515" s="5" t="s">
        <v>2929</v>
      </c>
      <c r="D1515" s="2" t="s">
        <v>2930</v>
      </c>
    </row>
    <row r="1516" spans="1:4" ht="13.05" customHeight="1" x14ac:dyDescent="0.3">
      <c r="A1516" s="2" t="s">
        <v>237</v>
      </c>
      <c r="B1516" s="2" t="s">
        <v>1018</v>
      </c>
      <c r="C1516" s="5" t="s">
        <v>2931</v>
      </c>
      <c r="D1516" s="2" t="s">
        <v>2932</v>
      </c>
    </row>
    <row r="1517" spans="1:4" ht="13.05" customHeight="1" x14ac:dyDescent="0.3">
      <c r="A1517" s="2" t="s">
        <v>237</v>
      </c>
      <c r="B1517" s="2" t="s">
        <v>1018</v>
      </c>
      <c r="C1517" s="5" t="s">
        <v>2933</v>
      </c>
      <c r="D1517" s="2" t="s">
        <v>2934</v>
      </c>
    </row>
    <row r="1518" spans="1:4" ht="13.05" customHeight="1" x14ac:dyDescent="0.3">
      <c r="A1518" s="2" t="s">
        <v>237</v>
      </c>
      <c r="B1518" s="2" t="s">
        <v>1018</v>
      </c>
      <c r="C1518" s="5" t="s">
        <v>2935</v>
      </c>
      <c r="D1518" s="2" t="s">
        <v>2936</v>
      </c>
    </row>
    <row r="1519" spans="1:4" ht="13.05" customHeight="1" x14ac:dyDescent="0.3">
      <c r="A1519" s="2" t="s">
        <v>237</v>
      </c>
      <c r="B1519" s="2" t="s">
        <v>1018</v>
      </c>
      <c r="C1519" s="5" t="s">
        <v>2937</v>
      </c>
      <c r="D1519" s="2" t="s">
        <v>2938</v>
      </c>
    </row>
    <row r="1520" spans="1:4" ht="13.05" customHeight="1" x14ac:dyDescent="0.3">
      <c r="A1520" s="2" t="s">
        <v>237</v>
      </c>
      <c r="B1520" s="2" t="s">
        <v>1018</v>
      </c>
      <c r="C1520" s="5" t="s">
        <v>2939</v>
      </c>
      <c r="D1520" s="2" t="s">
        <v>2940</v>
      </c>
    </row>
    <row r="1521" spans="1:4" ht="13.05" customHeight="1" x14ac:dyDescent="0.3">
      <c r="A1521" s="2" t="s">
        <v>237</v>
      </c>
      <c r="B1521" s="2" t="s">
        <v>1018</v>
      </c>
      <c r="C1521" s="5" t="s">
        <v>2941</v>
      </c>
      <c r="D1521" s="2" t="s">
        <v>2942</v>
      </c>
    </row>
    <row r="1522" spans="1:4" ht="13.05" customHeight="1" x14ac:dyDescent="0.3">
      <c r="A1522" s="2" t="s">
        <v>237</v>
      </c>
      <c r="B1522" s="2" t="s">
        <v>1018</v>
      </c>
      <c r="C1522" s="5" t="s">
        <v>2943</v>
      </c>
      <c r="D1522" s="2" t="s">
        <v>2944</v>
      </c>
    </row>
    <row r="1523" spans="1:4" ht="13.05" customHeight="1" x14ac:dyDescent="0.3">
      <c r="A1523" s="2" t="s">
        <v>237</v>
      </c>
      <c r="B1523" s="2" t="s">
        <v>1018</v>
      </c>
      <c r="C1523" s="5" t="s">
        <v>2945</v>
      </c>
      <c r="D1523" s="2" t="s">
        <v>2946</v>
      </c>
    </row>
    <row r="1524" spans="1:4" ht="13.05" customHeight="1" x14ac:dyDescent="0.3">
      <c r="A1524" s="2" t="s">
        <v>237</v>
      </c>
      <c r="B1524" s="2" t="s">
        <v>1018</v>
      </c>
      <c r="C1524" s="5" t="s">
        <v>2947</v>
      </c>
      <c r="D1524" s="2" t="s">
        <v>2948</v>
      </c>
    </row>
    <row r="1525" spans="1:4" ht="13.05" customHeight="1" x14ac:dyDescent="0.3">
      <c r="A1525" s="2" t="s">
        <v>237</v>
      </c>
      <c r="B1525" s="2" t="s">
        <v>1018</v>
      </c>
      <c r="C1525" s="5" t="s">
        <v>2949</v>
      </c>
      <c r="D1525" s="2" t="s">
        <v>2950</v>
      </c>
    </row>
    <row r="1526" spans="1:4" ht="13.05" customHeight="1" x14ac:dyDescent="0.3">
      <c r="A1526" s="2" t="s">
        <v>237</v>
      </c>
      <c r="B1526" s="2" t="s">
        <v>1018</v>
      </c>
      <c r="C1526" s="5" t="s">
        <v>2951</v>
      </c>
      <c r="D1526" s="2" t="s">
        <v>2952</v>
      </c>
    </row>
    <row r="1527" spans="1:4" ht="13.05" customHeight="1" x14ac:dyDescent="0.3">
      <c r="A1527" s="2" t="s">
        <v>237</v>
      </c>
      <c r="B1527" s="2" t="s">
        <v>1018</v>
      </c>
      <c r="C1527" s="5" t="s">
        <v>2953</v>
      </c>
      <c r="D1527" s="2" t="s">
        <v>2954</v>
      </c>
    </row>
    <row r="1528" spans="1:4" ht="13.05" customHeight="1" x14ac:dyDescent="0.3">
      <c r="A1528" s="2" t="s">
        <v>237</v>
      </c>
      <c r="B1528" s="2" t="s">
        <v>1018</v>
      </c>
      <c r="C1528" s="5" t="s">
        <v>2955</v>
      </c>
      <c r="D1528" s="2" t="s">
        <v>2956</v>
      </c>
    </row>
    <row r="1529" spans="1:4" ht="13.05" customHeight="1" x14ac:dyDescent="0.3">
      <c r="A1529" s="2" t="s">
        <v>237</v>
      </c>
      <c r="B1529" s="2" t="s">
        <v>1018</v>
      </c>
      <c r="C1529" s="5" t="s">
        <v>2957</v>
      </c>
      <c r="D1529" s="2" t="s">
        <v>2958</v>
      </c>
    </row>
    <row r="1530" spans="1:4" ht="13.05" customHeight="1" x14ac:dyDescent="0.3">
      <c r="A1530" s="2" t="s">
        <v>237</v>
      </c>
      <c r="B1530" s="2" t="s">
        <v>1018</v>
      </c>
      <c r="C1530" s="5" t="s">
        <v>2959</v>
      </c>
      <c r="D1530" s="2" t="s">
        <v>2960</v>
      </c>
    </row>
    <row r="1531" spans="1:4" ht="13.05" customHeight="1" x14ac:dyDescent="0.3">
      <c r="A1531" s="2" t="s">
        <v>237</v>
      </c>
      <c r="B1531" s="2" t="s">
        <v>1018</v>
      </c>
      <c r="C1531" s="5" t="s">
        <v>2961</v>
      </c>
      <c r="D1531" s="2" t="s">
        <v>2962</v>
      </c>
    </row>
    <row r="1532" spans="1:4" ht="13.05" customHeight="1" x14ac:dyDescent="0.3">
      <c r="A1532" s="2" t="s">
        <v>237</v>
      </c>
      <c r="B1532" s="2" t="s">
        <v>1018</v>
      </c>
      <c r="C1532" s="5" t="s">
        <v>2963</v>
      </c>
      <c r="D1532" s="2" t="s">
        <v>2964</v>
      </c>
    </row>
    <row r="1533" spans="1:4" ht="13.05" customHeight="1" x14ac:dyDescent="0.3">
      <c r="A1533" s="2" t="s">
        <v>237</v>
      </c>
      <c r="B1533" s="2" t="s">
        <v>1018</v>
      </c>
      <c r="C1533" s="5" t="s">
        <v>2965</v>
      </c>
      <c r="D1533" s="2" t="s">
        <v>2966</v>
      </c>
    </row>
    <row r="1534" spans="1:4" ht="13.05" customHeight="1" x14ac:dyDescent="0.3">
      <c r="A1534" s="2" t="s">
        <v>237</v>
      </c>
      <c r="B1534" s="2" t="s">
        <v>1018</v>
      </c>
      <c r="C1534" s="5" t="s">
        <v>2967</v>
      </c>
      <c r="D1534" s="2" t="s">
        <v>2968</v>
      </c>
    </row>
    <row r="1535" spans="1:4" ht="13.05" customHeight="1" x14ac:dyDescent="0.3">
      <c r="A1535" s="2" t="s">
        <v>237</v>
      </c>
      <c r="B1535" s="2" t="s">
        <v>1018</v>
      </c>
      <c r="C1535" s="5" t="s">
        <v>2969</v>
      </c>
      <c r="D1535" s="2" t="s">
        <v>2970</v>
      </c>
    </row>
    <row r="1536" spans="1:4" ht="13.05" customHeight="1" x14ac:dyDescent="0.3">
      <c r="A1536" s="2" t="s">
        <v>237</v>
      </c>
      <c r="B1536" s="2" t="s">
        <v>1018</v>
      </c>
      <c r="C1536" s="5" t="s">
        <v>2971</v>
      </c>
      <c r="D1536" s="2" t="s">
        <v>2972</v>
      </c>
    </row>
    <row r="1537" spans="1:4" ht="13.05" customHeight="1" x14ac:dyDescent="0.3">
      <c r="A1537" s="2" t="s">
        <v>237</v>
      </c>
      <c r="B1537" s="2" t="s">
        <v>1018</v>
      </c>
      <c r="C1537" s="5" t="s">
        <v>2973</v>
      </c>
      <c r="D1537" s="2" t="s">
        <v>2974</v>
      </c>
    </row>
    <row r="1538" spans="1:4" ht="13.05" customHeight="1" x14ac:dyDescent="0.3">
      <c r="A1538" s="2" t="s">
        <v>239</v>
      </c>
      <c r="B1538" s="2" t="s">
        <v>1018</v>
      </c>
      <c r="C1538" s="5" t="s">
        <v>974</v>
      </c>
      <c r="D1538" s="2" t="s">
        <v>975</v>
      </c>
    </row>
    <row r="1539" spans="1:4" ht="13.05" customHeight="1" x14ac:dyDescent="0.3">
      <c r="A1539" s="2" t="s">
        <v>239</v>
      </c>
      <c r="B1539" s="2" t="s">
        <v>1018</v>
      </c>
      <c r="C1539" s="5" t="s">
        <v>956</v>
      </c>
      <c r="D1539" s="2" t="s">
        <v>957</v>
      </c>
    </row>
    <row r="1540" spans="1:4" ht="13.05" customHeight="1" x14ac:dyDescent="0.3">
      <c r="A1540" s="2" t="s">
        <v>239</v>
      </c>
      <c r="B1540" s="2" t="s">
        <v>1018</v>
      </c>
      <c r="C1540" s="5" t="s">
        <v>958</v>
      </c>
      <c r="D1540" s="2" t="s">
        <v>959</v>
      </c>
    </row>
    <row r="1541" spans="1:4" ht="13.05" customHeight="1" x14ac:dyDescent="0.3">
      <c r="A1541" s="2" t="s">
        <v>239</v>
      </c>
      <c r="B1541" s="2" t="s">
        <v>1018</v>
      </c>
      <c r="C1541" s="5" t="s">
        <v>962</v>
      </c>
      <c r="D1541" s="2" t="s">
        <v>2975</v>
      </c>
    </row>
    <row r="1542" spans="1:4" ht="13.05" customHeight="1" x14ac:dyDescent="0.3">
      <c r="A1542" s="2" t="s">
        <v>239</v>
      </c>
      <c r="B1542" s="2" t="s">
        <v>1018</v>
      </c>
      <c r="C1542" s="5" t="s">
        <v>964</v>
      </c>
      <c r="D1542" s="2" t="s">
        <v>2976</v>
      </c>
    </row>
    <row r="1543" spans="1:4" ht="13.05" customHeight="1" x14ac:dyDescent="0.3">
      <c r="A1543" s="2" t="s">
        <v>239</v>
      </c>
      <c r="B1543" s="2" t="s">
        <v>1018</v>
      </c>
      <c r="C1543" s="5" t="s">
        <v>966</v>
      </c>
      <c r="D1543" s="2" t="s">
        <v>2977</v>
      </c>
    </row>
    <row r="1544" spans="1:4" ht="13.05" customHeight="1" x14ac:dyDescent="0.3">
      <c r="A1544" s="2" t="s">
        <v>239</v>
      </c>
      <c r="B1544" s="2" t="s">
        <v>1018</v>
      </c>
      <c r="C1544" s="5" t="s">
        <v>968</v>
      </c>
      <c r="D1544" s="2" t="s">
        <v>2978</v>
      </c>
    </row>
    <row r="1545" spans="1:4" ht="13.05" customHeight="1" x14ac:dyDescent="0.3">
      <c r="A1545" s="2" t="s">
        <v>239</v>
      </c>
      <c r="B1545" s="2" t="s">
        <v>1018</v>
      </c>
      <c r="C1545" s="5" t="s">
        <v>970</v>
      </c>
      <c r="D1545" s="2" t="s">
        <v>2979</v>
      </c>
    </row>
    <row r="1546" spans="1:4" ht="13.05" customHeight="1" x14ac:dyDescent="0.3">
      <c r="A1546" s="2" t="s">
        <v>239</v>
      </c>
      <c r="B1546" s="2" t="s">
        <v>1018</v>
      </c>
      <c r="C1546" s="5" t="s">
        <v>972</v>
      </c>
      <c r="D1546" s="2" t="s">
        <v>2980</v>
      </c>
    </row>
    <row r="1547" spans="1:4" ht="13.05" customHeight="1" x14ac:dyDescent="0.3">
      <c r="A1547" s="2" t="s">
        <v>239</v>
      </c>
      <c r="B1547" s="2" t="s">
        <v>1018</v>
      </c>
      <c r="C1547" s="5" t="s">
        <v>981</v>
      </c>
      <c r="D1547" s="2" t="s">
        <v>2981</v>
      </c>
    </row>
    <row r="1548" spans="1:4" ht="13.05" customHeight="1" x14ac:dyDescent="0.3">
      <c r="A1548" s="2" t="s">
        <v>239</v>
      </c>
      <c r="B1548" s="2" t="s">
        <v>1018</v>
      </c>
      <c r="C1548" s="5" t="s">
        <v>991</v>
      </c>
      <c r="D1548" s="2" t="s">
        <v>2982</v>
      </c>
    </row>
    <row r="1549" spans="1:4" ht="13.05" customHeight="1" x14ac:dyDescent="0.3">
      <c r="A1549" s="2" t="s">
        <v>239</v>
      </c>
      <c r="B1549" s="2" t="s">
        <v>1018</v>
      </c>
      <c r="C1549" s="5" t="s">
        <v>993</v>
      </c>
      <c r="D1549" s="2" t="s">
        <v>2983</v>
      </c>
    </row>
    <row r="1550" spans="1:4" ht="13.05" customHeight="1" x14ac:dyDescent="0.3">
      <c r="A1550" s="2" t="s">
        <v>239</v>
      </c>
      <c r="B1550" s="2" t="s">
        <v>1018</v>
      </c>
      <c r="C1550" s="5" t="s">
        <v>995</v>
      </c>
      <c r="D1550" s="2" t="s">
        <v>2984</v>
      </c>
    </row>
    <row r="1551" spans="1:4" ht="13.05" customHeight="1" x14ac:dyDescent="0.3">
      <c r="A1551" s="2" t="s">
        <v>239</v>
      </c>
      <c r="B1551" s="2" t="s">
        <v>1018</v>
      </c>
      <c r="C1551" s="5" t="s">
        <v>997</v>
      </c>
      <c r="D1551" s="2" t="s">
        <v>2985</v>
      </c>
    </row>
    <row r="1552" spans="1:4" ht="13.05" customHeight="1" x14ac:dyDescent="0.3">
      <c r="A1552" s="2" t="s">
        <v>242</v>
      </c>
      <c r="B1552" s="2" t="s">
        <v>1018</v>
      </c>
      <c r="C1552" s="5" t="s">
        <v>956</v>
      </c>
      <c r="D1552" s="2" t="s">
        <v>2986</v>
      </c>
    </row>
    <row r="1553" spans="1:4" ht="13.05" customHeight="1" x14ac:dyDescent="0.3">
      <c r="A1553" s="2" t="s">
        <v>242</v>
      </c>
      <c r="B1553" s="2" t="s">
        <v>1018</v>
      </c>
      <c r="C1553" s="5" t="s">
        <v>958</v>
      </c>
      <c r="D1553" s="2" t="s">
        <v>2987</v>
      </c>
    </row>
    <row r="1554" spans="1:4" ht="13.05" customHeight="1" x14ac:dyDescent="0.3">
      <c r="A1554" s="2" t="s">
        <v>242</v>
      </c>
      <c r="B1554" s="2" t="s">
        <v>1018</v>
      </c>
      <c r="C1554" s="5" t="s">
        <v>962</v>
      </c>
      <c r="D1554" s="2" t="s">
        <v>1039</v>
      </c>
    </row>
    <row r="1555" spans="1:4" ht="13.05" customHeight="1" x14ac:dyDescent="0.3">
      <c r="A1555" s="2" t="s">
        <v>242</v>
      </c>
      <c r="B1555" s="2" t="s">
        <v>1018</v>
      </c>
      <c r="C1555" s="5" t="s">
        <v>964</v>
      </c>
      <c r="D1555" s="2" t="s">
        <v>1040</v>
      </c>
    </row>
    <row r="1556" spans="1:4" ht="13.05" customHeight="1" x14ac:dyDescent="0.3">
      <c r="A1556" s="2" t="s">
        <v>244</v>
      </c>
      <c r="B1556" s="2" t="s">
        <v>1132</v>
      </c>
      <c r="C1556" s="5" t="s">
        <v>962</v>
      </c>
      <c r="D1556" s="2" t="s">
        <v>1039</v>
      </c>
    </row>
    <row r="1557" spans="1:4" ht="13.05" customHeight="1" x14ac:dyDescent="0.3">
      <c r="A1557" s="2" t="s">
        <v>244</v>
      </c>
      <c r="B1557" s="2" t="s">
        <v>1132</v>
      </c>
      <c r="C1557" s="5" t="s">
        <v>964</v>
      </c>
      <c r="D1557" s="2" t="s">
        <v>1040</v>
      </c>
    </row>
    <row r="1558" spans="1:4" ht="13.05" customHeight="1" x14ac:dyDescent="0.3">
      <c r="A1558" s="2" t="s">
        <v>246</v>
      </c>
      <c r="B1558" s="2" t="s">
        <v>1132</v>
      </c>
      <c r="C1558" s="5" t="s">
        <v>974</v>
      </c>
      <c r="D1558" s="2" t="s">
        <v>975</v>
      </c>
    </row>
    <row r="1559" spans="1:4" ht="13.05" customHeight="1" x14ac:dyDescent="0.3">
      <c r="A1559" s="2" t="s">
        <v>248</v>
      </c>
      <c r="B1559" s="2" t="s">
        <v>1018</v>
      </c>
      <c r="C1559" s="5" t="s">
        <v>974</v>
      </c>
      <c r="D1559" s="2" t="s">
        <v>975</v>
      </c>
    </row>
    <row r="1560" spans="1:4" ht="13.05" customHeight="1" x14ac:dyDescent="0.3">
      <c r="A1560" s="2" t="s">
        <v>248</v>
      </c>
      <c r="B1560" s="2" t="s">
        <v>1018</v>
      </c>
      <c r="C1560" s="5" t="s">
        <v>956</v>
      </c>
      <c r="D1560" s="2" t="s">
        <v>2988</v>
      </c>
    </row>
    <row r="1561" spans="1:4" ht="13.05" customHeight="1" x14ac:dyDescent="0.3">
      <c r="A1561" s="2" t="s">
        <v>248</v>
      </c>
      <c r="B1561" s="2" t="s">
        <v>1018</v>
      </c>
      <c r="C1561" s="5" t="s">
        <v>958</v>
      </c>
      <c r="D1561" s="2" t="s">
        <v>2987</v>
      </c>
    </row>
    <row r="1562" spans="1:4" ht="13.05" customHeight="1" x14ac:dyDescent="0.3">
      <c r="A1562" s="2" t="s">
        <v>248</v>
      </c>
      <c r="B1562" s="2" t="s">
        <v>1018</v>
      </c>
      <c r="C1562" s="5" t="s">
        <v>962</v>
      </c>
      <c r="D1562" s="2" t="s">
        <v>2989</v>
      </c>
    </row>
    <row r="1563" spans="1:4" ht="13.05" customHeight="1" x14ac:dyDescent="0.3">
      <c r="A1563" s="2" t="s">
        <v>248</v>
      </c>
      <c r="B1563" s="2" t="s">
        <v>1018</v>
      </c>
      <c r="C1563" s="5" t="s">
        <v>964</v>
      </c>
      <c r="D1563" s="2" t="s">
        <v>2990</v>
      </c>
    </row>
    <row r="1564" spans="1:4" ht="13.05" customHeight="1" x14ac:dyDescent="0.3">
      <c r="A1564" s="2" t="s">
        <v>248</v>
      </c>
      <c r="B1564" s="2" t="s">
        <v>1018</v>
      </c>
      <c r="C1564" s="5" t="s">
        <v>966</v>
      </c>
      <c r="D1564" s="2" t="s">
        <v>2991</v>
      </c>
    </row>
    <row r="1565" spans="1:4" ht="13.05" customHeight="1" x14ac:dyDescent="0.3">
      <c r="A1565" s="2" t="s">
        <v>248</v>
      </c>
      <c r="B1565" s="2" t="s">
        <v>1018</v>
      </c>
      <c r="C1565" s="5" t="s">
        <v>968</v>
      </c>
      <c r="D1565" s="2" t="s">
        <v>2992</v>
      </c>
    </row>
    <row r="1566" spans="1:4" ht="13.05" customHeight="1" x14ac:dyDescent="0.3">
      <c r="A1566" s="2" t="s">
        <v>248</v>
      </c>
      <c r="B1566" s="2" t="s">
        <v>1018</v>
      </c>
      <c r="C1566" s="5" t="s">
        <v>970</v>
      </c>
      <c r="D1566" s="2" t="s">
        <v>2993</v>
      </c>
    </row>
    <row r="1567" spans="1:4" ht="13.05" customHeight="1" x14ac:dyDescent="0.3">
      <c r="A1567" s="2" t="s">
        <v>248</v>
      </c>
      <c r="B1567" s="2" t="s">
        <v>1018</v>
      </c>
      <c r="C1567" s="5" t="s">
        <v>972</v>
      </c>
      <c r="D1567" s="2" t="s">
        <v>2994</v>
      </c>
    </row>
    <row r="1568" spans="1:4" ht="13.05" customHeight="1" x14ac:dyDescent="0.3">
      <c r="A1568" s="2" t="s">
        <v>248</v>
      </c>
      <c r="B1568" s="2" t="s">
        <v>1018</v>
      </c>
      <c r="C1568" s="5" t="s">
        <v>983</v>
      </c>
      <c r="D1568" s="2" t="s">
        <v>2995</v>
      </c>
    </row>
    <row r="1569" spans="1:4" ht="13.05" customHeight="1" x14ac:dyDescent="0.3">
      <c r="A1569" s="2" t="s">
        <v>252</v>
      </c>
      <c r="B1569" s="2" t="s">
        <v>1018</v>
      </c>
      <c r="C1569" s="5" t="s">
        <v>974</v>
      </c>
      <c r="D1569" s="2" t="s">
        <v>975</v>
      </c>
    </row>
    <row r="1570" spans="1:4" ht="13.05" customHeight="1" x14ac:dyDescent="0.3">
      <c r="A1570" s="2" t="s">
        <v>252</v>
      </c>
      <c r="B1570" s="2" t="s">
        <v>1018</v>
      </c>
      <c r="C1570" s="5" t="s">
        <v>962</v>
      </c>
      <c r="D1570" s="2" t="s">
        <v>2996</v>
      </c>
    </row>
    <row r="1571" spans="1:4" ht="13.05" customHeight="1" x14ac:dyDescent="0.3">
      <c r="A1571" s="2" t="s">
        <v>252</v>
      </c>
      <c r="B1571" s="2" t="s">
        <v>1018</v>
      </c>
      <c r="C1571" s="5" t="s">
        <v>964</v>
      </c>
      <c r="D1571" s="2" t="s">
        <v>2997</v>
      </c>
    </row>
    <row r="1572" spans="1:4" ht="13.05" customHeight="1" x14ac:dyDescent="0.3">
      <c r="A1572" s="2" t="s">
        <v>252</v>
      </c>
      <c r="B1572" s="2" t="s">
        <v>1018</v>
      </c>
      <c r="C1572" s="5" t="s">
        <v>966</v>
      </c>
      <c r="D1572" s="2" t="s">
        <v>2998</v>
      </c>
    </row>
    <row r="1573" spans="1:4" ht="13.05" customHeight="1" x14ac:dyDescent="0.3">
      <c r="A1573" s="2" t="s">
        <v>252</v>
      </c>
      <c r="B1573" s="2" t="s">
        <v>1018</v>
      </c>
      <c r="C1573" s="5" t="s">
        <v>968</v>
      </c>
      <c r="D1573" s="2" t="s">
        <v>2999</v>
      </c>
    </row>
    <row r="1574" spans="1:4" ht="13.05" customHeight="1" x14ac:dyDescent="0.3">
      <c r="A1574" s="2" t="s">
        <v>252</v>
      </c>
      <c r="B1574" s="2" t="s">
        <v>1018</v>
      </c>
      <c r="C1574" s="5" t="s">
        <v>970</v>
      </c>
      <c r="D1574" s="2" t="s">
        <v>3000</v>
      </c>
    </row>
    <row r="1575" spans="1:4" ht="13.05" customHeight="1" x14ac:dyDescent="0.3">
      <c r="A1575" s="2" t="s">
        <v>252</v>
      </c>
      <c r="B1575" s="2" t="s">
        <v>1018</v>
      </c>
      <c r="C1575" s="5" t="s">
        <v>972</v>
      </c>
      <c r="D1575" s="2" t="s">
        <v>3001</v>
      </c>
    </row>
    <row r="1576" spans="1:4" ht="13.05" customHeight="1" x14ac:dyDescent="0.3">
      <c r="A1576" s="2" t="s">
        <v>252</v>
      </c>
      <c r="B1576" s="2" t="s">
        <v>1018</v>
      </c>
      <c r="C1576" s="5" t="s">
        <v>981</v>
      </c>
      <c r="D1576" s="2" t="s">
        <v>3002</v>
      </c>
    </row>
    <row r="1577" spans="1:4" ht="13.05" customHeight="1" x14ac:dyDescent="0.3">
      <c r="A1577" s="2" t="s">
        <v>252</v>
      </c>
      <c r="B1577" s="2" t="s">
        <v>1018</v>
      </c>
      <c r="C1577" s="5" t="s">
        <v>991</v>
      </c>
      <c r="D1577" s="2" t="s">
        <v>3003</v>
      </c>
    </row>
    <row r="1578" spans="1:4" ht="13.05" customHeight="1" x14ac:dyDescent="0.3">
      <c r="A1578" s="2" t="s">
        <v>252</v>
      </c>
      <c r="B1578" s="2" t="s">
        <v>1018</v>
      </c>
      <c r="C1578" s="5" t="s">
        <v>993</v>
      </c>
      <c r="D1578" s="2" t="s">
        <v>3004</v>
      </c>
    </row>
    <row r="1579" spans="1:4" ht="13.05" customHeight="1" x14ac:dyDescent="0.3">
      <c r="A1579" s="2" t="s">
        <v>252</v>
      </c>
      <c r="B1579" s="2" t="s">
        <v>1018</v>
      </c>
      <c r="C1579" s="5" t="s">
        <v>995</v>
      </c>
      <c r="D1579" s="2" t="s">
        <v>3005</v>
      </c>
    </row>
    <row r="1580" spans="1:4" ht="13.05" customHeight="1" x14ac:dyDescent="0.3">
      <c r="A1580" s="2" t="s">
        <v>252</v>
      </c>
      <c r="B1580" s="2" t="s">
        <v>1018</v>
      </c>
      <c r="C1580" s="5" t="s">
        <v>997</v>
      </c>
      <c r="D1580" s="2" t="s">
        <v>3006</v>
      </c>
    </row>
    <row r="1581" spans="1:4" ht="13.05" customHeight="1" x14ac:dyDescent="0.3">
      <c r="A1581" s="2" t="s">
        <v>252</v>
      </c>
      <c r="B1581" s="2" t="s">
        <v>1018</v>
      </c>
      <c r="C1581" s="5" t="s">
        <v>999</v>
      </c>
      <c r="D1581" s="2" t="s">
        <v>3007</v>
      </c>
    </row>
    <row r="1582" spans="1:4" ht="13.05" customHeight="1" x14ac:dyDescent="0.3">
      <c r="A1582" s="2" t="s">
        <v>252</v>
      </c>
      <c r="B1582" s="2" t="s">
        <v>1018</v>
      </c>
      <c r="C1582" s="5" t="s">
        <v>1001</v>
      </c>
      <c r="D1582" s="2" t="s">
        <v>3008</v>
      </c>
    </row>
    <row r="1583" spans="1:4" ht="13.05" customHeight="1" x14ac:dyDescent="0.3">
      <c r="A1583" s="2" t="s">
        <v>252</v>
      </c>
      <c r="B1583" s="2" t="s">
        <v>1018</v>
      </c>
      <c r="C1583" s="5" t="s">
        <v>1003</v>
      </c>
      <c r="D1583" s="2" t="s">
        <v>3009</v>
      </c>
    </row>
    <row r="1584" spans="1:4" ht="13.05" customHeight="1" x14ac:dyDescent="0.3">
      <c r="A1584" s="2" t="s">
        <v>252</v>
      </c>
      <c r="B1584" s="2" t="s">
        <v>1018</v>
      </c>
      <c r="C1584" s="5" t="s">
        <v>1005</v>
      </c>
      <c r="D1584" s="2" t="s">
        <v>3010</v>
      </c>
    </row>
    <row r="1585" spans="1:4" ht="13.05" customHeight="1" x14ac:dyDescent="0.3">
      <c r="A1585" s="2" t="s">
        <v>260</v>
      </c>
      <c r="B1585" s="2" t="s">
        <v>1018</v>
      </c>
      <c r="C1585" s="5" t="s">
        <v>962</v>
      </c>
      <c r="D1585" s="2" t="s">
        <v>3011</v>
      </c>
    </row>
    <row r="1586" spans="1:4" ht="13.05" customHeight="1" x14ac:dyDescent="0.3">
      <c r="A1586" s="2" t="s">
        <v>260</v>
      </c>
      <c r="B1586" s="2" t="s">
        <v>1018</v>
      </c>
      <c r="C1586" s="5" t="s">
        <v>964</v>
      </c>
      <c r="D1586" s="2" t="s">
        <v>3012</v>
      </c>
    </row>
    <row r="1587" spans="1:4" ht="13.05" customHeight="1" x14ac:dyDescent="0.3">
      <c r="A1587" s="2" t="s">
        <v>260</v>
      </c>
      <c r="B1587" s="2" t="s">
        <v>1018</v>
      </c>
      <c r="C1587" s="5" t="s">
        <v>968</v>
      </c>
      <c r="D1587" s="2" t="s">
        <v>3013</v>
      </c>
    </row>
    <row r="1588" spans="1:4" ht="13.05" customHeight="1" x14ac:dyDescent="0.3">
      <c r="A1588" s="2" t="s">
        <v>260</v>
      </c>
      <c r="B1588" s="2" t="s">
        <v>1018</v>
      </c>
      <c r="C1588" s="5" t="s">
        <v>970</v>
      </c>
      <c r="D1588" s="2" t="s">
        <v>3014</v>
      </c>
    </row>
    <row r="1589" spans="1:4" ht="13.05" customHeight="1" x14ac:dyDescent="0.3">
      <c r="A1589" s="2" t="s">
        <v>260</v>
      </c>
      <c r="B1589" s="2" t="s">
        <v>1018</v>
      </c>
      <c r="C1589" s="5" t="s">
        <v>972</v>
      </c>
      <c r="D1589" s="2" t="s">
        <v>3015</v>
      </c>
    </row>
    <row r="1590" spans="1:4" ht="13.05" customHeight="1" x14ac:dyDescent="0.3">
      <c r="A1590" s="2" t="s">
        <v>260</v>
      </c>
      <c r="B1590" s="2" t="s">
        <v>1018</v>
      </c>
      <c r="C1590" s="5" t="s">
        <v>991</v>
      </c>
      <c r="D1590" s="2" t="s">
        <v>3016</v>
      </c>
    </row>
    <row r="1591" spans="1:4" ht="13.05" customHeight="1" x14ac:dyDescent="0.3">
      <c r="A1591" s="2" t="s">
        <v>260</v>
      </c>
      <c r="B1591" s="2" t="s">
        <v>1018</v>
      </c>
      <c r="C1591" s="5" t="s">
        <v>993</v>
      </c>
      <c r="D1591" s="2" t="s">
        <v>3017</v>
      </c>
    </row>
    <row r="1592" spans="1:4" ht="13.05" customHeight="1" x14ac:dyDescent="0.3">
      <c r="A1592" s="2" t="s">
        <v>260</v>
      </c>
      <c r="B1592" s="2" t="s">
        <v>1018</v>
      </c>
      <c r="C1592" s="5" t="s">
        <v>995</v>
      </c>
      <c r="D1592" s="2" t="s">
        <v>3018</v>
      </c>
    </row>
    <row r="1593" spans="1:4" ht="13.05" customHeight="1" x14ac:dyDescent="0.3">
      <c r="A1593" s="2" t="s">
        <v>260</v>
      </c>
      <c r="B1593" s="2" t="s">
        <v>1018</v>
      </c>
      <c r="C1593" s="5" t="s">
        <v>997</v>
      </c>
      <c r="D1593" s="2" t="s">
        <v>3019</v>
      </c>
    </row>
    <row r="1594" spans="1:4" ht="13.05" customHeight="1" x14ac:dyDescent="0.3">
      <c r="A1594" s="2" t="s">
        <v>260</v>
      </c>
      <c r="B1594" s="2" t="s">
        <v>1018</v>
      </c>
      <c r="C1594" s="5" t="s">
        <v>999</v>
      </c>
      <c r="D1594" s="2" t="s">
        <v>3020</v>
      </c>
    </row>
    <row r="1595" spans="1:4" ht="13.05" customHeight="1" x14ac:dyDescent="0.3">
      <c r="A1595" s="2" t="s">
        <v>260</v>
      </c>
      <c r="B1595" s="2" t="s">
        <v>1018</v>
      </c>
      <c r="C1595" s="5" t="s">
        <v>1001</v>
      </c>
      <c r="D1595" s="2" t="s">
        <v>3021</v>
      </c>
    </row>
    <row r="1596" spans="1:4" ht="13.05" customHeight="1" x14ac:dyDescent="0.3">
      <c r="A1596" s="2" t="s">
        <v>260</v>
      </c>
      <c r="B1596" s="2" t="s">
        <v>1018</v>
      </c>
      <c r="C1596" s="5" t="s">
        <v>1005</v>
      </c>
      <c r="D1596" s="2" t="s">
        <v>3022</v>
      </c>
    </row>
    <row r="1597" spans="1:4" ht="13.05" customHeight="1" x14ac:dyDescent="0.3">
      <c r="A1597" s="2" t="s">
        <v>260</v>
      </c>
      <c r="B1597" s="2" t="s">
        <v>1018</v>
      </c>
      <c r="C1597" s="5" t="s">
        <v>1007</v>
      </c>
      <c r="D1597" s="2" t="s">
        <v>3023</v>
      </c>
    </row>
    <row r="1598" spans="1:4" ht="13.05" customHeight="1" x14ac:dyDescent="0.3">
      <c r="A1598" s="2" t="s">
        <v>260</v>
      </c>
      <c r="B1598" s="2" t="s">
        <v>1018</v>
      </c>
      <c r="C1598" s="5" t="s">
        <v>1009</v>
      </c>
      <c r="D1598" s="2" t="s">
        <v>3024</v>
      </c>
    </row>
    <row r="1599" spans="1:4" ht="13.05" customHeight="1" x14ac:dyDescent="0.3">
      <c r="A1599" s="2" t="s">
        <v>260</v>
      </c>
      <c r="B1599" s="2" t="s">
        <v>1018</v>
      </c>
      <c r="C1599" s="5" t="s">
        <v>1011</v>
      </c>
      <c r="D1599" s="2" t="s">
        <v>3025</v>
      </c>
    </row>
    <row r="1600" spans="1:4" ht="13.05" customHeight="1" x14ac:dyDescent="0.3">
      <c r="A1600" s="2" t="s">
        <v>260</v>
      </c>
      <c r="B1600" s="2" t="s">
        <v>1018</v>
      </c>
      <c r="C1600" s="5" t="s">
        <v>1013</v>
      </c>
      <c r="D1600" s="2" t="s">
        <v>3026</v>
      </c>
    </row>
    <row r="1601" spans="1:4" ht="13.05" customHeight="1" x14ac:dyDescent="0.3">
      <c r="A1601" s="2" t="s">
        <v>260</v>
      </c>
      <c r="B1601" s="2" t="s">
        <v>1018</v>
      </c>
      <c r="C1601" s="5" t="s">
        <v>1155</v>
      </c>
      <c r="D1601" s="2" t="s">
        <v>3027</v>
      </c>
    </row>
    <row r="1602" spans="1:4" ht="13.05" customHeight="1" x14ac:dyDescent="0.3">
      <c r="A1602" s="2" t="s">
        <v>260</v>
      </c>
      <c r="B1602" s="2" t="s">
        <v>1018</v>
      </c>
      <c r="C1602" s="5" t="s">
        <v>1047</v>
      </c>
      <c r="D1602" s="2" t="s">
        <v>3028</v>
      </c>
    </row>
    <row r="1603" spans="1:4" ht="13.05" customHeight="1" x14ac:dyDescent="0.3">
      <c r="A1603" s="2" t="s">
        <v>260</v>
      </c>
      <c r="B1603" s="2" t="s">
        <v>1018</v>
      </c>
      <c r="C1603" s="5" t="s">
        <v>1049</v>
      </c>
      <c r="D1603" s="2" t="s">
        <v>3029</v>
      </c>
    </row>
    <row r="1604" spans="1:4" ht="13.05" customHeight="1" x14ac:dyDescent="0.3">
      <c r="A1604" s="2" t="s">
        <v>260</v>
      </c>
      <c r="B1604" s="2" t="s">
        <v>1018</v>
      </c>
      <c r="C1604" s="5" t="s">
        <v>1051</v>
      </c>
      <c r="D1604" s="2" t="s">
        <v>3030</v>
      </c>
    </row>
    <row r="1605" spans="1:4" ht="13.05" customHeight="1" x14ac:dyDescent="0.3">
      <c r="A1605" s="2" t="s">
        <v>260</v>
      </c>
      <c r="B1605" s="2" t="s">
        <v>1018</v>
      </c>
      <c r="C1605" s="5" t="s">
        <v>1053</v>
      </c>
      <c r="D1605" s="2" t="s">
        <v>3031</v>
      </c>
    </row>
    <row r="1606" spans="1:4" ht="13.05" customHeight="1" x14ac:dyDescent="0.3">
      <c r="A1606" s="2" t="s">
        <v>260</v>
      </c>
      <c r="B1606" s="2" t="s">
        <v>1018</v>
      </c>
      <c r="C1606" s="5" t="s">
        <v>3032</v>
      </c>
      <c r="D1606" s="2" t="s">
        <v>3033</v>
      </c>
    </row>
    <row r="1607" spans="1:4" ht="13.05" customHeight="1" x14ac:dyDescent="0.3">
      <c r="A1607" s="2" t="s">
        <v>260</v>
      </c>
      <c r="B1607" s="2" t="s">
        <v>1018</v>
      </c>
      <c r="C1607" s="5" t="s">
        <v>3034</v>
      </c>
      <c r="D1607" s="2" t="s">
        <v>3035</v>
      </c>
    </row>
    <row r="1608" spans="1:4" ht="13.05" customHeight="1" x14ac:dyDescent="0.3">
      <c r="A1608" s="2" t="s">
        <v>260</v>
      </c>
      <c r="B1608" s="2" t="s">
        <v>1018</v>
      </c>
      <c r="C1608" s="5" t="s">
        <v>3036</v>
      </c>
      <c r="D1608" s="2" t="s">
        <v>3037</v>
      </c>
    </row>
    <row r="1609" spans="1:4" ht="13.05" customHeight="1" x14ac:dyDescent="0.3">
      <c r="A1609" s="2" t="s">
        <v>260</v>
      </c>
      <c r="B1609" s="2" t="s">
        <v>1018</v>
      </c>
      <c r="C1609" s="5" t="s">
        <v>3038</v>
      </c>
      <c r="D1609" s="2" t="s">
        <v>3039</v>
      </c>
    </row>
    <row r="1610" spans="1:4" ht="13.05" customHeight="1" x14ac:dyDescent="0.3">
      <c r="A1610" s="2" t="s">
        <v>260</v>
      </c>
      <c r="B1610" s="2" t="s">
        <v>1018</v>
      </c>
      <c r="C1610" s="5" t="s">
        <v>3040</v>
      </c>
      <c r="D1610" s="2" t="s">
        <v>3041</v>
      </c>
    </row>
    <row r="1611" spans="1:4" ht="13.05" customHeight="1" x14ac:dyDescent="0.3">
      <c r="A1611" s="2" t="s">
        <v>260</v>
      </c>
      <c r="B1611" s="2" t="s">
        <v>1018</v>
      </c>
      <c r="C1611" s="5" t="s">
        <v>1157</v>
      </c>
      <c r="D1611" s="2" t="s">
        <v>3042</v>
      </c>
    </row>
    <row r="1612" spans="1:4" ht="13.05" customHeight="1" x14ac:dyDescent="0.3">
      <c r="A1612" s="2" t="s">
        <v>260</v>
      </c>
      <c r="B1612" s="2" t="s">
        <v>1018</v>
      </c>
      <c r="C1612" s="5" t="s">
        <v>1055</v>
      </c>
      <c r="D1612" s="2" t="s">
        <v>3043</v>
      </c>
    </row>
    <row r="1613" spans="1:4" ht="13.05" customHeight="1" x14ac:dyDescent="0.3">
      <c r="A1613" s="2" t="s">
        <v>260</v>
      </c>
      <c r="B1613" s="2" t="s">
        <v>1018</v>
      </c>
      <c r="C1613" s="5" t="s">
        <v>1057</v>
      </c>
      <c r="D1613" s="2" t="s">
        <v>3044</v>
      </c>
    </row>
    <row r="1614" spans="1:4" ht="13.05" customHeight="1" x14ac:dyDescent="0.3">
      <c r="A1614" s="2" t="s">
        <v>260</v>
      </c>
      <c r="B1614" s="2" t="s">
        <v>1018</v>
      </c>
      <c r="C1614" s="5" t="s">
        <v>1059</v>
      </c>
      <c r="D1614" s="2" t="s">
        <v>3045</v>
      </c>
    </row>
    <row r="1615" spans="1:4" ht="13.05" customHeight="1" x14ac:dyDescent="0.3">
      <c r="A1615" s="2" t="s">
        <v>260</v>
      </c>
      <c r="B1615" s="2" t="s">
        <v>1018</v>
      </c>
      <c r="C1615" s="5" t="s">
        <v>1061</v>
      </c>
      <c r="D1615" s="2" t="s">
        <v>3046</v>
      </c>
    </row>
    <row r="1616" spans="1:4" ht="13.05" customHeight="1" x14ac:dyDescent="0.3">
      <c r="A1616" s="2" t="s">
        <v>260</v>
      </c>
      <c r="B1616" s="2" t="s">
        <v>1018</v>
      </c>
      <c r="C1616" s="5" t="s">
        <v>3047</v>
      </c>
      <c r="D1616" s="2" t="s">
        <v>3048</v>
      </c>
    </row>
    <row r="1617" spans="1:4" ht="13.05" customHeight="1" x14ac:dyDescent="0.3">
      <c r="A1617" s="2" t="s">
        <v>260</v>
      </c>
      <c r="B1617" s="2" t="s">
        <v>1018</v>
      </c>
      <c r="C1617" s="5" t="s">
        <v>3049</v>
      </c>
      <c r="D1617" s="2" t="s">
        <v>3050</v>
      </c>
    </row>
    <row r="1618" spans="1:4" ht="13.05" customHeight="1" x14ac:dyDescent="0.3">
      <c r="A1618" s="2" t="s">
        <v>260</v>
      </c>
      <c r="B1618" s="2" t="s">
        <v>1018</v>
      </c>
      <c r="C1618" s="5" t="s">
        <v>3051</v>
      </c>
      <c r="D1618" s="2" t="s">
        <v>3052</v>
      </c>
    </row>
    <row r="1619" spans="1:4" ht="13.05" customHeight="1" x14ac:dyDescent="0.3">
      <c r="A1619" s="2" t="s">
        <v>260</v>
      </c>
      <c r="B1619" s="2" t="s">
        <v>1018</v>
      </c>
      <c r="C1619" s="5" t="s">
        <v>3053</v>
      </c>
      <c r="D1619" s="2" t="s">
        <v>3054</v>
      </c>
    </row>
    <row r="1620" spans="1:4" ht="13.05" customHeight="1" x14ac:dyDescent="0.3">
      <c r="A1620" s="2" t="s">
        <v>260</v>
      </c>
      <c r="B1620" s="2" t="s">
        <v>1018</v>
      </c>
      <c r="C1620" s="5" t="s">
        <v>3055</v>
      </c>
      <c r="D1620" s="2" t="s">
        <v>3056</v>
      </c>
    </row>
    <row r="1621" spans="1:4" ht="13.05" customHeight="1" x14ac:dyDescent="0.3">
      <c r="A1621" s="2" t="s">
        <v>260</v>
      </c>
      <c r="B1621" s="2" t="s">
        <v>1018</v>
      </c>
      <c r="C1621" s="5" t="s">
        <v>1159</v>
      </c>
      <c r="D1621" s="2" t="s">
        <v>3057</v>
      </c>
    </row>
    <row r="1622" spans="1:4" ht="13.05" customHeight="1" x14ac:dyDescent="0.3">
      <c r="A1622" s="2" t="s">
        <v>260</v>
      </c>
      <c r="B1622" s="2" t="s">
        <v>1018</v>
      </c>
      <c r="C1622" s="5" t="s">
        <v>1063</v>
      </c>
      <c r="D1622" s="2" t="s">
        <v>3058</v>
      </c>
    </row>
    <row r="1623" spans="1:4" ht="13.05" customHeight="1" x14ac:dyDescent="0.3">
      <c r="A1623" s="2" t="s">
        <v>260</v>
      </c>
      <c r="B1623" s="2" t="s">
        <v>1018</v>
      </c>
      <c r="C1623" s="5" t="s">
        <v>1065</v>
      </c>
      <c r="D1623" s="2" t="s">
        <v>3059</v>
      </c>
    </row>
    <row r="1624" spans="1:4" ht="13.05" customHeight="1" x14ac:dyDescent="0.3">
      <c r="A1624" s="2" t="s">
        <v>260</v>
      </c>
      <c r="B1624" s="2" t="s">
        <v>1018</v>
      </c>
      <c r="C1624" s="5" t="s">
        <v>1069</v>
      </c>
      <c r="D1624" s="2" t="s">
        <v>3060</v>
      </c>
    </row>
    <row r="1625" spans="1:4" ht="13.05" customHeight="1" x14ac:dyDescent="0.3">
      <c r="A1625" s="2" t="s">
        <v>260</v>
      </c>
      <c r="B1625" s="2" t="s">
        <v>1018</v>
      </c>
      <c r="C1625" s="5" t="s">
        <v>3061</v>
      </c>
      <c r="D1625" s="2" t="s">
        <v>3062</v>
      </c>
    </row>
    <row r="1626" spans="1:4" ht="13.05" customHeight="1" x14ac:dyDescent="0.3">
      <c r="A1626" s="2" t="s">
        <v>260</v>
      </c>
      <c r="B1626" s="2" t="s">
        <v>1018</v>
      </c>
      <c r="C1626" s="5" t="s">
        <v>3063</v>
      </c>
      <c r="D1626" s="2" t="s">
        <v>3064</v>
      </c>
    </row>
    <row r="1627" spans="1:4" ht="13.05" customHeight="1" x14ac:dyDescent="0.3">
      <c r="A1627" s="2" t="s">
        <v>260</v>
      </c>
      <c r="B1627" s="2" t="s">
        <v>1018</v>
      </c>
      <c r="C1627" s="5" t="s">
        <v>3065</v>
      </c>
      <c r="D1627" s="2" t="s">
        <v>3066</v>
      </c>
    </row>
    <row r="1628" spans="1:4" ht="13.05" customHeight="1" x14ac:dyDescent="0.3">
      <c r="A1628" s="2" t="s">
        <v>260</v>
      </c>
      <c r="B1628" s="2" t="s">
        <v>1018</v>
      </c>
      <c r="C1628" s="5" t="s">
        <v>3067</v>
      </c>
      <c r="D1628" s="2" t="s">
        <v>3068</v>
      </c>
    </row>
    <row r="1629" spans="1:4" ht="13.05" customHeight="1" x14ac:dyDescent="0.3">
      <c r="A1629" s="2" t="s">
        <v>260</v>
      </c>
      <c r="B1629" s="2" t="s">
        <v>1018</v>
      </c>
      <c r="C1629" s="5" t="s">
        <v>3069</v>
      </c>
      <c r="D1629" s="2" t="s">
        <v>3070</v>
      </c>
    </row>
    <row r="1630" spans="1:4" ht="13.05" customHeight="1" x14ac:dyDescent="0.3">
      <c r="A1630" s="2" t="s">
        <v>260</v>
      </c>
      <c r="B1630" s="2" t="s">
        <v>1018</v>
      </c>
      <c r="C1630" s="5" t="s">
        <v>1161</v>
      </c>
      <c r="D1630" s="2" t="s">
        <v>3071</v>
      </c>
    </row>
    <row r="1631" spans="1:4" ht="13.05" customHeight="1" x14ac:dyDescent="0.3">
      <c r="A1631" s="2" t="s">
        <v>260</v>
      </c>
      <c r="B1631" s="2" t="s">
        <v>1018</v>
      </c>
      <c r="C1631" s="5" t="s">
        <v>1071</v>
      </c>
      <c r="D1631" s="2" t="s">
        <v>3072</v>
      </c>
    </row>
    <row r="1632" spans="1:4" ht="13.05" customHeight="1" x14ac:dyDescent="0.3">
      <c r="A1632" s="2" t="s">
        <v>260</v>
      </c>
      <c r="B1632" s="2" t="s">
        <v>1018</v>
      </c>
      <c r="C1632" s="5" t="s">
        <v>1075</v>
      </c>
      <c r="D1632" s="2" t="s">
        <v>3073</v>
      </c>
    </row>
    <row r="1633" spans="1:4" ht="13.05" customHeight="1" x14ac:dyDescent="0.3">
      <c r="A1633" s="2" t="s">
        <v>260</v>
      </c>
      <c r="B1633" s="2" t="s">
        <v>1018</v>
      </c>
      <c r="C1633" s="5" t="s">
        <v>1077</v>
      </c>
      <c r="D1633" s="2" t="s">
        <v>3074</v>
      </c>
    </row>
    <row r="1634" spans="1:4" ht="13.05" customHeight="1" x14ac:dyDescent="0.3">
      <c r="A1634" s="2" t="s">
        <v>260</v>
      </c>
      <c r="B1634" s="2" t="s">
        <v>1018</v>
      </c>
      <c r="C1634" s="5" t="s">
        <v>3075</v>
      </c>
      <c r="D1634" s="2" t="s">
        <v>3076</v>
      </c>
    </row>
    <row r="1635" spans="1:4" ht="13.05" customHeight="1" x14ac:dyDescent="0.3">
      <c r="A1635" s="2" t="s">
        <v>260</v>
      </c>
      <c r="B1635" s="2" t="s">
        <v>1018</v>
      </c>
      <c r="C1635" s="5" t="s">
        <v>3077</v>
      </c>
      <c r="D1635" s="2" t="s">
        <v>3078</v>
      </c>
    </row>
    <row r="1636" spans="1:4" ht="13.05" customHeight="1" x14ac:dyDescent="0.3">
      <c r="A1636" s="2" t="s">
        <v>265</v>
      </c>
      <c r="B1636" s="2" t="s">
        <v>1018</v>
      </c>
      <c r="C1636" s="5" t="s">
        <v>956</v>
      </c>
      <c r="D1636" s="2" t="s">
        <v>1025</v>
      </c>
    </row>
    <row r="1637" spans="1:4" ht="13.05" customHeight="1" x14ac:dyDescent="0.3">
      <c r="A1637" s="2" t="s">
        <v>265</v>
      </c>
      <c r="B1637" s="2" t="s">
        <v>1018</v>
      </c>
      <c r="C1637" s="5" t="s">
        <v>958</v>
      </c>
      <c r="D1637" s="2" t="s">
        <v>959</v>
      </c>
    </row>
    <row r="1638" spans="1:4" ht="13.05" customHeight="1" x14ac:dyDescent="0.3">
      <c r="A1638" s="2" t="s">
        <v>265</v>
      </c>
      <c r="B1638" s="2" t="s">
        <v>1018</v>
      </c>
      <c r="C1638" s="5" t="s">
        <v>962</v>
      </c>
      <c r="D1638" s="2" t="s">
        <v>3079</v>
      </c>
    </row>
    <row r="1639" spans="1:4" ht="13.05" customHeight="1" x14ac:dyDescent="0.3">
      <c r="A1639" s="2" t="s">
        <v>265</v>
      </c>
      <c r="B1639" s="2" t="s">
        <v>1018</v>
      </c>
      <c r="C1639" s="5" t="s">
        <v>964</v>
      </c>
      <c r="D1639" s="2" t="s">
        <v>3080</v>
      </c>
    </row>
    <row r="1640" spans="1:4" ht="13.05" customHeight="1" x14ac:dyDescent="0.3">
      <c r="A1640" s="2" t="s">
        <v>265</v>
      </c>
      <c r="B1640" s="2" t="s">
        <v>1018</v>
      </c>
      <c r="C1640" s="5" t="s">
        <v>983</v>
      </c>
      <c r="D1640" s="2" t="s">
        <v>3081</v>
      </c>
    </row>
    <row r="1641" spans="1:4" ht="13.05" customHeight="1" x14ac:dyDescent="0.3">
      <c r="A1641" s="2" t="s">
        <v>270</v>
      </c>
      <c r="B1641" s="2" t="s">
        <v>1018</v>
      </c>
      <c r="C1641" s="5" t="s">
        <v>974</v>
      </c>
      <c r="D1641" s="2" t="s">
        <v>975</v>
      </c>
    </row>
    <row r="1642" spans="1:4" ht="13.05" customHeight="1" x14ac:dyDescent="0.3">
      <c r="A1642" s="2" t="s">
        <v>270</v>
      </c>
      <c r="B1642" s="2" t="s">
        <v>1018</v>
      </c>
      <c r="C1642" s="5" t="s">
        <v>960</v>
      </c>
      <c r="D1642" s="2" t="s">
        <v>961</v>
      </c>
    </row>
    <row r="1643" spans="1:4" ht="13.05" customHeight="1" x14ac:dyDescent="0.3">
      <c r="A1643" s="2" t="s">
        <v>275</v>
      </c>
      <c r="B1643" s="2" t="s">
        <v>1132</v>
      </c>
      <c r="C1643" s="5" t="s">
        <v>956</v>
      </c>
      <c r="D1643" s="2" t="s">
        <v>1025</v>
      </c>
    </row>
    <row r="1644" spans="1:4" ht="13.05" customHeight="1" x14ac:dyDescent="0.3">
      <c r="A1644" s="2" t="s">
        <v>275</v>
      </c>
      <c r="B1644" s="2" t="s">
        <v>1132</v>
      </c>
      <c r="C1644" s="5" t="s">
        <v>958</v>
      </c>
      <c r="D1644" s="2" t="s">
        <v>1019</v>
      </c>
    </row>
    <row r="1645" spans="1:4" ht="13.05" customHeight="1" x14ac:dyDescent="0.3">
      <c r="A1645" s="2" t="s">
        <v>275</v>
      </c>
      <c r="B1645" s="2" t="s">
        <v>1132</v>
      </c>
      <c r="C1645" s="5" t="s">
        <v>960</v>
      </c>
      <c r="D1645" s="2" t="s">
        <v>961</v>
      </c>
    </row>
    <row r="1646" spans="1:4" ht="13.05" customHeight="1" x14ac:dyDescent="0.3">
      <c r="A1646" s="2" t="s">
        <v>278</v>
      </c>
      <c r="B1646" s="2" t="s">
        <v>1132</v>
      </c>
      <c r="C1646" s="5" t="s">
        <v>960</v>
      </c>
      <c r="D1646" s="2" t="s">
        <v>961</v>
      </c>
    </row>
    <row r="1647" spans="1:4" ht="13.05" customHeight="1" x14ac:dyDescent="0.3">
      <c r="A1647" s="2" t="s">
        <v>281</v>
      </c>
      <c r="B1647" s="2" t="s">
        <v>1018</v>
      </c>
      <c r="C1647" s="5" t="s">
        <v>3032</v>
      </c>
      <c r="D1647" s="2" t="s">
        <v>3082</v>
      </c>
    </row>
    <row r="1648" spans="1:4" ht="13.05" customHeight="1" x14ac:dyDescent="0.3">
      <c r="A1648" s="2" t="s">
        <v>281</v>
      </c>
      <c r="B1648" s="2" t="s">
        <v>1018</v>
      </c>
      <c r="C1648" s="5" t="s">
        <v>3083</v>
      </c>
      <c r="D1648" s="2" t="s">
        <v>3084</v>
      </c>
    </row>
    <row r="1649" spans="1:4" ht="13.05" customHeight="1" x14ac:dyDescent="0.3">
      <c r="A1649" s="2" t="s">
        <v>281</v>
      </c>
      <c r="B1649" s="2" t="s">
        <v>1018</v>
      </c>
      <c r="C1649" s="5" t="s">
        <v>3085</v>
      </c>
      <c r="D1649" s="2" t="s">
        <v>3086</v>
      </c>
    </row>
    <row r="1650" spans="1:4" ht="13.05" customHeight="1" x14ac:dyDescent="0.3">
      <c r="A1650" s="2" t="s">
        <v>281</v>
      </c>
      <c r="B1650" s="2" t="s">
        <v>1018</v>
      </c>
      <c r="C1650" s="5" t="s">
        <v>3087</v>
      </c>
      <c r="D1650" s="2" t="s">
        <v>3088</v>
      </c>
    </row>
    <row r="1651" spans="1:4" ht="13.05" customHeight="1" x14ac:dyDescent="0.3">
      <c r="A1651" s="2" t="s">
        <v>281</v>
      </c>
      <c r="B1651" s="2" t="s">
        <v>1018</v>
      </c>
      <c r="C1651" s="5" t="s">
        <v>1176</v>
      </c>
      <c r="D1651" s="2" t="s">
        <v>1177</v>
      </c>
    </row>
    <row r="1652" spans="1:4" ht="13.05" customHeight="1" x14ac:dyDescent="0.3">
      <c r="A1652" s="2" t="s">
        <v>281</v>
      </c>
      <c r="B1652" s="2" t="s">
        <v>1018</v>
      </c>
      <c r="C1652" s="5" t="s">
        <v>1178</v>
      </c>
      <c r="D1652" s="2" t="s">
        <v>1179</v>
      </c>
    </row>
    <row r="1653" spans="1:4" ht="13.05" customHeight="1" x14ac:dyDescent="0.3">
      <c r="A1653" s="2" t="s">
        <v>281</v>
      </c>
      <c r="B1653" s="2" t="s">
        <v>1018</v>
      </c>
      <c r="C1653" s="5" t="s">
        <v>1180</v>
      </c>
      <c r="D1653" s="2" t="s">
        <v>1181</v>
      </c>
    </row>
    <row r="1654" spans="1:4" ht="13.05" customHeight="1" x14ac:dyDescent="0.3">
      <c r="A1654" s="2" t="s">
        <v>281</v>
      </c>
      <c r="B1654" s="2" t="s">
        <v>1018</v>
      </c>
      <c r="C1654" s="5" t="s">
        <v>3089</v>
      </c>
      <c r="D1654" s="2" t="s">
        <v>3090</v>
      </c>
    </row>
    <row r="1655" spans="1:4" ht="13.05" customHeight="1" x14ac:dyDescent="0.3">
      <c r="A1655" s="2" t="s">
        <v>285</v>
      </c>
      <c r="B1655" s="2" t="s">
        <v>1018</v>
      </c>
      <c r="C1655" s="5" t="s">
        <v>974</v>
      </c>
      <c r="D1655" s="2" t="s">
        <v>975</v>
      </c>
    </row>
    <row r="1656" spans="1:4" ht="13.05" customHeight="1" x14ac:dyDescent="0.3">
      <c r="A1656" s="2" t="s">
        <v>285</v>
      </c>
      <c r="B1656" s="2" t="s">
        <v>1018</v>
      </c>
      <c r="C1656" s="5" t="s">
        <v>1152</v>
      </c>
      <c r="D1656" s="2" t="s">
        <v>1153</v>
      </c>
    </row>
    <row r="1657" spans="1:4" ht="13.05" customHeight="1" x14ac:dyDescent="0.3">
      <c r="A1657" s="2" t="s">
        <v>285</v>
      </c>
      <c r="B1657" s="2" t="s">
        <v>1018</v>
      </c>
      <c r="C1657" s="5" t="s">
        <v>970</v>
      </c>
      <c r="D1657" s="2" t="s">
        <v>1154</v>
      </c>
    </row>
    <row r="1658" spans="1:4" ht="13.05" customHeight="1" x14ac:dyDescent="0.3">
      <c r="A1658" s="2" t="s">
        <v>285</v>
      </c>
      <c r="B1658" s="2" t="s">
        <v>1018</v>
      </c>
      <c r="C1658" s="5" t="s">
        <v>1155</v>
      </c>
      <c r="D1658" s="2" t="s">
        <v>1156</v>
      </c>
    </row>
    <row r="1659" spans="1:4" ht="13.05" customHeight="1" x14ac:dyDescent="0.3">
      <c r="A1659" s="2" t="s">
        <v>285</v>
      </c>
      <c r="B1659" s="2" t="s">
        <v>1018</v>
      </c>
      <c r="C1659" s="5" t="s">
        <v>1157</v>
      </c>
      <c r="D1659" s="2" t="s">
        <v>1158</v>
      </c>
    </row>
    <row r="1660" spans="1:4" ht="13.05" customHeight="1" x14ac:dyDescent="0.3">
      <c r="A1660" s="2" t="s">
        <v>285</v>
      </c>
      <c r="B1660" s="2" t="s">
        <v>1018</v>
      </c>
      <c r="C1660" s="5" t="s">
        <v>1159</v>
      </c>
      <c r="D1660" s="2" t="s">
        <v>1160</v>
      </c>
    </row>
    <row r="1661" spans="1:4" ht="13.05" customHeight="1" x14ac:dyDescent="0.3">
      <c r="A1661" s="2" t="s">
        <v>285</v>
      </c>
      <c r="B1661" s="2" t="s">
        <v>1018</v>
      </c>
      <c r="C1661" s="5" t="s">
        <v>1161</v>
      </c>
      <c r="D1661" s="2" t="s">
        <v>1162</v>
      </c>
    </row>
    <row r="1662" spans="1:4" ht="13.05" customHeight="1" x14ac:dyDescent="0.3">
      <c r="A1662" s="2" t="s">
        <v>285</v>
      </c>
      <c r="B1662" s="2" t="s">
        <v>1018</v>
      </c>
      <c r="C1662" s="5" t="s">
        <v>1163</v>
      </c>
      <c r="D1662" s="2" t="s">
        <v>1164</v>
      </c>
    </row>
    <row r="1663" spans="1:4" ht="13.05" customHeight="1" x14ac:dyDescent="0.3">
      <c r="A1663" s="2" t="s">
        <v>285</v>
      </c>
      <c r="B1663" s="2" t="s">
        <v>1018</v>
      </c>
      <c r="C1663" s="5" t="s">
        <v>1165</v>
      </c>
      <c r="D1663" s="2" t="s">
        <v>1166</v>
      </c>
    </row>
    <row r="1664" spans="1:4" ht="13.05" customHeight="1" x14ac:dyDescent="0.3">
      <c r="A1664" s="2" t="s">
        <v>285</v>
      </c>
      <c r="B1664" s="2" t="s">
        <v>1018</v>
      </c>
      <c r="C1664" s="5" t="s">
        <v>1167</v>
      </c>
      <c r="D1664" s="2" t="s">
        <v>1168</v>
      </c>
    </row>
    <row r="1665" spans="1:4" ht="13.05" customHeight="1" x14ac:dyDescent="0.3">
      <c r="A1665" s="2" t="s">
        <v>285</v>
      </c>
      <c r="B1665" s="2" t="s">
        <v>1018</v>
      </c>
      <c r="C1665" s="5" t="s">
        <v>1169</v>
      </c>
      <c r="D1665" s="2" t="s">
        <v>1170</v>
      </c>
    </row>
    <row r="1666" spans="1:4" ht="13.05" customHeight="1" x14ac:dyDescent="0.3">
      <c r="A1666" s="2" t="s">
        <v>285</v>
      </c>
      <c r="B1666" s="2" t="s">
        <v>1018</v>
      </c>
      <c r="C1666" s="5" t="s">
        <v>1171</v>
      </c>
      <c r="D1666" s="2" t="s">
        <v>1172</v>
      </c>
    </row>
    <row r="1667" spans="1:4" ht="13.05" customHeight="1" x14ac:dyDescent="0.3">
      <c r="A1667" s="2" t="s">
        <v>287</v>
      </c>
      <c r="B1667" s="2" t="s">
        <v>1018</v>
      </c>
      <c r="C1667" s="5" t="s">
        <v>974</v>
      </c>
      <c r="D1667" s="2" t="s">
        <v>975</v>
      </c>
    </row>
    <row r="1668" spans="1:4" ht="13.05" customHeight="1" x14ac:dyDescent="0.3">
      <c r="A1668" s="2" t="s">
        <v>289</v>
      </c>
      <c r="B1668" s="2" t="s">
        <v>1018</v>
      </c>
      <c r="C1668" s="5" t="s">
        <v>1161</v>
      </c>
      <c r="D1668" s="2" t="s">
        <v>1173</v>
      </c>
    </row>
    <row r="1669" spans="1:4" ht="13.05" customHeight="1" x14ac:dyDescent="0.3">
      <c r="A1669" s="2" t="s">
        <v>289</v>
      </c>
      <c r="B1669" s="2" t="s">
        <v>1018</v>
      </c>
      <c r="C1669" s="5" t="s">
        <v>1174</v>
      </c>
      <c r="D1669" s="2" t="s">
        <v>1175</v>
      </c>
    </row>
    <row r="1670" spans="1:4" ht="13.05" customHeight="1" x14ac:dyDescent="0.3">
      <c r="A1670" s="2" t="s">
        <v>289</v>
      </c>
      <c r="B1670" s="2" t="s">
        <v>1018</v>
      </c>
      <c r="C1670" s="5" t="s">
        <v>1176</v>
      </c>
      <c r="D1670" s="2" t="s">
        <v>1177</v>
      </c>
    </row>
    <row r="1671" spans="1:4" ht="13.05" customHeight="1" x14ac:dyDescent="0.3">
      <c r="A1671" s="2" t="s">
        <v>289</v>
      </c>
      <c r="B1671" s="2" t="s">
        <v>1018</v>
      </c>
      <c r="C1671" s="5" t="s">
        <v>1178</v>
      </c>
      <c r="D1671" s="2" t="s">
        <v>1179</v>
      </c>
    </row>
    <row r="1672" spans="1:4" ht="13.05" customHeight="1" x14ac:dyDescent="0.3">
      <c r="A1672" s="2" t="s">
        <v>289</v>
      </c>
      <c r="B1672" s="2" t="s">
        <v>1018</v>
      </c>
      <c r="C1672" s="5" t="s">
        <v>1180</v>
      </c>
      <c r="D1672" s="2" t="s">
        <v>1181</v>
      </c>
    </row>
    <row r="1673" spans="1:4" ht="13.05" customHeight="1" x14ac:dyDescent="0.3">
      <c r="A1673" s="2" t="s">
        <v>289</v>
      </c>
      <c r="B1673" s="2" t="s">
        <v>1018</v>
      </c>
      <c r="C1673" s="5" t="s">
        <v>1182</v>
      </c>
      <c r="D1673" s="2" t="s">
        <v>1183</v>
      </c>
    </row>
    <row r="1674" spans="1:4" ht="13.05" customHeight="1" x14ac:dyDescent="0.3">
      <c r="A1674" s="2" t="s">
        <v>289</v>
      </c>
      <c r="B1674" s="2" t="s">
        <v>1018</v>
      </c>
      <c r="C1674" s="5" t="s">
        <v>1184</v>
      </c>
      <c r="D1674" s="2" t="s">
        <v>1185</v>
      </c>
    </row>
    <row r="1675" spans="1:4" ht="13.05" customHeight="1" x14ac:dyDescent="0.3">
      <c r="A1675" s="2" t="s">
        <v>289</v>
      </c>
      <c r="B1675" s="2" t="s">
        <v>1018</v>
      </c>
      <c r="C1675" s="5" t="s">
        <v>1186</v>
      </c>
      <c r="D1675" s="2" t="s">
        <v>1187</v>
      </c>
    </row>
    <row r="1676" spans="1:4" ht="13.05" customHeight="1" x14ac:dyDescent="0.3">
      <c r="A1676" s="2" t="s">
        <v>293</v>
      </c>
      <c r="B1676" s="2" t="s">
        <v>1018</v>
      </c>
      <c r="C1676" s="5" t="s">
        <v>1161</v>
      </c>
      <c r="D1676" s="2" t="s">
        <v>1173</v>
      </c>
    </row>
    <row r="1677" spans="1:4" ht="13.05" customHeight="1" x14ac:dyDescent="0.3">
      <c r="A1677" s="2" t="s">
        <v>293</v>
      </c>
      <c r="B1677" s="2" t="s">
        <v>1018</v>
      </c>
      <c r="C1677" s="5" t="s">
        <v>1174</v>
      </c>
      <c r="D1677" s="2" t="s">
        <v>1175</v>
      </c>
    </row>
    <row r="1678" spans="1:4" ht="13.05" customHeight="1" x14ac:dyDescent="0.3">
      <c r="A1678" s="2" t="s">
        <v>293</v>
      </c>
      <c r="B1678" s="2" t="s">
        <v>1018</v>
      </c>
      <c r="C1678" s="5" t="s">
        <v>1176</v>
      </c>
      <c r="D1678" s="2" t="s">
        <v>1177</v>
      </c>
    </row>
    <row r="1679" spans="1:4" ht="13.05" customHeight="1" x14ac:dyDescent="0.3">
      <c r="A1679" s="2" t="s">
        <v>293</v>
      </c>
      <c r="B1679" s="2" t="s">
        <v>1018</v>
      </c>
      <c r="C1679" s="5" t="s">
        <v>1178</v>
      </c>
      <c r="D1679" s="2" t="s">
        <v>1179</v>
      </c>
    </row>
    <row r="1680" spans="1:4" ht="13.05" customHeight="1" x14ac:dyDescent="0.3">
      <c r="A1680" s="2" t="s">
        <v>293</v>
      </c>
      <c r="B1680" s="2" t="s">
        <v>1018</v>
      </c>
      <c r="C1680" s="5" t="s">
        <v>1180</v>
      </c>
      <c r="D1680" s="2" t="s">
        <v>1181</v>
      </c>
    </row>
    <row r="1681" spans="1:4" ht="13.05" customHeight="1" x14ac:dyDescent="0.3">
      <c r="A1681" s="2" t="s">
        <v>293</v>
      </c>
      <c r="B1681" s="2" t="s">
        <v>1018</v>
      </c>
      <c r="C1681" s="5" t="s">
        <v>1182</v>
      </c>
      <c r="D1681" s="2" t="s">
        <v>1183</v>
      </c>
    </row>
    <row r="1682" spans="1:4" ht="13.05" customHeight="1" x14ac:dyDescent="0.3">
      <c r="A1682" s="2" t="s">
        <v>293</v>
      </c>
      <c r="B1682" s="2" t="s">
        <v>1018</v>
      </c>
      <c r="C1682" s="5" t="s">
        <v>1184</v>
      </c>
      <c r="D1682" s="2" t="s">
        <v>1185</v>
      </c>
    </row>
    <row r="1683" spans="1:4" ht="13.05" customHeight="1" x14ac:dyDescent="0.3">
      <c r="A1683" s="2" t="s">
        <v>293</v>
      </c>
      <c r="B1683" s="2" t="s">
        <v>1018</v>
      </c>
      <c r="C1683" s="5" t="s">
        <v>1186</v>
      </c>
      <c r="D1683" s="2" t="s">
        <v>1187</v>
      </c>
    </row>
    <row r="1684" spans="1:4" ht="13.05" customHeight="1" x14ac:dyDescent="0.3">
      <c r="A1684" s="2" t="s">
        <v>297</v>
      </c>
      <c r="B1684" s="2" t="s">
        <v>985</v>
      </c>
      <c r="C1684" s="5" t="s">
        <v>962</v>
      </c>
      <c r="D1684" s="2" t="s">
        <v>1039</v>
      </c>
    </row>
    <row r="1685" spans="1:4" ht="13.05" customHeight="1" x14ac:dyDescent="0.3">
      <c r="A1685" s="2" t="s">
        <v>297</v>
      </c>
      <c r="B1685" s="2" t="s">
        <v>985</v>
      </c>
      <c r="C1685" s="5" t="s">
        <v>964</v>
      </c>
      <c r="D1685" s="2" t="s">
        <v>1040</v>
      </c>
    </row>
    <row r="1686" spans="1:4" ht="13.05" customHeight="1" x14ac:dyDescent="0.3">
      <c r="A1686" s="2" t="s">
        <v>299</v>
      </c>
      <c r="B1686" s="2" t="s">
        <v>955</v>
      </c>
      <c r="C1686" s="5" t="s">
        <v>960</v>
      </c>
      <c r="D1686" s="2" t="s">
        <v>961</v>
      </c>
    </row>
    <row r="1687" spans="1:4" ht="13.05" customHeight="1" x14ac:dyDescent="0.3">
      <c r="A1687" s="2" t="s">
        <v>302</v>
      </c>
      <c r="B1687" s="2" t="s">
        <v>1018</v>
      </c>
      <c r="C1687" s="5" t="s">
        <v>956</v>
      </c>
      <c r="D1687" s="2" t="s">
        <v>1025</v>
      </c>
    </row>
    <row r="1688" spans="1:4" ht="13.05" customHeight="1" x14ac:dyDescent="0.3">
      <c r="A1688" s="2" t="s">
        <v>302</v>
      </c>
      <c r="B1688" s="2" t="s">
        <v>1018</v>
      </c>
      <c r="C1688" s="5" t="s">
        <v>958</v>
      </c>
      <c r="D1688" s="2" t="s">
        <v>1019</v>
      </c>
    </row>
    <row r="1689" spans="1:4" ht="13.05" customHeight="1" x14ac:dyDescent="0.3">
      <c r="A1689" s="2" t="s">
        <v>302</v>
      </c>
      <c r="B1689" s="2" t="s">
        <v>1018</v>
      </c>
      <c r="C1689" s="5" t="s">
        <v>960</v>
      </c>
      <c r="D1689" s="2" t="s">
        <v>961</v>
      </c>
    </row>
    <row r="1690" spans="1:4" ht="13.05" customHeight="1" x14ac:dyDescent="0.3">
      <c r="A1690" s="2" t="s">
        <v>302</v>
      </c>
      <c r="B1690" s="2" t="s">
        <v>1018</v>
      </c>
      <c r="C1690" s="5" t="s">
        <v>962</v>
      </c>
      <c r="D1690" s="2" t="s">
        <v>3091</v>
      </c>
    </row>
    <row r="1691" spans="1:4" ht="13.05" customHeight="1" x14ac:dyDescent="0.3">
      <c r="A1691" s="2" t="s">
        <v>302</v>
      </c>
      <c r="B1691" s="2" t="s">
        <v>1018</v>
      </c>
      <c r="C1691" s="5" t="s">
        <v>964</v>
      </c>
      <c r="D1691" s="2" t="s">
        <v>1131</v>
      </c>
    </row>
    <row r="1692" spans="1:4" ht="13.05" customHeight="1" x14ac:dyDescent="0.3">
      <c r="A1692" s="2" t="s">
        <v>305</v>
      </c>
      <c r="B1692" s="2" t="s">
        <v>1018</v>
      </c>
      <c r="C1692" s="5" t="s">
        <v>962</v>
      </c>
      <c r="D1692" s="2" t="s">
        <v>3092</v>
      </c>
    </row>
    <row r="1693" spans="1:4" ht="13.05" customHeight="1" x14ac:dyDescent="0.3">
      <c r="A1693" s="2" t="s">
        <v>305</v>
      </c>
      <c r="B1693" s="2" t="s">
        <v>1018</v>
      </c>
      <c r="C1693" s="5" t="s">
        <v>964</v>
      </c>
      <c r="D1693" s="2" t="s">
        <v>3093</v>
      </c>
    </row>
    <row r="1694" spans="1:4" ht="13.05" customHeight="1" x14ac:dyDescent="0.3">
      <c r="A1694" s="2" t="s">
        <v>310</v>
      </c>
      <c r="B1694" s="2" t="s">
        <v>1018</v>
      </c>
      <c r="C1694" s="5" t="s">
        <v>974</v>
      </c>
      <c r="D1694" s="2" t="s">
        <v>975</v>
      </c>
    </row>
    <row r="1695" spans="1:4" ht="13.05" customHeight="1" x14ac:dyDescent="0.3">
      <c r="A1695" s="2" t="s">
        <v>310</v>
      </c>
      <c r="B1695" s="2" t="s">
        <v>1018</v>
      </c>
      <c r="C1695" s="5" t="s">
        <v>960</v>
      </c>
      <c r="D1695" s="2" t="s">
        <v>961</v>
      </c>
    </row>
    <row r="1696" spans="1:4" ht="13.05" customHeight="1" x14ac:dyDescent="0.3">
      <c r="A1696" s="2" t="s">
        <v>312</v>
      </c>
      <c r="B1696" s="2" t="s">
        <v>1018</v>
      </c>
      <c r="C1696" s="5" t="s">
        <v>974</v>
      </c>
      <c r="D1696" s="2" t="s">
        <v>975</v>
      </c>
    </row>
    <row r="1697" spans="1:4" ht="13.05" customHeight="1" x14ac:dyDescent="0.3">
      <c r="A1697" s="2" t="s">
        <v>312</v>
      </c>
      <c r="B1697" s="2" t="s">
        <v>1018</v>
      </c>
      <c r="C1697" s="5" t="s">
        <v>962</v>
      </c>
      <c r="D1697" s="2" t="s">
        <v>3094</v>
      </c>
    </row>
    <row r="1698" spans="1:4" ht="13.05" customHeight="1" x14ac:dyDescent="0.3">
      <c r="A1698" s="2" t="s">
        <v>312</v>
      </c>
      <c r="B1698" s="2" t="s">
        <v>1018</v>
      </c>
      <c r="C1698" s="5" t="s">
        <v>964</v>
      </c>
      <c r="D1698" s="2" t="s">
        <v>3095</v>
      </c>
    </row>
    <row r="1699" spans="1:4" ht="13.05" customHeight="1" x14ac:dyDescent="0.3">
      <c r="A1699" s="2" t="s">
        <v>312</v>
      </c>
      <c r="B1699" s="2" t="s">
        <v>1018</v>
      </c>
      <c r="C1699" s="5" t="s">
        <v>966</v>
      </c>
      <c r="D1699" s="2" t="s">
        <v>3096</v>
      </c>
    </row>
    <row r="1700" spans="1:4" ht="13.05" customHeight="1" x14ac:dyDescent="0.3">
      <c r="A1700" s="2" t="s">
        <v>312</v>
      </c>
      <c r="B1700" s="2" t="s">
        <v>1018</v>
      </c>
      <c r="C1700" s="5" t="s">
        <v>968</v>
      </c>
      <c r="D1700" s="2" t="s">
        <v>3097</v>
      </c>
    </row>
    <row r="1701" spans="1:4" ht="13.05" customHeight="1" x14ac:dyDescent="0.3">
      <c r="A1701" s="2" t="s">
        <v>312</v>
      </c>
      <c r="B1701" s="2" t="s">
        <v>1018</v>
      </c>
      <c r="C1701" s="5" t="s">
        <v>970</v>
      </c>
      <c r="D1701" s="2" t="s">
        <v>3098</v>
      </c>
    </row>
    <row r="1702" spans="1:4" ht="13.05" customHeight="1" x14ac:dyDescent="0.3">
      <c r="A1702" s="2" t="s">
        <v>312</v>
      </c>
      <c r="B1702" s="2" t="s">
        <v>1018</v>
      </c>
      <c r="C1702" s="5" t="s">
        <v>972</v>
      </c>
      <c r="D1702" s="2" t="s">
        <v>3099</v>
      </c>
    </row>
    <row r="1703" spans="1:4" ht="13.05" customHeight="1" x14ac:dyDescent="0.3">
      <c r="A1703" s="2" t="s">
        <v>312</v>
      </c>
      <c r="B1703" s="2" t="s">
        <v>1018</v>
      </c>
      <c r="C1703" s="5" t="s">
        <v>981</v>
      </c>
      <c r="D1703" s="2" t="s">
        <v>3100</v>
      </c>
    </row>
    <row r="1704" spans="1:4" ht="13.05" customHeight="1" x14ac:dyDescent="0.3">
      <c r="A1704" s="2" t="s">
        <v>312</v>
      </c>
      <c r="B1704" s="2" t="s">
        <v>1018</v>
      </c>
      <c r="C1704" s="5" t="s">
        <v>991</v>
      </c>
      <c r="D1704" s="2" t="s">
        <v>3101</v>
      </c>
    </row>
    <row r="1705" spans="1:4" ht="13.05" customHeight="1" x14ac:dyDescent="0.3">
      <c r="A1705" s="2" t="s">
        <v>312</v>
      </c>
      <c r="B1705" s="2" t="s">
        <v>1018</v>
      </c>
      <c r="C1705" s="5" t="s">
        <v>993</v>
      </c>
      <c r="D1705" s="2" t="s">
        <v>3102</v>
      </c>
    </row>
    <row r="1706" spans="1:4" ht="13.05" customHeight="1" x14ac:dyDescent="0.3">
      <c r="A1706" s="2" t="s">
        <v>312</v>
      </c>
      <c r="B1706" s="2" t="s">
        <v>1018</v>
      </c>
      <c r="C1706" s="5" t="s">
        <v>995</v>
      </c>
      <c r="D1706" s="2" t="s">
        <v>3103</v>
      </c>
    </row>
    <row r="1707" spans="1:4" ht="13.05" customHeight="1" x14ac:dyDescent="0.3">
      <c r="A1707" s="2" t="s">
        <v>319</v>
      </c>
      <c r="B1707" s="2" t="s">
        <v>1038</v>
      </c>
      <c r="C1707" s="5" t="s">
        <v>962</v>
      </c>
      <c r="D1707" s="2" t="s">
        <v>3104</v>
      </c>
    </row>
    <row r="1708" spans="1:4" ht="13.05" customHeight="1" x14ac:dyDescent="0.3">
      <c r="A1708" s="2" t="s">
        <v>319</v>
      </c>
      <c r="B1708" s="2" t="s">
        <v>1038</v>
      </c>
      <c r="C1708" s="5" t="s">
        <v>964</v>
      </c>
      <c r="D1708" s="2" t="s">
        <v>3105</v>
      </c>
    </row>
    <row r="1709" spans="1:4" ht="13.05" customHeight="1" x14ac:dyDescent="0.3">
      <c r="A1709" s="2" t="s">
        <v>319</v>
      </c>
      <c r="B1709" s="2" t="s">
        <v>1038</v>
      </c>
      <c r="C1709" s="5" t="s">
        <v>966</v>
      </c>
      <c r="D1709" s="2" t="s">
        <v>3106</v>
      </c>
    </row>
    <row r="1710" spans="1:4" ht="13.05" customHeight="1" x14ac:dyDescent="0.3">
      <c r="A1710" s="2" t="s">
        <v>319</v>
      </c>
      <c r="B1710" s="2" t="s">
        <v>1038</v>
      </c>
      <c r="C1710" s="5" t="s">
        <v>968</v>
      </c>
      <c r="D1710" s="2" t="s">
        <v>3107</v>
      </c>
    </row>
    <row r="1711" spans="1:4" ht="13.05" customHeight="1" x14ac:dyDescent="0.3">
      <c r="A1711" s="2" t="s">
        <v>325</v>
      </c>
      <c r="B1711" s="2" t="s">
        <v>955</v>
      </c>
      <c r="C1711" s="5" t="s">
        <v>974</v>
      </c>
      <c r="D1711" s="2" t="s">
        <v>975</v>
      </c>
    </row>
    <row r="1712" spans="1:4" ht="13.05" customHeight="1" x14ac:dyDescent="0.3">
      <c r="A1712" s="2" t="s">
        <v>325</v>
      </c>
      <c r="B1712" s="2" t="s">
        <v>955</v>
      </c>
      <c r="C1712" s="5" t="s">
        <v>956</v>
      </c>
      <c r="D1712" s="2" t="s">
        <v>1025</v>
      </c>
    </row>
    <row r="1713" spans="1:4" ht="13.05" customHeight="1" x14ac:dyDescent="0.3">
      <c r="A1713" s="2" t="s">
        <v>325</v>
      </c>
      <c r="B1713" s="2" t="s">
        <v>955</v>
      </c>
      <c r="C1713" s="5" t="s">
        <v>958</v>
      </c>
      <c r="D1713" s="2" t="s">
        <v>1019</v>
      </c>
    </row>
    <row r="1714" spans="1:4" ht="13.05" customHeight="1" x14ac:dyDescent="0.3">
      <c r="A1714" s="2" t="s">
        <v>325</v>
      </c>
      <c r="B1714" s="2" t="s">
        <v>955</v>
      </c>
      <c r="C1714" s="5" t="s">
        <v>960</v>
      </c>
      <c r="D1714" s="2" t="s">
        <v>961</v>
      </c>
    </row>
    <row r="1715" spans="1:4" ht="13.05" customHeight="1" x14ac:dyDescent="0.3">
      <c r="A1715" s="2" t="s">
        <v>328</v>
      </c>
      <c r="B1715" s="2" t="s">
        <v>955</v>
      </c>
      <c r="C1715" s="5" t="s">
        <v>974</v>
      </c>
      <c r="D1715" s="2" t="s">
        <v>975</v>
      </c>
    </row>
    <row r="1716" spans="1:4" ht="13.05" customHeight="1" x14ac:dyDescent="0.3">
      <c r="A1716" s="2" t="s">
        <v>328</v>
      </c>
      <c r="B1716" s="2" t="s">
        <v>955</v>
      </c>
      <c r="C1716" s="5" t="s">
        <v>956</v>
      </c>
      <c r="D1716" s="2" t="s">
        <v>957</v>
      </c>
    </row>
    <row r="1717" spans="1:4" ht="13.05" customHeight="1" x14ac:dyDescent="0.3">
      <c r="A1717" s="2" t="s">
        <v>328</v>
      </c>
      <c r="B1717" s="2" t="s">
        <v>955</v>
      </c>
      <c r="C1717" s="5" t="s">
        <v>958</v>
      </c>
      <c r="D1717" s="2" t="s">
        <v>959</v>
      </c>
    </row>
    <row r="1718" spans="1:4" ht="13.05" customHeight="1" x14ac:dyDescent="0.3">
      <c r="A1718" s="2" t="s">
        <v>328</v>
      </c>
      <c r="B1718" s="2" t="s">
        <v>955</v>
      </c>
      <c r="C1718" s="5" t="s">
        <v>962</v>
      </c>
      <c r="D1718" s="2" t="s">
        <v>3108</v>
      </c>
    </row>
    <row r="1719" spans="1:4" ht="13.05" customHeight="1" x14ac:dyDescent="0.3">
      <c r="A1719" s="2" t="s">
        <v>328</v>
      </c>
      <c r="B1719" s="2" t="s">
        <v>955</v>
      </c>
      <c r="C1719" s="5" t="s">
        <v>964</v>
      </c>
      <c r="D1719" s="2" t="s">
        <v>3109</v>
      </c>
    </row>
    <row r="1720" spans="1:4" ht="13.05" customHeight="1" x14ac:dyDescent="0.3">
      <c r="A1720" s="2" t="s">
        <v>328</v>
      </c>
      <c r="B1720" s="2" t="s">
        <v>955</v>
      </c>
      <c r="C1720" s="5" t="s">
        <v>966</v>
      </c>
      <c r="D1720" s="2" t="s">
        <v>3110</v>
      </c>
    </row>
    <row r="1721" spans="1:4" ht="13.05" customHeight="1" x14ac:dyDescent="0.3">
      <c r="A1721" s="2" t="s">
        <v>328</v>
      </c>
      <c r="B1721" s="2" t="s">
        <v>955</v>
      </c>
      <c r="C1721" s="5" t="s">
        <v>968</v>
      </c>
      <c r="D1721" s="2" t="s">
        <v>3111</v>
      </c>
    </row>
    <row r="1722" spans="1:4" ht="13.05" customHeight="1" x14ac:dyDescent="0.3">
      <c r="A1722" s="2" t="s">
        <v>328</v>
      </c>
      <c r="B1722" s="2" t="s">
        <v>955</v>
      </c>
      <c r="C1722" s="5" t="s">
        <v>970</v>
      </c>
      <c r="D1722" s="2" t="s">
        <v>3112</v>
      </c>
    </row>
    <row r="1723" spans="1:4" ht="13.05" customHeight="1" x14ac:dyDescent="0.3">
      <c r="A1723" s="2" t="s">
        <v>331</v>
      </c>
      <c r="B1723" s="2" t="s">
        <v>985</v>
      </c>
      <c r="C1723" s="5" t="s">
        <v>1146</v>
      </c>
      <c r="D1723" s="2" t="s">
        <v>957</v>
      </c>
    </row>
    <row r="1724" spans="1:4" ht="13.05" customHeight="1" x14ac:dyDescent="0.3">
      <c r="A1724" s="2" t="s">
        <v>331</v>
      </c>
      <c r="B1724" s="2" t="s">
        <v>985</v>
      </c>
      <c r="C1724" s="5" t="s">
        <v>956</v>
      </c>
      <c r="D1724" s="2" t="s">
        <v>957</v>
      </c>
    </row>
    <row r="1725" spans="1:4" ht="13.05" customHeight="1" x14ac:dyDescent="0.3">
      <c r="A1725" s="2" t="s">
        <v>331</v>
      </c>
      <c r="B1725" s="2" t="s">
        <v>985</v>
      </c>
      <c r="C1725" s="5" t="s">
        <v>962</v>
      </c>
      <c r="D1725" s="2" t="s">
        <v>3113</v>
      </c>
    </row>
    <row r="1726" spans="1:4" ht="13.05" customHeight="1" x14ac:dyDescent="0.3">
      <c r="A1726" s="2" t="s">
        <v>331</v>
      </c>
      <c r="B1726" s="2" t="s">
        <v>985</v>
      </c>
      <c r="C1726" s="5" t="s">
        <v>964</v>
      </c>
      <c r="D1726" s="2" t="s">
        <v>3114</v>
      </c>
    </row>
    <row r="1727" spans="1:4" ht="13.05" customHeight="1" x14ac:dyDescent="0.3">
      <c r="A1727" s="2" t="s">
        <v>331</v>
      </c>
      <c r="B1727" s="2" t="s">
        <v>985</v>
      </c>
      <c r="C1727" s="5" t="s">
        <v>966</v>
      </c>
      <c r="D1727" s="2" t="s">
        <v>3115</v>
      </c>
    </row>
    <row r="1728" spans="1:4" ht="13.05" customHeight="1" x14ac:dyDescent="0.3">
      <c r="A1728" s="2" t="s">
        <v>331</v>
      </c>
      <c r="B1728" s="2" t="s">
        <v>985</v>
      </c>
      <c r="C1728" s="5" t="s">
        <v>972</v>
      </c>
      <c r="D1728" s="2" t="s">
        <v>3116</v>
      </c>
    </row>
    <row r="1729" spans="1:4" ht="13.05" customHeight="1" x14ac:dyDescent="0.3">
      <c r="A1729" s="2" t="s">
        <v>331</v>
      </c>
      <c r="B1729" s="2" t="s">
        <v>985</v>
      </c>
      <c r="C1729" s="5" t="s">
        <v>981</v>
      </c>
      <c r="D1729" s="2" t="s">
        <v>3117</v>
      </c>
    </row>
    <row r="1730" spans="1:4" ht="13.05" customHeight="1" x14ac:dyDescent="0.3">
      <c r="A1730" s="2" t="s">
        <v>331</v>
      </c>
      <c r="B1730" s="2" t="s">
        <v>985</v>
      </c>
      <c r="C1730" s="5" t="s">
        <v>991</v>
      </c>
      <c r="D1730" s="2" t="s">
        <v>3118</v>
      </c>
    </row>
    <row r="1731" spans="1:4" ht="13.05" customHeight="1" x14ac:dyDescent="0.3">
      <c r="A1731" s="2" t="s">
        <v>331</v>
      </c>
      <c r="B1731" s="2" t="s">
        <v>985</v>
      </c>
      <c r="C1731" s="5" t="s">
        <v>993</v>
      </c>
      <c r="D1731" s="2" t="s">
        <v>3119</v>
      </c>
    </row>
    <row r="1732" spans="1:4" ht="13.05" customHeight="1" x14ac:dyDescent="0.3">
      <c r="A1732" s="2" t="s">
        <v>331</v>
      </c>
      <c r="B1732" s="2" t="s">
        <v>985</v>
      </c>
      <c r="C1732" s="5" t="s">
        <v>995</v>
      </c>
      <c r="D1732" s="2" t="s">
        <v>3120</v>
      </c>
    </row>
    <row r="1733" spans="1:4" ht="13.05" customHeight="1" x14ac:dyDescent="0.3">
      <c r="A1733" s="2" t="s">
        <v>331</v>
      </c>
      <c r="B1733" s="2" t="s">
        <v>985</v>
      </c>
      <c r="C1733" s="5" t="s">
        <v>999</v>
      </c>
      <c r="D1733" s="2" t="s">
        <v>3121</v>
      </c>
    </row>
    <row r="1734" spans="1:4" ht="13.05" customHeight="1" x14ac:dyDescent="0.3">
      <c r="A1734" s="2" t="s">
        <v>331</v>
      </c>
      <c r="B1734" s="2" t="s">
        <v>985</v>
      </c>
      <c r="C1734" s="5" t="s">
        <v>1001</v>
      </c>
      <c r="D1734" s="2" t="s">
        <v>3122</v>
      </c>
    </row>
    <row r="1735" spans="1:4" ht="13.05" customHeight="1" x14ac:dyDescent="0.3">
      <c r="A1735" s="2" t="s">
        <v>331</v>
      </c>
      <c r="B1735" s="2" t="s">
        <v>985</v>
      </c>
      <c r="C1735" s="5" t="s">
        <v>1003</v>
      </c>
      <c r="D1735" s="2" t="s">
        <v>3123</v>
      </c>
    </row>
    <row r="1736" spans="1:4" ht="13.05" customHeight="1" x14ac:dyDescent="0.3">
      <c r="A1736" s="2" t="s">
        <v>331</v>
      </c>
      <c r="B1736" s="2" t="s">
        <v>985</v>
      </c>
      <c r="C1736" s="5" t="s">
        <v>1011</v>
      </c>
      <c r="D1736" s="2" t="s">
        <v>3124</v>
      </c>
    </row>
    <row r="1737" spans="1:4" ht="13.05" customHeight="1" x14ac:dyDescent="0.3">
      <c r="A1737" s="2" t="s">
        <v>331</v>
      </c>
      <c r="B1737" s="2" t="s">
        <v>985</v>
      </c>
      <c r="C1737" s="5" t="s">
        <v>1013</v>
      </c>
      <c r="D1737" s="2" t="s">
        <v>3125</v>
      </c>
    </row>
    <row r="1738" spans="1:4" ht="13.05" customHeight="1" x14ac:dyDescent="0.3">
      <c r="A1738" s="2" t="s">
        <v>331</v>
      </c>
      <c r="B1738" s="2" t="s">
        <v>985</v>
      </c>
      <c r="C1738" s="5" t="s">
        <v>1155</v>
      </c>
      <c r="D1738" s="2" t="s">
        <v>3126</v>
      </c>
    </row>
    <row r="1739" spans="1:4" ht="13.05" customHeight="1" x14ac:dyDescent="0.3">
      <c r="A1739" s="2" t="s">
        <v>331</v>
      </c>
      <c r="B1739" s="2" t="s">
        <v>985</v>
      </c>
      <c r="C1739" s="5" t="s">
        <v>1047</v>
      </c>
      <c r="D1739" s="2" t="s">
        <v>3127</v>
      </c>
    </row>
    <row r="1740" spans="1:4" ht="13.05" customHeight="1" x14ac:dyDescent="0.3">
      <c r="A1740" s="2" t="s">
        <v>331</v>
      </c>
      <c r="B1740" s="2" t="s">
        <v>985</v>
      </c>
      <c r="C1740" s="5" t="s">
        <v>1049</v>
      </c>
      <c r="D1740" s="2" t="s">
        <v>3128</v>
      </c>
    </row>
    <row r="1741" spans="1:4" ht="13.05" customHeight="1" x14ac:dyDescent="0.3">
      <c r="A1741" s="2" t="s">
        <v>331</v>
      </c>
      <c r="B1741" s="2" t="s">
        <v>985</v>
      </c>
      <c r="C1741" s="5" t="s">
        <v>1051</v>
      </c>
      <c r="D1741" s="2" t="s">
        <v>3129</v>
      </c>
    </row>
    <row r="1742" spans="1:4" ht="13.05" customHeight="1" x14ac:dyDescent="0.3">
      <c r="A1742" s="2" t="s">
        <v>331</v>
      </c>
      <c r="B1742" s="2" t="s">
        <v>985</v>
      </c>
      <c r="C1742" s="5" t="s">
        <v>1053</v>
      </c>
      <c r="D1742" s="2" t="s">
        <v>3130</v>
      </c>
    </row>
    <row r="1743" spans="1:4" ht="13.05" customHeight="1" x14ac:dyDescent="0.3">
      <c r="A1743" s="2" t="s">
        <v>331</v>
      </c>
      <c r="B1743" s="2" t="s">
        <v>985</v>
      </c>
      <c r="C1743" s="5" t="s">
        <v>3032</v>
      </c>
      <c r="D1743" s="2" t="s">
        <v>3131</v>
      </c>
    </row>
    <row r="1744" spans="1:4" ht="13.05" customHeight="1" x14ac:dyDescent="0.3">
      <c r="A1744" s="2" t="s">
        <v>331</v>
      </c>
      <c r="B1744" s="2" t="s">
        <v>985</v>
      </c>
      <c r="C1744" s="5" t="s">
        <v>3034</v>
      </c>
      <c r="D1744" s="2" t="s">
        <v>3132</v>
      </c>
    </row>
    <row r="1745" spans="1:4" ht="13.05" customHeight="1" x14ac:dyDescent="0.3">
      <c r="A1745" s="2" t="s">
        <v>331</v>
      </c>
      <c r="B1745" s="2" t="s">
        <v>985</v>
      </c>
      <c r="C1745" s="5" t="s">
        <v>3040</v>
      </c>
      <c r="D1745" s="2" t="s">
        <v>3133</v>
      </c>
    </row>
    <row r="1746" spans="1:4" ht="13.05" customHeight="1" x14ac:dyDescent="0.3">
      <c r="A1746" s="2" t="s">
        <v>331</v>
      </c>
      <c r="B1746" s="2" t="s">
        <v>985</v>
      </c>
      <c r="C1746" s="5" t="s">
        <v>1157</v>
      </c>
      <c r="D1746" s="2" t="s">
        <v>3134</v>
      </c>
    </row>
    <row r="1747" spans="1:4" ht="13.05" customHeight="1" x14ac:dyDescent="0.3">
      <c r="A1747" s="2" t="s">
        <v>331</v>
      </c>
      <c r="B1747" s="2" t="s">
        <v>985</v>
      </c>
      <c r="C1747" s="5" t="s">
        <v>1055</v>
      </c>
      <c r="D1747" s="2" t="s">
        <v>3135</v>
      </c>
    </row>
    <row r="1748" spans="1:4" ht="13.05" customHeight="1" x14ac:dyDescent="0.3">
      <c r="A1748" s="2" t="s">
        <v>331</v>
      </c>
      <c r="B1748" s="2" t="s">
        <v>985</v>
      </c>
      <c r="C1748" s="5" t="s">
        <v>1057</v>
      </c>
      <c r="D1748" s="2" t="s">
        <v>3136</v>
      </c>
    </row>
    <row r="1749" spans="1:4" ht="13.05" customHeight="1" x14ac:dyDescent="0.3">
      <c r="A1749" s="2" t="s">
        <v>331</v>
      </c>
      <c r="B1749" s="2" t="s">
        <v>985</v>
      </c>
      <c r="C1749" s="5" t="s">
        <v>1059</v>
      </c>
      <c r="D1749" s="2" t="s">
        <v>3137</v>
      </c>
    </row>
    <row r="1750" spans="1:4" ht="13.05" customHeight="1" x14ac:dyDescent="0.3">
      <c r="A1750" s="2" t="s">
        <v>331</v>
      </c>
      <c r="B1750" s="2" t="s">
        <v>985</v>
      </c>
      <c r="C1750" s="5" t="s">
        <v>1061</v>
      </c>
      <c r="D1750" s="2" t="s">
        <v>3138</v>
      </c>
    </row>
    <row r="1751" spans="1:4" ht="13.05" customHeight="1" x14ac:dyDescent="0.3">
      <c r="A1751" s="2" t="s">
        <v>331</v>
      </c>
      <c r="B1751" s="2" t="s">
        <v>985</v>
      </c>
      <c r="C1751" s="5" t="s">
        <v>3047</v>
      </c>
      <c r="D1751" s="2" t="s">
        <v>3139</v>
      </c>
    </row>
    <row r="1752" spans="1:4" ht="13.05" customHeight="1" x14ac:dyDescent="0.3">
      <c r="A1752" s="2" t="s">
        <v>331</v>
      </c>
      <c r="B1752" s="2" t="s">
        <v>985</v>
      </c>
      <c r="C1752" s="5" t="s">
        <v>3049</v>
      </c>
      <c r="D1752" s="2" t="s">
        <v>3140</v>
      </c>
    </row>
    <row r="1753" spans="1:4" ht="13.05" customHeight="1" x14ac:dyDescent="0.3">
      <c r="A1753" s="2" t="s">
        <v>331</v>
      </c>
      <c r="B1753" s="2" t="s">
        <v>985</v>
      </c>
      <c r="C1753" s="5" t="s">
        <v>3051</v>
      </c>
      <c r="D1753" s="2" t="s">
        <v>3141</v>
      </c>
    </row>
    <row r="1754" spans="1:4" ht="13.05" customHeight="1" x14ac:dyDescent="0.3">
      <c r="A1754" s="2" t="s">
        <v>331</v>
      </c>
      <c r="B1754" s="2" t="s">
        <v>985</v>
      </c>
      <c r="C1754" s="5" t="s">
        <v>3053</v>
      </c>
      <c r="D1754" s="2" t="s">
        <v>3142</v>
      </c>
    </row>
    <row r="1755" spans="1:4" ht="13.05" customHeight="1" x14ac:dyDescent="0.3">
      <c r="A1755" s="2" t="s">
        <v>331</v>
      </c>
      <c r="B1755" s="2" t="s">
        <v>985</v>
      </c>
      <c r="C1755" s="5" t="s">
        <v>3055</v>
      </c>
      <c r="D1755" s="2" t="s">
        <v>3143</v>
      </c>
    </row>
    <row r="1756" spans="1:4" ht="13.05" customHeight="1" x14ac:dyDescent="0.3">
      <c r="A1756" s="2" t="s">
        <v>331</v>
      </c>
      <c r="B1756" s="2" t="s">
        <v>985</v>
      </c>
      <c r="C1756" s="5" t="s">
        <v>1159</v>
      </c>
      <c r="D1756" s="2" t="s">
        <v>3144</v>
      </c>
    </row>
    <row r="1757" spans="1:4" ht="13.05" customHeight="1" x14ac:dyDescent="0.3">
      <c r="A1757" s="2" t="s">
        <v>331</v>
      </c>
      <c r="B1757" s="2" t="s">
        <v>985</v>
      </c>
      <c r="C1757" s="5" t="s">
        <v>1063</v>
      </c>
      <c r="D1757" s="2" t="s">
        <v>3145</v>
      </c>
    </row>
    <row r="1758" spans="1:4" ht="13.05" customHeight="1" x14ac:dyDescent="0.3">
      <c r="A1758" s="2" t="s">
        <v>331</v>
      </c>
      <c r="B1758" s="2" t="s">
        <v>985</v>
      </c>
      <c r="C1758" s="5" t="s">
        <v>1065</v>
      </c>
      <c r="D1758" s="2" t="s">
        <v>3146</v>
      </c>
    </row>
    <row r="1759" spans="1:4" ht="13.05" customHeight="1" x14ac:dyDescent="0.3">
      <c r="A1759" s="2" t="s">
        <v>331</v>
      </c>
      <c r="B1759" s="2" t="s">
        <v>985</v>
      </c>
      <c r="C1759" s="5" t="s">
        <v>1067</v>
      </c>
      <c r="D1759" s="2" t="s">
        <v>3147</v>
      </c>
    </row>
    <row r="1760" spans="1:4" ht="13.05" customHeight="1" x14ac:dyDescent="0.3">
      <c r="A1760" s="2" t="s">
        <v>331</v>
      </c>
      <c r="B1760" s="2" t="s">
        <v>985</v>
      </c>
      <c r="C1760" s="5" t="s">
        <v>1069</v>
      </c>
      <c r="D1760" s="2" t="s">
        <v>3148</v>
      </c>
    </row>
    <row r="1761" spans="1:4" ht="13.05" customHeight="1" x14ac:dyDescent="0.3">
      <c r="A1761" s="2" t="s">
        <v>331</v>
      </c>
      <c r="B1761" s="2" t="s">
        <v>985</v>
      </c>
      <c r="C1761" s="5" t="s">
        <v>3061</v>
      </c>
      <c r="D1761" s="2" t="s">
        <v>3149</v>
      </c>
    </row>
    <row r="1762" spans="1:4" ht="13.05" customHeight="1" x14ac:dyDescent="0.3">
      <c r="A1762" s="2" t="s">
        <v>331</v>
      </c>
      <c r="B1762" s="2" t="s">
        <v>985</v>
      </c>
      <c r="C1762" s="5" t="s">
        <v>3063</v>
      </c>
      <c r="D1762" s="2" t="s">
        <v>3150</v>
      </c>
    </row>
    <row r="1763" spans="1:4" ht="13.05" customHeight="1" x14ac:dyDescent="0.3">
      <c r="A1763" s="2" t="s">
        <v>331</v>
      </c>
      <c r="B1763" s="2" t="s">
        <v>985</v>
      </c>
      <c r="C1763" s="5" t="s">
        <v>3065</v>
      </c>
      <c r="D1763" s="2" t="s">
        <v>3151</v>
      </c>
    </row>
    <row r="1764" spans="1:4" ht="13.05" customHeight="1" x14ac:dyDescent="0.3">
      <c r="A1764" s="2" t="s">
        <v>331</v>
      </c>
      <c r="B1764" s="2" t="s">
        <v>985</v>
      </c>
      <c r="C1764" s="5" t="s">
        <v>3067</v>
      </c>
      <c r="D1764" s="2" t="s">
        <v>3152</v>
      </c>
    </row>
    <row r="1765" spans="1:4" ht="13.05" customHeight="1" x14ac:dyDescent="0.3">
      <c r="A1765" s="2" t="s">
        <v>331</v>
      </c>
      <c r="B1765" s="2" t="s">
        <v>985</v>
      </c>
      <c r="C1765" s="5" t="s">
        <v>3069</v>
      </c>
      <c r="D1765" s="2" t="s">
        <v>3153</v>
      </c>
    </row>
    <row r="1766" spans="1:4" ht="13.05" customHeight="1" x14ac:dyDescent="0.3">
      <c r="A1766" s="2" t="s">
        <v>331</v>
      </c>
      <c r="B1766" s="2" t="s">
        <v>985</v>
      </c>
      <c r="C1766" s="5" t="s">
        <v>1161</v>
      </c>
      <c r="D1766" s="2" t="s">
        <v>3154</v>
      </c>
    </row>
    <row r="1767" spans="1:4" ht="13.05" customHeight="1" x14ac:dyDescent="0.3">
      <c r="A1767" s="2" t="s">
        <v>331</v>
      </c>
      <c r="B1767" s="2" t="s">
        <v>985</v>
      </c>
      <c r="C1767" s="5" t="s">
        <v>1071</v>
      </c>
      <c r="D1767" s="2" t="s">
        <v>3155</v>
      </c>
    </row>
    <row r="1768" spans="1:4" ht="13.05" customHeight="1" x14ac:dyDescent="0.3">
      <c r="A1768" s="2" t="s">
        <v>331</v>
      </c>
      <c r="B1768" s="2" t="s">
        <v>985</v>
      </c>
      <c r="C1768" s="5" t="s">
        <v>1073</v>
      </c>
      <c r="D1768" s="2" t="s">
        <v>3156</v>
      </c>
    </row>
    <row r="1769" spans="1:4" ht="13.05" customHeight="1" x14ac:dyDescent="0.3">
      <c r="A1769" s="2" t="s">
        <v>331</v>
      </c>
      <c r="B1769" s="2" t="s">
        <v>985</v>
      </c>
      <c r="C1769" s="5" t="s">
        <v>1075</v>
      </c>
      <c r="D1769" s="2" t="s">
        <v>3157</v>
      </c>
    </row>
    <row r="1770" spans="1:4" ht="13.05" customHeight="1" x14ac:dyDescent="0.3">
      <c r="A1770" s="2" t="s">
        <v>331</v>
      </c>
      <c r="B1770" s="2" t="s">
        <v>985</v>
      </c>
      <c r="C1770" s="5" t="s">
        <v>1077</v>
      </c>
      <c r="D1770" s="2" t="s">
        <v>3158</v>
      </c>
    </row>
    <row r="1771" spans="1:4" ht="13.05" customHeight="1" x14ac:dyDescent="0.3">
      <c r="A1771" s="2" t="s">
        <v>331</v>
      </c>
      <c r="B1771" s="2" t="s">
        <v>985</v>
      </c>
      <c r="C1771" s="5" t="s">
        <v>3075</v>
      </c>
      <c r="D1771" s="2" t="s">
        <v>3159</v>
      </c>
    </row>
    <row r="1772" spans="1:4" ht="13.05" customHeight="1" x14ac:dyDescent="0.3">
      <c r="A1772" s="2" t="s">
        <v>331</v>
      </c>
      <c r="B1772" s="2" t="s">
        <v>985</v>
      </c>
      <c r="C1772" s="5" t="s">
        <v>3077</v>
      </c>
      <c r="D1772" s="2" t="s">
        <v>3160</v>
      </c>
    </row>
    <row r="1773" spans="1:4" ht="13.05" customHeight="1" x14ac:dyDescent="0.3">
      <c r="A1773" s="2" t="s">
        <v>331</v>
      </c>
      <c r="B1773" s="2" t="s">
        <v>985</v>
      </c>
      <c r="C1773" s="5" t="s">
        <v>3161</v>
      </c>
      <c r="D1773" s="2" t="s">
        <v>3162</v>
      </c>
    </row>
    <row r="1774" spans="1:4" ht="13.05" customHeight="1" x14ac:dyDescent="0.3">
      <c r="A1774" s="2" t="s">
        <v>331</v>
      </c>
      <c r="B1774" s="2" t="s">
        <v>985</v>
      </c>
      <c r="C1774" s="5" t="s">
        <v>3163</v>
      </c>
      <c r="D1774" s="2" t="s">
        <v>3164</v>
      </c>
    </row>
    <row r="1775" spans="1:4" ht="13.05" customHeight="1" x14ac:dyDescent="0.3">
      <c r="A1775" s="2" t="s">
        <v>331</v>
      </c>
      <c r="B1775" s="2" t="s">
        <v>985</v>
      </c>
      <c r="C1775" s="5" t="s">
        <v>3165</v>
      </c>
      <c r="D1775" s="2" t="s">
        <v>3166</v>
      </c>
    </row>
    <row r="1776" spans="1:4" ht="13.05" customHeight="1" x14ac:dyDescent="0.3">
      <c r="A1776" s="2" t="s">
        <v>331</v>
      </c>
      <c r="B1776" s="2" t="s">
        <v>985</v>
      </c>
      <c r="C1776" s="5" t="s">
        <v>1163</v>
      </c>
      <c r="D1776" s="2" t="s">
        <v>3167</v>
      </c>
    </row>
    <row r="1777" spans="1:4" ht="13.05" customHeight="1" x14ac:dyDescent="0.3">
      <c r="A1777" s="2" t="s">
        <v>331</v>
      </c>
      <c r="B1777" s="2" t="s">
        <v>985</v>
      </c>
      <c r="C1777" s="5" t="s">
        <v>1079</v>
      </c>
      <c r="D1777" s="2" t="s">
        <v>3168</v>
      </c>
    </row>
    <row r="1778" spans="1:4" ht="13.05" customHeight="1" x14ac:dyDescent="0.3">
      <c r="A1778" s="2" t="s">
        <v>331</v>
      </c>
      <c r="B1778" s="2" t="s">
        <v>985</v>
      </c>
      <c r="C1778" s="5" t="s">
        <v>1081</v>
      </c>
      <c r="D1778" s="2" t="s">
        <v>3169</v>
      </c>
    </row>
    <row r="1779" spans="1:4" ht="13.05" customHeight="1" x14ac:dyDescent="0.3">
      <c r="A1779" s="2" t="s">
        <v>331</v>
      </c>
      <c r="B1779" s="2" t="s">
        <v>985</v>
      </c>
      <c r="C1779" s="5" t="s">
        <v>1083</v>
      </c>
      <c r="D1779" s="2" t="s">
        <v>3170</v>
      </c>
    </row>
    <row r="1780" spans="1:4" ht="13.05" customHeight="1" x14ac:dyDescent="0.3">
      <c r="A1780" s="2" t="s">
        <v>331</v>
      </c>
      <c r="B1780" s="2" t="s">
        <v>985</v>
      </c>
      <c r="C1780" s="5" t="s">
        <v>1085</v>
      </c>
      <c r="D1780" s="2" t="s">
        <v>3171</v>
      </c>
    </row>
    <row r="1781" spans="1:4" ht="13.05" customHeight="1" x14ac:dyDescent="0.3">
      <c r="A1781" s="2" t="s">
        <v>331</v>
      </c>
      <c r="B1781" s="2" t="s">
        <v>985</v>
      </c>
      <c r="C1781" s="5" t="s">
        <v>3172</v>
      </c>
      <c r="D1781" s="2" t="s">
        <v>3173</v>
      </c>
    </row>
    <row r="1782" spans="1:4" ht="13.05" customHeight="1" x14ac:dyDescent="0.3">
      <c r="A1782" s="2" t="s">
        <v>331</v>
      </c>
      <c r="B1782" s="2" t="s">
        <v>985</v>
      </c>
      <c r="C1782" s="5" t="s">
        <v>3174</v>
      </c>
      <c r="D1782" s="2" t="s">
        <v>3175</v>
      </c>
    </row>
    <row r="1783" spans="1:4" ht="13.05" customHeight="1" x14ac:dyDescent="0.3">
      <c r="A1783" s="2" t="s">
        <v>331</v>
      </c>
      <c r="B1783" s="2" t="s">
        <v>985</v>
      </c>
      <c r="C1783" s="5" t="s">
        <v>3176</v>
      </c>
      <c r="D1783" s="2" t="s">
        <v>3177</v>
      </c>
    </row>
    <row r="1784" spans="1:4" ht="13.05" customHeight="1" x14ac:dyDescent="0.3">
      <c r="A1784" s="2" t="s">
        <v>331</v>
      </c>
      <c r="B1784" s="2" t="s">
        <v>985</v>
      </c>
      <c r="C1784" s="5" t="s">
        <v>1165</v>
      </c>
      <c r="D1784" s="2" t="s">
        <v>3178</v>
      </c>
    </row>
    <row r="1785" spans="1:4" ht="13.05" customHeight="1" x14ac:dyDescent="0.3">
      <c r="A1785" s="2" t="s">
        <v>331</v>
      </c>
      <c r="B1785" s="2" t="s">
        <v>985</v>
      </c>
      <c r="C1785" s="5" t="s">
        <v>1087</v>
      </c>
      <c r="D1785" s="2" t="s">
        <v>3179</v>
      </c>
    </row>
    <row r="1786" spans="1:4" ht="13.05" customHeight="1" x14ac:dyDescent="0.3">
      <c r="A1786" s="2" t="s">
        <v>331</v>
      </c>
      <c r="B1786" s="2" t="s">
        <v>985</v>
      </c>
      <c r="C1786" s="5" t="s">
        <v>1089</v>
      </c>
      <c r="D1786" s="2" t="s">
        <v>3180</v>
      </c>
    </row>
    <row r="1787" spans="1:4" ht="13.05" customHeight="1" x14ac:dyDescent="0.3">
      <c r="A1787" s="2" t="s">
        <v>331</v>
      </c>
      <c r="B1787" s="2" t="s">
        <v>985</v>
      </c>
      <c r="C1787" s="5" t="s">
        <v>1091</v>
      </c>
      <c r="D1787" s="2" t="s">
        <v>3181</v>
      </c>
    </row>
    <row r="1788" spans="1:4" ht="13.05" customHeight="1" x14ac:dyDescent="0.3">
      <c r="A1788" s="2" t="s">
        <v>331</v>
      </c>
      <c r="B1788" s="2" t="s">
        <v>985</v>
      </c>
      <c r="C1788" s="5" t="s">
        <v>1093</v>
      </c>
      <c r="D1788" s="2" t="s">
        <v>3182</v>
      </c>
    </row>
    <row r="1789" spans="1:4" ht="13.05" customHeight="1" x14ac:dyDescent="0.3">
      <c r="A1789" s="2" t="s">
        <v>331</v>
      </c>
      <c r="B1789" s="2" t="s">
        <v>985</v>
      </c>
      <c r="C1789" s="5" t="s">
        <v>3083</v>
      </c>
      <c r="D1789" s="2" t="s">
        <v>3183</v>
      </c>
    </row>
    <row r="1790" spans="1:4" ht="13.05" customHeight="1" x14ac:dyDescent="0.3">
      <c r="A1790" s="2" t="s">
        <v>331</v>
      </c>
      <c r="B1790" s="2" t="s">
        <v>985</v>
      </c>
      <c r="C1790" s="5" t="s">
        <v>3184</v>
      </c>
      <c r="D1790" s="2" t="s">
        <v>3185</v>
      </c>
    </row>
    <row r="1791" spans="1:4" ht="13.05" customHeight="1" x14ac:dyDescent="0.3">
      <c r="A1791" s="2" t="s">
        <v>331</v>
      </c>
      <c r="B1791" s="2" t="s">
        <v>985</v>
      </c>
      <c r="C1791" s="5" t="s">
        <v>3186</v>
      </c>
      <c r="D1791" s="2" t="s">
        <v>3187</v>
      </c>
    </row>
    <row r="1792" spans="1:4" ht="13.05" customHeight="1" x14ac:dyDescent="0.3">
      <c r="A1792" s="2" t="s">
        <v>331</v>
      </c>
      <c r="B1792" s="2" t="s">
        <v>985</v>
      </c>
      <c r="C1792" s="5" t="s">
        <v>1167</v>
      </c>
      <c r="D1792" s="2" t="s">
        <v>3188</v>
      </c>
    </row>
    <row r="1793" spans="1:4" ht="13.05" customHeight="1" x14ac:dyDescent="0.3">
      <c r="A1793" s="2" t="s">
        <v>331</v>
      </c>
      <c r="B1793" s="2" t="s">
        <v>985</v>
      </c>
      <c r="C1793" s="5" t="s">
        <v>1095</v>
      </c>
      <c r="D1793" s="2" t="s">
        <v>3189</v>
      </c>
    </row>
    <row r="1794" spans="1:4" ht="13.05" customHeight="1" x14ac:dyDescent="0.3">
      <c r="A1794" s="2" t="s">
        <v>331</v>
      </c>
      <c r="B1794" s="2" t="s">
        <v>985</v>
      </c>
      <c r="C1794" s="5" t="s">
        <v>1097</v>
      </c>
      <c r="D1794" s="2" t="s">
        <v>3190</v>
      </c>
    </row>
    <row r="1795" spans="1:4" ht="13.05" customHeight="1" x14ac:dyDescent="0.3">
      <c r="A1795" s="2" t="s">
        <v>331</v>
      </c>
      <c r="B1795" s="2" t="s">
        <v>985</v>
      </c>
      <c r="C1795" s="5" t="s">
        <v>1099</v>
      </c>
      <c r="D1795" s="2" t="s">
        <v>3191</v>
      </c>
    </row>
    <row r="1796" spans="1:4" ht="13.05" customHeight="1" x14ac:dyDescent="0.3">
      <c r="A1796" s="2" t="s">
        <v>331</v>
      </c>
      <c r="B1796" s="2" t="s">
        <v>985</v>
      </c>
      <c r="C1796" s="5" t="s">
        <v>1101</v>
      </c>
      <c r="D1796" s="2" t="s">
        <v>3192</v>
      </c>
    </row>
    <row r="1797" spans="1:4" ht="13.05" customHeight="1" x14ac:dyDescent="0.3">
      <c r="A1797" s="2" t="s">
        <v>331</v>
      </c>
      <c r="B1797" s="2" t="s">
        <v>985</v>
      </c>
      <c r="C1797" s="5" t="s">
        <v>3193</v>
      </c>
      <c r="D1797" s="2" t="s">
        <v>3194</v>
      </c>
    </row>
    <row r="1798" spans="1:4" ht="13.05" customHeight="1" x14ac:dyDescent="0.3">
      <c r="A1798" s="2" t="s">
        <v>331</v>
      </c>
      <c r="B1798" s="2" t="s">
        <v>985</v>
      </c>
      <c r="C1798" s="5" t="s">
        <v>3195</v>
      </c>
      <c r="D1798" s="2" t="s">
        <v>3196</v>
      </c>
    </row>
    <row r="1799" spans="1:4" ht="13.05" customHeight="1" x14ac:dyDescent="0.3">
      <c r="A1799" s="2" t="s">
        <v>331</v>
      </c>
      <c r="B1799" s="2" t="s">
        <v>985</v>
      </c>
      <c r="C1799" s="5" t="s">
        <v>3197</v>
      </c>
      <c r="D1799" s="2" t="s">
        <v>3198</v>
      </c>
    </row>
    <row r="1800" spans="1:4" ht="13.05" customHeight="1" x14ac:dyDescent="0.3">
      <c r="A1800" s="2" t="s">
        <v>331</v>
      </c>
      <c r="B1800" s="2" t="s">
        <v>985</v>
      </c>
      <c r="C1800" s="5" t="s">
        <v>3199</v>
      </c>
      <c r="D1800" s="2" t="s">
        <v>3200</v>
      </c>
    </row>
    <row r="1801" spans="1:4" ht="13.05" customHeight="1" x14ac:dyDescent="0.3">
      <c r="A1801" s="2" t="s">
        <v>331</v>
      </c>
      <c r="B1801" s="2" t="s">
        <v>985</v>
      </c>
      <c r="C1801" s="5" t="s">
        <v>3201</v>
      </c>
      <c r="D1801" s="2" t="s">
        <v>3202</v>
      </c>
    </row>
    <row r="1802" spans="1:4" ht="13.05" customHeight="1" x14ac:dyDescent="0.3">
      <c r="A1802" s="2" t="s">
        <v>331</v>
      </c>
      <c r="B1802" s="2" t="s">
        <v>985</v>
      </c>
      <c r="C1802" s="5" t="s">
        <v>1169</v>
      </c>
      <c r="D1802" s="2" t="s">
        <v>3203</v>
      </c>
    </row>
    <row r="1803" spans="1:4" ht="13.05" customHeight="1" x14ac:dyDescent="0.3">
      <c r="A1803" s="2" t="s">
        <v>331</v>
      </c>
      <c r="B1803" s="2" t="s">
        <v>985</v>
      </c>
      <c r="C1803" s="5" t="s">
        <v>1103</v>
      </c>
      <c r="D1803" s="2" t="s">
        <v>3204</v>
      </c>
    </row>
    <row r="1804" spans="1:4" ht="13.05" customHeight="1" x14ac:dyDescent="0.3">
      <c r="A1804" s="2" t="s">
        <v>331</v>
      </c>
      <c r="B1804" s="2" t="s">
        <v>985</v>
      </c>
      <c r="C1804" s="5" t="s">
        <v>1105</v>
      </c>
      <c r="D1804" s="2" t="s">
        <v>3205</v>
      </c>
    </row>
    <row r="1805" spans="1:4" ht="13.05" customHeight="1" x14ac:dyDescent="0.3">
      <c r="A1805" s="2" t="s">
        <v>331</v>
      </c>
      <c r="B1805" s="2" t="s">
        <v>985</v>
      </c>
      <c r="C1805" s="5" t="s">
        <v>1107</v>
      </c>
      <c r="D1805" s="2" t="s">
        <v>3206</v>
      </c>
    </row>
    <row r="1806" spans="1:4" ht="13.05" customHeight="1" x14ac:dyDescent="0.3">
      <c r="A1806" s="2" t="s">
        <v>331</v>
      </c>
      <c r="B1806" s="2" t="s">
        <v>985</v>
      </c>
      <c r="C1806" s="5" t="s">
        <v>1109</v>
      </c>
      <c r="D1806" s="2" t="s">
        <v>3207</v>
      </c>
    </row>
    <row r="1807" spans="1:4" ht="13.05" customHeight="1" x14ac:dyDescent="0.3">
      <c r="A1807" s="2" t="s">
        <v>331</v>
      </c>
      <c r="B1807" s="2" t="s">
        <v>985</v>
      </c>
      <c r="C1807" s="5" t="s">
        <v>3208</v>
      </c>
      <c r="D1807" s="2" t="s">
        <v>3209</v>
      </c>
    </row>
    <row r="1808" spans="1:4" ht="13.05" customHeight="1" x14ac:dyDescent="0.3">
      <c r="A1808" s="2" t="s">
        <v>331</v>
      </c>
      <c r="B1808" s="2" t="s">
        <v>985</v>
      </c>
      <c r="C1808" s="5" t="s">
        <v>3210</v>
      </c>
      <c r="D1808" s="2" t="s">
        <v>3211</v>
      </c>
    </row>
    <row r="1809" spans="1:4" ht="13.05" customHeight="1" x14ac:dyDescent="0.3">
      <c r="A1809" s="2" t="s">
        <v>331</v>
      </c>
      <c r="B1809" s="2" t="s">
        <v>985</v>
      </c>
      <c r="C1809" s="5" t="s">
        <v>3212</v>
      </c>
      <c r="D1809" s="2" t="s">
        <v>1015</v>
      </c>
    </row>
    <row r="1810" spans="1:4" ht="13.05" customHeight="1" x14ac:dyDescent="0.3">
      <c r="A1810" s="2" t="s">
        <v>334</v>
      </c>
      <c r="B1810" s="2" t="s">
        <v>985</v>
      </c>
      <c r="C1810" s="5" t="s">
        <v>960</v>
      </c>
      <c r="D1810" s="2" t="s">
        <v>961</v>
      </c>
    </row>
    <row r="1811" spans="1:4" ht="13.05" customHeight="1" x14ac:dyDescent="0.3">
      <c r="A1811" s="2" t="s">
        <v>337</v>
      </c>
      <c r="B1811" s="2" t="s">
        <v>955</v>
      </c>
      <c r="C1811" s="5" t="s">
        <v>974</v>
      </c>
      <c r="D1811" s="2" t="s">
        <v>975</v>
      </c>
    </row>
    <row r="1812" spans="1:4" ht="13.05" customHeight="1" x14ac:dyDescent="0.3">
      <c r="A1812" s="2" t="s">
        <v>337</v>
      </c>
      <c r="B1812" s="2" t="s">
        <v>955</v>
      </c>
      <c r="C1812" s="5" t="s">
        <v>956</v>
      </c>
      <c r="D1812" s="2" t="s">
        <v>957</v>
      </c>
    </row>
    <row r="1813" spans="1:4" ht="13.05" customHeight="1" x14ac:dyDescent="0.3">
      <c r="A1813" s="2" t="s">
        <v>337</v>
      </c>
      <c r="B1813" s="2" t="s">
        <v>955</v>
      </c>
      <c r="C1813" s="5" t="s">
        <v>958</v>
      </c>
      <c r="D1813" s="2" t="s">
        <v>959</v>
      </c>
    </row>
    <row r="1814" spans="1:4" ht="13.05" customHeight="1" x14ac:dyDescent="0.3">
      <c r="A1814" s="2" t="s">
        <v>337</v>
      </c>
      <c r="B1814" s="2" t="s">
        <v>955</v>
      </c>
      <c r="C1814" s="5" t="s">
        <v>960</v>
      </c>
      <c r="D1814" s="2" t="s">
        <v>961</v>
      </c>
    </row>
    <row r="1815" spans="1:4" ht="13.05" customHeight="1" x14ac:dyDescent="0.3">
      <c r="A1815" s="2" t="s">
        <v>337</v>
      </c>
      <c r="B1815" s="2" t="s">
        <v>955</v>
      </c>
      <c r="C1815" s="5" t="s">
        <v>1152</v>
      </c>
      <c r="D1815" s="2" t="s">
        <v>1037</v>
      </c>
    </row>
    <row r="1816" spans="1:4" ht="13.05" customHeight="1" x14ac:dyDescent="0.3">
      <c r="A1816" s="2" t="s">
        <v>337</v>
      </c>
      <c r="B1816" s="2" t="s">
        <v>955</v>
      </c>
      <c r="C1816" s="5" t="s">
        <v>962</v>
      </c>
      <c r="D1816" s="2" t="s">
        <v>3213</v>
      </c>
    </row>
    <row r="1817" spans="1:4" ht="13.05" customHeight="1" x14ac:dyDescent="0.3">
      <c r="A1817" s="2" t="s">
        <v>337</v>
      </c>
      <c r="B1817" s="2" t="s">
        <v>955</v>
      </c>
      <c r="C1817" s="5" t="s">
        <v>964</v>
      </c>
      <c r="D1817" s="2" t="s">
        <v>3214</v>
      </c>
    </row>
    <row r="1818" spans="1:4" ht="13.05" customHeight="1" x14ac:dyDescent="0.3">
      <c r="A1818" s="2" t="s">
        <v>337</v>
      </c>
      <c r="B1818" s="2" t="s">
        <v>955</v>
      </c>
      <c r="C1818" s="5" t="s">
        <v>966</v>
      </c>
      <c r="D1818" s="2" t="s">
        <v>3215</v>
      </c>
    </row>
    <row r="1819" spans="1:4" ht="13.05" customHeight="1" x14ac:dyDescent="0.3">
      <c r="A1819" s="2" t="s">
        <v>337</v>
      </c>
      <c r="B1819" s="2" t="s">
        <v>955</v>
      </c>
      <c r="C1819" s="5" t="s">
        <v>968</v>
      </c>
      <c r="D1819" s="2" t="s">
        <v>3216</v>
      </c>
    </row>
    <row r="1820" spans="1:4" ht="13.05" customHeight="1" x14ac:dyDescent="0.3">
      <c r="A1820" s="2" t="s">
        <v>337</v>
      </c>
      <c r="B1820" s="2" t="s">
        <v>955</v>
      </c>
      <c r="C1820" s="5" t="s">
        <v>970</v>
      </c>
      <c r="D1820" s="2" t="s">
        <v>3217</v>
      </c>
    </row>
    <row r="1821" spans="1:4" ht="13.05" customHeight="1" x14ac:dyDescent="0.3">
      <c r="A1821" s="2" t="s">
        <v>337</v>
      </c>
      <c r="B1821" s="2" t="s">
        <v>955</v>
      </c>
      <c r="C1821" s="5" t="s">
        <v>972</v>
      </c>
      <c r="D1821" s="2" t="s">
        <v>3218</v>
      </c>
    </row>
    <row r="1822" spans="1:4" ht="13.05" customHeight="1" x14ac:dyDescent="0.3">
      <c r="A1822" s="2" t="s">
        <v>337</v>
      </c>
      <c r="B1822" s="2" t="s">
        <v>955</v>
      </c>
      <c r="C1822" s="5" t="s">
        <v>981</v>
      </c>
      <c r="D1822" s="2" t="s">
        <v>3219</v>
      </c>
    </row>
    <row r="1823" spans="1:4" ht="13.05" customHeight="1" x14ac:dyDescent="0.3">
      <c r="A1823" s="2" t="s">
        <v>337</v>
      </c>
      <c r="B1823" s="2" t="s">
        <v>955</v>
      </c>
      <c r="C1823" s="5" t="s">
        <v>991</v>
      </c>
      <c r="D1823" s="2" t="s">
        <v>3220</v>
      </c>
    </row>
    <row r="1824" spans="1:4" ht="13.05" customHeight="1" x14ac:dyDescent="0.3">
      <c r="A1824" s="2" t="s">
        <v>337</v>
      </c>
      <c r="B1824" s="2" t="s">
        <v>955</v>
      </c>
      <c r="C1824" s="5" t="s">
        <v>983</v>
      </c>
      <c r="D1824" s="2" t="s">
        <v>1015</v>
      </c>
    </row>
    <row r="1825" spans="1:4" ht="13.05" customHeight="1" x14ac:dyDescent="0.3">
      <c r="A1825" s="2" t="s">
        <v>340</v>
      </c>
      <c r="B1825" s="2" t="s">
        <v>955</v>
      </c>
      <c r="C1825" s="5" t="s">
        <v>960</v>
      </c>
      <c r="D1825" s="2" t="s">
        <v>961</v>
      </c>
    </row>
    <row r="1826" spans="1:4" ht="13.05" customHeight="1" x14ac:dyDescent="0.3">
      <c r="A1826" s="2" t="s">
        <v>343</v>
      </c>
      <c r="B1826" s="2" t="s">
        <v>955</v>
      </c>
      <c r="C1826" s="5" t="s">
        <v>974</v>
      </c>
      <c r="D1826" s="2" t="s">
        <v>975</v>
      </c>
    </row>
    <row r="1827" spans="1:4" ht="13.05" customHeight="1" x14ac:dyDescent="0.3">
      <c r="A1827" s="2" t="s">
        <v>343</v>
      </c>
      <c r="B1827" s="2" t="s">
        <v>955</v>
      </c>
      <c r="C1827" s="5" t="s">
        <v>956</v>
      </c>
      <c r="D1827" s="2" t="s">
        <v>1025</v>
      </c>
    </row>
    <row r="1828" spans="1:4" ht="13.05" customHeight="1" x14ac:dyDescent="0.3">
      <c r="A1828" s="2" t="s">
        <v>343</v>
      </c>
      <c r="B1828" s="2" t="s">
        <v>955</v>
      </c>
      <c r="C1828" s="5" t="s">
        <v>958</v>
      </c>
      <c r="D1828" s="2" t="s">
        <v>1019</v>
      </c>
    </row>
    <row r="1829" spans="1:4" ht="13.05" customHeight="1" x14ac:dyDescent="0.3">
      <c r="A1829" s="2" t="s">
        <v>343</v>
      </c>
      <c r="B1829" s="2" t="s">
        <v>955</v>
      </c>
      <c r="C1829" s="5" t="s">
        <v>960</v>
      </c>
      <c r="D1829" s="2" t="s">
        <v>961</v>
      </c>
    </row>
    <row r="1830" spans="1:4" ht="13.05" customHeight="1" x14ac:dyDescent="0.3">
      <c r="A1830" s="2" t="s">
        <v>346</v>
      </c>
      <c r="B1830" s="2" t="s">
        <v>955</v>
      </c>
      <c r="C1830" s="5" t="s">
        <v>974</v>
      </c>
      <c r="D1830" s="2" t="s">
        <v>975</v>
      </c>
    </row>
    <row r="1831" spans="1:4" ht="13.05" customHeight="1" x14ac:dyDescent="0.3">
      <c r="A1831" s="2" t="s">
        <v>346</v>
      </c>
      <c r="B1831" s="2" t="s">
        <v>955</v>
      </c>
      <c r="C1831" s="5" t="s">
        <v>956</v>
      </c>
      <c r="D1831" s="2" t="s">
        <v>1025</v>
      </c>
    </row>
    <row r="1832" spans="1:4" ht="13.05" customHeight="1" x14ac:dyDescent="0.3">
      <c r="A1832" s="2" t="s">
        <v>346</v>
      </c>
      <c r="B1832" s="2" t="s">
        <v>955</v>
      </c>
      <c r="C1832" s="5" t="s">
        <v>958</v>
      </c>
      <c r="D1832" s="2" t="s">
        <v>1019</v>
      </c>
    </row>
    <row r="1833" spans="1:4" ht="13.05" customHeight="1" x14ac:dyDescent="0.3">
      <c r="A1833" s="2" t="s">
        <v>346</v>
      </c>
      <c r="B1833" s="2" t="s">
        <v>955</v>
      </c>
      <c r="C1833" s="5" t="s">
        <v>962</v>
      </c>
      <c r="D1833" s="2" t="s">
        <v>1039</v>
      </c>
    </row>
    <row r="1834" spans="1:4" ht="13.05" customHeight="1" x14ac:dyDescent="0.3">
      <c r="A1834" s="2" t="s">
        <v>346</v>
      </c>
      <c r="B1834" s="2" t="s">
        <v>955</v>
      </c>
      <c r="C1834" s="5" t="s">
        <v>964</v>
      </c>
      <c r="D1834" s="2" t="s">
        <v>1040</v>
      </c>
    </row>
    <row r="1835" spans="1:4" ht="13.05" customHeight="1" x14ac:dyDescent="0.3">
      <c r="A1835" s="2" t="s">
        <v>349</v>
      </c>
      <c r="B1835" s="2" t="s">
        <v>955</v>
      </c>
      <c r="C1835" s="5" t="s">
        <v>956</v>
      </c>
      <c r="D1835" s="2" t="s">
        <v>957</v>
      </c>
    </row>
    <row r="1836" spans="1:4" ht="13.05" customHeight="1" x14ac:dyDescent="0.3">
      <c r="A1836" s="2" t="s">
        <v>349</v>
      </c>
      <c r="B1836" s="2" t="s">
        <v>955</v>
      </c>
      <c r="C1836" s="5" t="s">
        <v>958</v>
      </c>
      <c r="D1836" s="2" t="s">
        <v>959</v>
      </c>
    </row>
    <row r="1837" spans="1:4" ht="13.05" customHeight="1" x14ac:dyDescent="0.3">
      <c r="A1837" s="2" t="s">
        <v>349</v>
      </c>
      <c r="B1837" s="2" t="s">
        <v>955</v>
      </c>
      <c r="C1837" s="5" t="s">
        <v>960</v>
      </c>
      <c r="D1837" s="2" t="s">
        <v>961</v>
      </c>
    </row>
    <row r="1838" spans="1:4" ht="13.05" customHeight="1" x14ac:dyDescent="0.3">
      <c r="A1838" s="2" t="s">
        <v>349</v>
      </c>
      <c r="B1838" s="2" t="s">
        <v>955</v>
      </c>
      <c r="C1838" s="5" t="s">
        <v>962</v>
      </c>
      <c r="D1838" s="2" t="s">
        <v>3221</v>
      </c>
    </row>
    <row r="1839" spans="1:4" ht="13.05" customHeight="1" x14ac:dyDescent="0.3">
      <c r="A1839" s="2" t="s">
        <v>349</v>
      </c>
      <c r="B1839" s="2" t="s">
        <v>955</v>
      </c>
      <c r="C1839" s="5" t="s">
        <v>964</v>
      </c>
      <c r="D1839" s="2" t="s">
        <v>3222</v>
      </c>
    </row>
    <row r="1840" spans="1:4" ht="13.05" customHeight="1" x14ac:dyDescent="0.3">
      <c r="A1840" s="2" t="s">
        <v>349</v>
      </c>
      <c r="B1840" s="2" t="s">
        <v>955</v>
      </c>
      <c r="C1840" s="5" t="s">
        <v>966</v>
      </c>
      <c r="D1840" s="2" t="s">
        <v>3223</v>
      </c>
    </row>
    <row r="1841" spans="1:4" ht="13.05" customHeight="1" x14ac:dyDescent="0.3">
      <c r="A1841" s="2" t="s">
        <v>352</v>
      </c>
      <c r="B1841" s="2" t="s">
        <v>985</v>
      </c>
      <c r="C1841" s="5" t="s">
        <v>1146</v>
      </c>
      <c r="D1841" s="2" t="s">
        <v>957</v>
      </c>
    </row>
    <row r="1842" spans="1:4" ht="13.05" customHeight="1" x14ac:dyDescent="0.3">
      <c r="A1842" s="2" t="s">
        <v>352</v>
      </c>
      <c r="B1842" s="2" t="s">
        <v>985</v>
      </c>
      <c r="C1842" s="5" t="s">
        <v>956</v>
      </c>
      <c r="D1842" s="2" t="s">
        <v>957</v>
      </c>
    </row>
    <row r="1843" spans="1:4" ht="13.05" customHeight="1" x14ac:dyDescent="0.3">
      <c r="A1843" s="2" t="s">
        <v>352</v>
      </c>
      <c r="B1843" s="2" t="s">
        <v>985</v>
      </c>
      <c r="C1843" s="5" t="s">
        <v>3224</v>
      </c>
      <c r="D1843" s="2" t="s">
        <v>3225</v>
      </c>
    </row>
    <row r="1844" spans="1:4" ht="13.05" customHeight="1" x14ac:dyDescent="0.3">
      <c r="A1844" s="2" t="s">
        <v>352</v>
      </c>
      <c r="B1844" s="2" t="s">
        <v>985</v>
      </c>
      <c r="C1844" s="5" t="s">
        <v>3226</v>
      </c>
      <c r="D1844" s="2" t="s">
        <v>3227</v>
      </c>
    </row>
    <row r="1845" spans="1:4" ht="13.05" customHeight="1" x14ac:dyDescent="0.3">
      <c r="A1845" s="2" t="s">
        <v>352</v>
      </c>
      <c r="B1845" s="2" t="s">
        <v>985</v>
      </c>
      <c r="C1845" s="5" t="s">
        <v>3228</v>
      </c>
      <c r="D1845" s="2" t="s">
        <v>3229</v>
      </c>
    </row>
    <row r="1846" spans="1:4" ht="13.05" customHeight="1" x14ac:dyDescent="0.3">
      <c r="A1846" s="2" t="s">
        <v>352</v>
      </c>
      <c r="B1846" s="2" t="s">
        <v>985</v>
      </c>
      <c r="C1846" s="5" t="s">
        <v>3230</v>
      </c>
      <c r="D1846" s="2" t="s">
        <v>3231</v>
      </c>
    </row>
    <row r="1847" spans="1:4" ht="13.05" customHeight="1" x14ac:dyDescent="0.3">
      <c r="A1847" s="2" t="s">
        <v>352</v>
      </c>
      <c r="B1847" s="2" t="s">
        <v>985</v>
      </c>
      <c r="C1847" s="5" t="s">
        <v>3232</v>
      </c>
      <c r="D1847" s="2" t="s">
        <v>3233</v>
      </c>
    </row>
    <row r="1848" spans="1:4" ht="13.05" customHeight="1" x14ac:dyDescent="0.3">
      <c r="A1848" s="2" t="s">
        <v>352</v>
      </c>
      <c r="B1848" s="2" t="s">
        <v>985</v>
      </c>
      <c r="C1848" s="5" t="s">
        <v>3234</v>
      </c>
      <c r="D1848" s="2" t="s">
        <v>3235</v>
      </c>
    </row>
    <row r="1849" spans="1:4" ht="13.05" customHeight="1" x14ac:dyDescent="0.3">
      <c r="A1849" s="2" t="s">
        <v>352</v>
      </c>
      <c r="B1849" s="2" t="s">
        <v>985</v>
      </c>
      <c r="C1849" s="5" t="s">
        <v>3236</v>
      </c>
      <c r="D1849" s="2" t="s">
        <v>3237</v>
      </c>
    </row>
    <row r="1850" spans="1:4" ht="13.05" customHeight="1" x14ac:dyDescent="0.3">
      <c r="A1850" s="2" t="s">
        <v>352</v>
      </c>
      <c r="B1850" s="2" t="s">
        <v>985</v>
      </c>
      <c r="C1850" s="5" t="s">
        <v>3238</v>
      </c>
      <c r="D1850" s="2" t="s">
        <v>3239</v>
      </c>
    </row>
    <row r="1851" spans="1:4" ht="13.05" customHeight="1" x14ac:dyDescent="0.3">
      <c r="A1851" s="2" t="s">
        <v>352</v>
      </c>
      <c r="B1851" s="2" t="s">
        <v>985</v>
      </c>
      <c r="C1851" s="5" t="s">
        <v>3240</v>
      </c>
      <c r="D1851" s="2" t="s">
        <v>3120</v>
      </c>
    </row>
    <row r="1852" spans="1:4" ht="13.05" customHeight="1" x14ac:dyDescent="0.3">
      <c r="A1852" s="2" t="s">
        <v>352</v>
      </c>
      <c r="B1852" s="2" t="s">
        <v>985</v>
      </c>
      <c r="C1852" s="5" t="s">
        <v>3241</v>
      </c>
      <c r="D1852" s="2" t="s">
        <v>3242</v>
      </c>
    </row>
    <row r="1853" spans="1:4" ht="13.05" customHeight="1" x14ac:dyDescent="0.3">
      <c r="A1853" s="2" t="s">
        <v>352</v>
      </c>
      <c r="B1853" s="2" t="s">
        <v>985</v>
      </c>
      <c r="C1853" s="5" t="s">
        <v>3243</v>
      </c>
      <c r="D1853" s="2" t="s">
        <v>3244</v>
      </c>
    </row>
    <row r="1854" spans="1:4" ht="13.05" customHeight="1" x14ac:dyDescent="0.3">
      <c r="A1854" s="2" t="s">
        <v>352</v>
      </c>
      <c r="B1854" s="2" t="s">
        <v>985</v>
      </c>
      <c r="C1854" s="5" t="s">
        <v>3245</v>
      </c>
      <c r="D1854" s="2" t="s">
        <v>3246</v>
      </c>
    </row>
    <row r="1855" spans="1:4" ht="13.05" customHeight="1" x14ac:dyDescent="0.3">
      <c r="A1855" s="2" t="s">
        <v>352</v>
      </c>
      <c r="B1855" s="2" t="s">
        <v>985</v>
      </c>
      <c r="C1855" s="5" t="s">
        <v>3247</v>
      </c>
      <c r="D1855" s="2" t="s">
        <v>3248</v>
      </c>
    </row>
    <row r="1856" spans="1:4" ht="13.05" customHeight="1" x14ac:dyDescent="0.3">
      <c r="A1856" s="2" t="s">
        <v>352</v>
      </c>
      <c r="B1856" s="2" t="s">
        <v>985</v>
      </c>
      <c r="C1856" s="5" t="s">
        <v>3249</v>
      </c>
      <c r="D1856" s="2" t="s">
        <v>3250</v>
      </c>
    </row>
    <row r="1857" spans="1:4" ht="13.05" customHeight="1" x14ac:dyDescent="0.3">
      <c r="A1857" s="2" t="s">
        <v>352</v>
      </c>
      <c r="B1857" s="2" t="s">
        <v>985</v>
      </c>
      <c r="C1857" s="5" t="s">
        <v>3251</v>
      </c>
      <c r="D1857" s="2" t="s">
        <v>3252</v>
      </c>
    </row>
    <row r="1858" spans="1:4" ht="13.05" customHeight="1" x14ac:dyDescent="0.3">
      <c r="A1858" s="2" t="s">
        <v>352</v>
      </c>
      <c r="B1858" s="2" t="s">
        <v>985</v>
      </c>
      <c r="C1858" s="5" t="s">
        <v>3253</v>
      </c>
      <c r="D1858" s="2" t="s">
        <v>3254</v>
      </c>
    </row>
    <row r="1859" spans="1:4" ht="13.05" customHeight="1" x14ac:dyDescent="0.3">
      <c r="A1859" s="2" t="s">
        <v>352</v>
      </c>
      <c r="B1859" s="2" t="s">
        <v>985</v>
      </c>
      <c r="C1859" s="5" t="s">
        <v>3255</v>
      </c>
      <c r="D1859" s="2" t="s">
        <v>3256</v>
      </c>
    </row>
    <row r="1860" spans="1:4" ht="13.05" customHeight="1" x14ac:dyDescent="0.3">
      <c r="A1860" s="2" t="s">
        <v>352</v>
      </c>
      <c r="B1860" s="2" t="s">
        <v>985</v>
      </c>
      <c r="C1860" s="5" t="s">
        <v>3257</v>
      </c>
      <c r="D1860" s="2" t="s">
        <v>3258</v>
      </c>
    </row>
    <row r="1861" spans="1:4" ht="13.05" customHeight="1" x14ac:dyDescent="0.3">
      <c r="A1861" s="2" t="s">
        <v>352</v>
      </c>
      <c r="B1861" s="2" t="s">
        <v>985</v>
      </c>
      <c r="C1861" s="5" t="s">
        <v>3259</v>
      </c>
      <c r="D1861" s="2" t="s">
        <v>3260</v>
      </c>
    </row>
    <row r="1862" spans="1:4" ht="13.05" customHeight="1" x14ac:dyDescent="0.3">
      <c r="A1862" s="2" t="s">
        <v>352</v>
      </c>
      <c r="B1862" s="2" t="s">
        <v>985</v>
      </c>
      <c r="C1862" s="5" t="s">
        <v>3261</v>
      </c>
      <c r="D1862" s="2" t="s">
        <v>3262</v>
      </c>
    </row>
    <row r="1863" spans="1:4" ht="13.05" customHeight="1" x14ac:dyDescent="0.3">
      <c r="A1863" s="2" t="s">
        <v>352</v>
      </c>
      <c r="B1863" s="2" t="s">
        <v>985</v>
      </c>
      <c r="C1863" s="5" t="s">
        <v>3263</v>
      </c>
      <c r="D1863" s="2" t="s">
        <v>3264</v>
      </c>
    </row>
    <row r="1864" spans="1:4" ht="13.05" customHeight="1" x14ac:dyDescent="0.3">
      <c r="A1864" s="2" t="s">
        <v>352</v>
      </c>
      <c r="B1864" s="2" t="s">
        <v>985</v>
      </c>
      <c r="C1864" s="5" t="s">
        <v>3265</v>
      </c>
      <c r="D1864" s="2" t="s">
        <v>3266</v>
      </c>
    </row>
    <row r="1865" spans="1:4" ht="13.05" customHeight="1" x14ac:dyDescent="0.3">
      <c r="A1865" s="2" t="s">
        <v>352</v>
      </c>
      <c r="B1865" s="2" t="s">
        <v>985</v>
      </c>
      <c r="C1865" s="5" t="s">
        <v>3267</v>
      </c>
      <c r="D1865" s="2" t="s">
        <v>3268</v>
      </c>
    </row>
    <row r="1866" spans="1:4" ht="13.05" customHeight="1" x14ac:dyDescent="0.3">
      <c r="A1866" s="2" t="s">
        <v>352</v>
      </c>
      <c r="B1866" s="2" t="s">
        <v>985</v>
      </c>
      <c r="C1866" s="5" t="s">
        <v>3269</v>
      </c>
      <c r="D1866" s="2" t="s">
        <v>3270</v>
      </c>
    </row>
    <row r="1867" spans="1:4" ht="13.05" customHeight="1" x14ac:dyDescent="0.3">
      <c r="A1867" s="2" t="s">
        <v>352</v>
      </c>
      <c r="B1867" s="2" t="s">
        <v>985</v>
      </c>
      <c r="C1867" s="5" t="s">
        <v>3271</v>
      </c>
      <c r="D1867" s="2" t="s">
        <v>3272</v>
      </c>
    </row>
    <row r="1868" spans="1:4" ht="13.05" customHeight="1" x14ac:dyDescent="0.3">
      <c r="A1868" s="2" t="s">
        <v>352</v>
      </c>
      <c r="B1868" s="2" t="s">
        <v>985</v>
      </c>
      <c r="C1868" s="5" t="s">
        <v>3273</v>
      </c>
      <c r="D1868" s="2" t="s">
        <v>3274</v>
      </c>
    </row>
    <row r="1869" spans="1:4" ht="13.05" customHeight="1" x14ac:dyDescent="0.3">
      <c r="A1869" s="2" t="s">
        <v>352</v>
      </c>
      <c r="B1869" s="2" t="s">
        <v>985</v>
      </c>
      <c r="C1869" s="5" t="s">
        <v>3275</v>
      </c>
      <c r="D1869" s="2" t="s">
        <v>3276</v>
      </c>
    </row>
    <row r="1870" spans="1:4" ht="13.05" customHeight="1" x14ac:dyDescent="0.3">
      <c r="A1870" s="2" t="s">
        <v>352</v>
      </c>
      <c r="B1870" s="2" t="s">
        <v>985</v>
      </c>
      <c r="C1870" s="5" t="s">
        <v>3277</v>
      </c>
      <c r="D1870" s="2" t="s">
        <v>3278</v>
      </c>
    </row>
    <row r="1871" spans="1:4" ht="13.05" customHeight="1" x14ac:dyDescent="0.3">
      <c r="A1871" s="2" t="s">
        <v>352</v>
      </c>
      <c r="B1871" s="2" t="s">
        <v>985</v>
      </c>
      <c r="C1871" s="5" t="s">
        <v>3279</v>
      </c>
      <c r="D1871" s="2" t="s">
        <v>3280</v>
      </c>
    </row>
    <row r="1872" spans="1:4" ht="13.05" customHeight="1" x14ac:dyDescent="0.3">
      <c r="A1872" s="2" t="s">
        <v>352</v>
      </c>
      <c r="B1872" s="2" t="s">
        <v>985</v>
      </c>
      <c r="C1872" s="5" t="s">
        <v>3281</v>
      </c>
      <c r="D1872" s="2" t="s">
        <v>3282</v>
      </c>
    </row>
    <row r="1873" spans="1:4" ht="13.05" customHeight="1" x14ac:dyDescent="0.3">
      <c r="A1873" s="2" t="s">
        <v>352</v>
      </c>
      <c r="B1873" s="2" t="s">
        <v>985</v>
      </c>
      <c r="C1873" s="5" t="s">
        <v>3283</v>
      </c>
      <c r="D1873" s="2" t="s">
        <v>3284</v>
      </c>
    </row>
    <row r="1874" spans="1:4" ht="13.05" customHeight="1" x14ac:dyDescent="0.3">
      <c r="A1874" s="2" t="s">
        <v>352</v>
      </c>
      <c r="B1874" s="2" t="s">
        <v>985</v>
      </c>
      <c r="C1874" s="5" t="s">
        <v>3285</v>
      </c>
      <c r="D1874" s="2" t="s">
        <v>3286</v>
      </c>
    </row>
    <row r="1875" spans="1:4" ht="13.05" customHeight="1" x14ac:dyDescent="0.3">
      <c r="A1875" s="2" t="s">
        <v>352</v>
      </c>
      <c r="B1875" s="2" t="s">
        <v>985</v>
      </c>
      <c r="C1875" s="5" t="s">
        <v>3287</v>
      </c>
      <c r="D1875" s="2" t="s">
        <v>3288</v>
      </c>
    </row>
    <row r="1876" spans="1:4" ht="13.05" customHeight="1" x14ac:dyDescent="0.3">
      <c r="A1876" s="2" t="s">
        <v>352</v>
      </c>
      <c r="B1876" s="2" t="s">
        <v>985</v>
      </c>
      <c r="C1876" s="5" t="s">
        <v>3289</v>
      </c>
      <c r="D1876" s="2" t="s">
        <v>3290</v>
      </c>
    </row>
    <row r="1877" spans="1:4" ht="13.05" customHeight="1" x14ac:dyDescent="0.3">
      <c r="A1877" s="2" t="s">
        <v>352</v>
      </c>
      <c r="B1877" s="2" t="s">
        <v>985</v>
      </c>
      <c r="C1877" s="5" t="s">
        <v>3291</v>
      </c>
      <c r="D1877" s="2" t="s">
        <v>3292</v>
      </c>
    </row>
    <row r="1878" spans="1:4" ht="13.05" customHeight="1" x14ac:dyDescent="0.3">
      <c r="A1878" s="2" t="s">
        <v>352</v>
      </c>
      <c r="B1878" s="2" t="s">
        <v>985</v>
      </c>
      <c r="C1878" s="5" t="s">
        <v>3293</v>
      </c>
      <c r="D1878" s="2" t="s">
        <v>3294</v>
      </c>
    </row>
    <row r="1879" spans="1:4" ht="13.05" customHeight="1" x14ac:dyDescent="0.3">
      <c r="A1879" s="2" t="s">
        <v>352</v>
      </c>
      <c r="B1879" s="2" t="s">
        <v>985</v>
      </c>
      <c r="C1879" s="5" t="s">
        <v>3295</v>
      </c>
      <c r="D1879" s="2" t="s">
        <v>3296</v>
      </c>
    </row>
    <row r="1880" spans="1:4" ht="13.05" customHeight="1" x14ac:dyDescent="0.3">
      <c r="A1880" s="2" t="s">
        <v>352</v>
      </c>
      <c r="B1880" s="2" t="s">
        <v>985</v>
      </c>
      <c r="C1880" s="5" t="s">
        <v>3297</v>
      </c>
      <c r="D1880" s="2" t="s">
        <v>3298</v>
      </c>
    </row>
    <row r="1881" spans="1:4" ht="13.05" customHeight="1" x14ac:dyDescent="0.3">
      <c r="A1881" s="2" t="s">
        <v>352</v>
      </c>
      <c r="B1881" s="2" t="s">
        <v>985</v>
      </c>
      <c r="C1881" s="5" t="s">
        <v>3299</v>
      </c>
      <c r="D1881" s="2" t="s">
        <v>3300</v>
      </c>
    </row>
    <row r="1882" spans="1:4" ht="13.05" customHeight="1" x14ac:dyDescent="0.3">
      <c r="A1882" s="2" t="s">
        <v>352</v>
      </c>
      <c r="B1882" s="2" t="s">
        <v>985</v>
      </c>
      <c r="C1882" s="5" t="s">
        <v>3301</v>
      </c>
      <c r="D1882" s="2" t="s">
        <v>3302</v>
      </c>
    </row>
    <row r="1883" spans="1:4" ht="13.05" customHeight="1" x14ac:dyDescent="0.3">
      <c r="A1883" s="2" t="s">
        <v>352</v>
      </c>
      <c r="B1883" s="2" t="s">
        <v>985</v>
      </c>
      <c r="C1883" s="5" t="s">
        <v>3303</v>
      </c>
      <c r="D1883" s="2" t="s">
        <v>3304</v>
      </c>
    </row>
    <row r="1884" spans="1:4" ht="13.05" customHeight="1" x14ac:dyDescent="0.3">
      <c r="A1884" s="2" t="s">
        <v>352</v>
      </c>
      <c r="B1884" s="2" t="s">
        <v>985</v>
      </c>
      <c r="C1884" s="5" t="s">
        <v>3305</v>
      </c>
      <c r="D1884" s="2" t="s">
        <v>3306</v>
      </c>
    </row>
    <row r="1885" spans="1:4" ht="13.05" customHeight="1" x14ac:dyDescent="0.3">
      <c r="A1885" s="2" t="s">
        <v>352</v>
      </c>
      <c r="B1885" s="2" t="s">
        <v>985</v>
      </c>
      <c r="C1885" s="5" t="s">
        <v>3307</v>
      </c>
      <c r="D1885" s="2" t="s">
        <v>3308</v>
      </c>
    </row>
    <row r="1886" spans="1:4" ht="13.05" customHeight="1" x14ac:dyDescent="0.3">
      <c r="A1886" s="2" t="s">
        <v>352</v>
      </c>
      <c r="B1886" s="2" t="s">
        <v>985</v>
      </c>
      <c r="C1886" s="5" t="s">
        <v>3309</v>
      </c>
      <c r="D1886" s="2" t="s">
        <v>3310</v>
      </c>
    </row>
    <row r="1887" spans="1:4" ht="13.05" customHeight="1" x14ac:dyDescent="0.3">
      <c r="A1887" s="2" t="s">
        <v>352</v>
      </c>
      <c r="B1887" s="2" t="s">
        <v>985</v>
      </c>
      <c r="C1887" s="5" t="s">
        <v>3311</v>
      </c>
      <c r="D1887" s="2" t="s">
        <v>3312</v>
      </c>
    </row>
    <row r="1888" spans="1:4" ht="13.05" customHeight="1" x14ac:dyDescent="0.3">
      <c r="A1888" s="2" t="s">
        <v>352</v>
      </c>
      <c r="B1888" s="2" t="s">
        <v>985</v>
      </c>
      <c r="C1888" s="5" t="s">
        <v>3313</v>
      </c>
      <c r="D1888" s="2" t="s">
        <v>3314</v>
      </c>
    </row>
    <row r="1889" spans="1:4" ht="13.05" customHeight="1" x14ac:dyDescent="0.3">
      <c r="A1889" s="2" t="s">
        <v>352</v>
      </c>
      <c r="B1889" s="2" t="s">
        <v>985</v>
      </c>
      <c r="C1889" s="5" t="s">
        <v>3315</v>
      </c>
      <c r="D1889" s="2" t="s">
        <v>3316</v>
      </c>
    </row>
    <row r="1890" spans="1:4" ht="13.05" customHeight="1" x14ac:dyDescent="0.3">
      <c r="A1890" s="2" t="s">
        <v>352</v>
      </c>
      <c r="B1890" s="2" t="s">
        <v>985</v>
      </c>
      <c r="C1890" s="5" t="s">
        <v>3317</v>
      </c>
      <c r="D1890" s="2" t="s">
        <v>3318</v>
      </c>
    </row>
    <row r="1891" spans="1:4" ht="13.05" customHeight="1" x14ac:dyDescent="0.3">
      <c r="A1891" s="2" t="s">
        <v>352</v>
      </c>
      <c r="B1891" s="2" t="s">
        <v>985</v>
      </c>
      <c r="C1891" s="5" t="s">
        <v>3319</v>
      </c>
      <c r="D1891" s="2" t="s">
        <v>3320</v>
      </c>
    </row>
    <row r="1892" spans="1:4" ht="13.05" customHeight="1" x14ac:dyDescent="0.3">
      <c r="A1892" s="2" t="s">
        <v>352</v>
      </c>
      <c r="B1892" s="2" t="s">
        <v>985</v>
      </c>
      <c r="C1892" s="5" t="s">
        <v>3321</v>
      </c>
      <c r="D1892" s="2" t="s">
        <v>3322</v>
      </c>
    </row>
    <row r="1893" spans="1:4" ht="13.05" customHeight="1" x14ac:dyDescent="0.3">
      <c r="A1893" s="2" t="s">
        <v>352</v>
      </c>
      <c r="B1893" s="2" t="s">
        <v>985</v>
      </c>
      <c r="C1893" s="5" t="s">
        <v>3323</v>
      </c>
      <c r="D1893" s="2" t="s">
        <v>3324</v>
      </c>
    </row>
    <row r="1894" spans="1:4" ht="13.05" customHeight="1" x14ac:dyDescent="0.3">
      <c r="A1894" s="2" t="s">
        <v>352</v>
      </c>
      <c r="B1894" s="2" t="s">
        <v>985</v>
      </c>
      <c r="C1894" s="5" t="s">
        <v>3325</v>
      </c>
      <c r="D1894" s="2" t="s">
        <v>3326</v>
      </c>
    </row>
    <row r="1895" spans="1:4" ht="13.05" customHeight="1" x14ac:dyDescent="0.3">
      <c r="A1895" s="2" t="s">
        <v>352</v>
      </c>
      <c r="B1895" s="2" t="s">
        <v>985</v>
      </c>
      <c r="C1895" s="5" t="s">
        <v>3327</v>
      </c>
      <c r="D1895" s="2" t="s">
        <v>3328</v>
      </c>
    </row>
    <row r="1896" spans="1:4" ht="13.05" customHeight="1" x14ac:dyDescent="0.3">
      <c r="A1896" s="2" t="s">
        <v>352</v>
      </c>
      <c r="B1896" s="2" t="s">
        <v>985</v>
      </c>
      <c r="C1896" s="5" t="s">
        <v>3329</v>
      </c>
      <c r="D1896" s="2" t="s">
        <v>3330</v>
      </c>
    </row>
    <row r="1897" spans="1:4" ht="13.05" customHeight="1" x14ac:dyDescent="0.3">
      <c r="A1897" s="2" t="s">
        <v>352</v>
      </c>
      <c r="B1897" s="2" t="s">
        <v>985</v>
      </c>
      <c r="C1897" s="5" t="s">
        <v>3331</v>
      </c>
      <c r="D1897" s="2" t="s">
        <v>3332</v>
      </c>
    </row>
    <row r="1898" spans="1:4" ht="13.05" customHeight="1" x14ac:dyDescent="0.3">
      <c r="A1898" s="2" t="s">
        <v>352</v>
      </c>
      <c r="B1898" s="2" t="s">
        <v>985</v>
      </c>
      <c r="C1898" s="5" t="s">
        <v>3333</v>
      </c>
      <c r="D1898" s="2" t="s">
        <v>3334</v>
      </c>
    </row>
    <row r="1899" spans="1:4" ht="13.05" customHeight="1" x14ac:dyDescent="0.3">
      <c r="A1899" s="2" t="s">
        <v>352</v>
      </c>
      <c r="B1899" s="2" t="s">
        <v>985</v>
      </c>
      <c r="C1899" s="5" t="s">
        <v>3335</v>
      </c>
      <c r="D1899" s="2" t="s">
        <v>3336</v>
      </c>
    </row>
    <row r="1900" spans="1:4" ht="13.05" customHeight="1" x14ac:dyDescent="0.3">
      <c r="A1900" s="2" t="s">
        <v>352</v>
      </c>
      <c r="B1900" s="2" t="s">
        <v>985</v>
      </c>
      <c r="C1900" s="5" t="s">
        <v>3337</v>
      </c>
      <c r="D1900" s="2" t="s">
        <v>3338</v>
      </c>
    </row>
    <row r="1901" spans="1:4" ht="13.05" customHeight="1" x14ac:dyDescent="0.3">
      <c r="A1901" s="2" t="s">
        <v>352</v>
      </c>
      <c r="B1901" s="2" t="s">
        <v>985</v>
      </c>
      <c r="C1901" s="5" t="s">
        <v>3339</v>
      </c>
      <c r="D1901" s="2" t="s">
        <v>3340</v>
      </c>
    </row>
    <row r="1902" spans="1:4" ht="13.05" customHeight="1" x14ac:dyDescent="0.3">
      <c r="A1902" s="2" t="s">
        <v>352</v>
      </c>
      <c r="B1902" s="2" t="s">
        <v>985</v>
      </c>
      <c r="C1902" s="5" t="s">
        <v>3341</v>
      </c>
      <c r="D1902" s="2" t="s">
        <v>3342</v>
      </c>
    </row>
    <row r="1903" spans="1:4" ht="13.05" customHeight="1" x14ac:dyDescent="0.3">
      <c r="A1903" s="2" t="s">
        <v>352</v>
      </c>
      <c r="B1903" s="2" t="s">
        <v>985</v>
      </c>
      <c r="C1903" s="5" t="s">
        <v>3343</v>
      </c>
      <c r="D1903" s="2" t="s">
        <v>3344</v>
      </c>
    </row>
    <row r="1904" spans="1:4" ht="13.05" customHeight="1" x14ac:dyDescent="0.3">
      <c r="A1904" s="2" t="s">
        <v>352</v>
      </c>
      <c r="B1904" s="2" t="s">
        <v>985</v>
      </c>
      <c r="C1904" s="5" t="s">
        <v>3345</v>
      </c>
      <c r="D1904" s="2" t="s">
        <v>3346</v>
      </c>
    </row>
    <row r="1905" spans="1:4" ht="13.05" customHeight="1" x14ac:dyDescent="0.3">
      <c r="A1905" s="2" t="s">
        <v>352</v>
      </c>
      <c r="B1905" s="2" t="s">
        <v>985</v>
      </c>
      <c r="C1905" s="5" t="s">
        <v>3347</v>
      </c>
      <c r="D1905" s="2" t="s">
        <v>3348</v>
      </c>
    </row>
    <row r="1906" spans="1:4" ht="13.05" customHeight="1" x14ac:dyDescent="0.3">
      <c r="A1906" s="2" t="s">
        <v>352</v>
      </c>
      <c r="B1906" s="2" t="s">
        <v>985</v>
      </c>
      <c r="C1906" s="5" t="s">
        <v>3349</v>
      </c>
      <c r="D1906" s="2" t="s">
        <v>3350</v>
      </c>
    </row>
    <row r="1907" spans="1:4" ht="13.05" customHeight="1" x14ac:dyDescent="0.3">
      <c r="A1907" s="2" t="s">
        <v>352</v>
      </c>
      <c r="B1907" s="2" t="s">
        <v>985</v>
      </c>
      <c r="C1907" s="5" t="s">
        <v>3351</v>
      </c>
      <c r="D1907" s="2" t="s">
        <v>3352</v>
      </c>
    </row>
    <row r="1908" spans="1:4" ht="13.05" customHeight="1" x14ac:dyDescent="0.3">
      <c r="A1908" s="2" t="s">
        <v>352</v>
      </c>
      <c r="B1908" s="2" t="s">
        <v>985</v>
      </c>
      <c r="C1908" s="5" t="s">
        <v>3353</v>
      </c>
      <c r="D1908" s="2" t="s">
        <v>3354</v>
      </c>
    </row>
    <row r="1909" spans="1:4" ht="13.05" customHeight="1" x14ac:dyDescent="0.3">
      <c r="A1909" s="2" t="s">
        <v>352</v>
      </c>
      <c r="B1909" s="2" t="s">
        <v>985</v>
      </c>
      <c r="C1909" s="5" t="s">
        <v>3355</v>
      </c>
      <c r="D1909" s="2" t="s">
        <v>3356</v>
      </c>
    </row>
    <row r="1910" spans="1:4" ht="13.05" customHeight="1" x14ac:dyDescent="0.3">
      <c r="A1910" s="2" t="s">
        <v>352</v>
      </c>
      <c r="B1910" s="2" t="s">
        <v>985</v>
      </c>
      <c r="C1910" s="5" t="s">
        <v>3357</v>
      </c>
      <c r="D1910" s="2" t="s">
        <v>3358</v>
      </c>
    </row>
    <row r="1911" spans="1:4" ht="13.05" customHeight="1" x14ac:dyDescent="0.3">
      <c r="A1911" s="2" t="s">
        <v>352</v>
      </c>
      <c r="B1911" s="2" t="s">
        <v>985</v>
      </c>
      <c r="C1911" s="5" t="s">
        <v>3359</v>
      </c>
      <c r="D1911" s="2" t="s">
        <v>3360</v>
      </c>
    </row>
    <row r="1912" spans="1:4" ht="13.05" customHeight="1" x14ac:dyDescent="0.3">
      <c r="A1912" s="2" t="s">
        <v>352</v>
      </c>
      <c r="B1912" s="2" t="s">
        <v>985</v>
      </c>
      <c r="C1912" s="5" t="s">
        <v>3361</v>
      </c>
      <c r="D1912" s="2" t="s">
        <v>3362</v>
      </c>
    </row>
    <row r="1913" spans="1:4" ht="13.05" customHeight="1" x14ac:dyDescent="0.3">
      <c r="A1913" s="2" t="s">
        <v>352</v>
      </c>
      <c r="B1913" s="2" t="s">
        <v>985</v>
      </c>
      <c r="C1913" s="5" t="s">
        <v>3363</v>
      </c>
      <c r="D1913" s="2" t="s">
        <v>3364</v>
      </c>
    </row>
    <row r="1914" spans="1:4" ht="13.05" customHeight="1" x14ac:dyDescent="0.3">
      <c r="A1914" s="2" t="s">
        <v>352</v>
      </c>
      <c r="B1914" s="2" t="s">
        <v>985</v>
      </c>
      <c r="C1914" s="5" t="s">
        <v>3365</v>
      </c>
      <c r="D1914" s="2" t="s">
        <v>3278</v>
      </c>
    </row>
    <row r="1915" spans="1:4" ht="13.05" customHeight="1" x14ac:dyDescent="0.3">
      <c r="A1915" s="2" t="s">
        <v>352</v>
      </c>
      <c r="B1915" s="2" t="s">
        <v>985</v>
      </c>
      <c r="C1915" s="5" t="s">
        <v>3366</v>
      </c>
      <c r="D1915" s="2" t="s">
        <v>3367</v>
      </c>
    </row>
    <row r="1916" spans="1:4" ht="13.05" customHeight="1" x14ac:dyDescent="0.3">
      <c r="A1916" s="2" t="s">
        <v>352</v>
      </c>
      <c r="B1916" s="2" t="s">
        <v>985</v>
      </c>
      <c r="C1916" s="5" t="s">
        <v>3368</v>
      </c>
      <c r="D1916" s="2" t="s">
        <v>3369</v>
      </c>
    </row>
    <row r="1917" spans="1:4" ht="13.05" customHeight="1" x14ac:dyDescent="0.3">
      <c r="A1917" s="2" t="s">
        <v>352</v>
      </c>
      <c r="B1917" s="2" t="s">
        <v>985</v>
      </c>
      <c r="C1917" s="5" t="s">
        <v>3370</v>
      </c>
      <c r="D1917" s="2" t="s">
        <v>3371</v>
      </c>
    </row>
    <row r="1918" spans="1:4" ht="13.05" customHeight="1" x14ac:dyDescent="0.3">
      <c r="A1918" s="2" t="s">
        <v>352</v>
      </c>
      <c r="B1918" s="2" t="s">
        <v>985</v>
      </c>
      <c r="C1918" s="5" t="s">
        <v>3372</v>
      </c>
      <c r="D1918" s="2" t="s">
        <v>3373</v>
      </c>
    </row>
    <row r="1919" spans="1:4" ht="13.05" customHeight="1" x14ac:dyDescent="0.3">
      <c r="A1919" s="2" t="s">
        <v>352</v>
      </c>
      <c r="B1919" s="2" t="s">
        <v>985</v>
      </c>
      <c r="C1919" s="5" t="s">
        <v>3374</v>
      </c>
      <c r="D1919" s="2" t="s">
        <v>3375</v>
      </c>
    </row>
    <row r="1920" spans="1:4" ht="13.05" customHeight="1" x14ac:dyDescent="0.3">
      <c r="A1920" s="2" t="s">
        <v>352</v>
      </c>
      <c r="B1920" s="2" t="s">
        <v>985</v>
      </c>
      <c r="C1920" s="5" t="s">
        <v>3376</v>
      </c>
      <c r="D1920" s="2" t="s">
        <v>3377</v>
      </c>
    </row>
    <row r="1921" spans="1:4" ht="13.05" customHeight="1" x14ac:dyDescent="0.3">
      <c r="A1921" s="2" t="s">
        <v>352</v>
      </c>
      <c r="B1921" s="2" t="s">
        <v>985</v>
      </c>
      <c r="C1921" s="5" t="s">
        <v>3378</v>
      </c>
      <c r="D1921" s="2" t="s">
        <v>3360</v>
      </c>
    </row>
    <row r="1922" spans="1:4" ht="13.05" customHeight="1" x14ac:dyDescent="0.3">
      <c r="A1922" s="2" t="s">
        <v>352</v>
      </c>
      <c r="B1922" s="2" t="s">
        <v>985</v>
      </c>
      <c r="C1922" s="5" t="s">
        <v>3379</v>
      </c>
      <c r="D1922" s="2" t="s">
        <v>3380</v>
      </c>
    </row>
    <row r="1923" spans="1:4" ht="13.05" customHeight="1" x14ac:dyDescent="0.3">
      <c r="A1923" s="2" t="s">
        <v>352</v>
      </c>
      <c r="B1923" s="2" t="s">
        <v>985</v>
      </c>
      <c r="C1923" s="5" t="s">
        <v>3381</v>
      </c>
      <c r="D1923" s="2" t="s">
        <v>3382</v>
      </c>
    </row>
    <row r="1924" spans="1:4" ht="13.05" customHeight="1" x14ac:dyDescent="0.3">
      <c r="A1924" s="2" t="s">
        <v>352</v>
      </c>
      <c r="B1924" s="2" t="s">
        <v>985</v>
      </c>
      <c r="C1924" s="5" t="s">
        <v>3383</v>
      </c>
      <c r="D1924" s="2" t="s">
        <v>3384</v>
      </c>
    </row>
    <row r="1925" spans="1:4" ht="13.05" customHeight="1" x14ac:dyDescent="0.3">
      <c r="A1925" s="2" t="s">
        <v>352</v>
      </c>
      <c r="B1925" s="2" t="s">
        <v>985</v>
      </c>
      <c r="C1925" s="5" t="s">
        <v>3385</v>
      </c>
      <c r="D1925" s="2" t="s">
        <v>3386</v>
      </c>
    </row>
    <row r="1926" spans="1:4" ht="13.05" customHeight="1" x14ac:dyDescent="0.3">
      <c r="A1926" s="2" t="s">
        <v>352</v>
      </c>
      <c r="B1926" s="2" t="s">
        <v>985</v>
      </c>
      <c r="C1926" s="5" t="s">
        <v>3387</v>
      </c>
      <c r="D1926" s="2" t="s">
        <v>3388</v>
      </c>
    </row>
    <row r="1927" spans="1:4" ht="13.05" customHeight="1" x14ac:dyDescent="0.3">
      <c r="A1927" s="2" t="s">
        <v>352</v>
      </c>
      <c r="B1927" s="2" t="s">
        <v>985</v>
      </c>
      <c r="C1927" s="5" t="s">
        <v>3389</v>
      </c>
      <c r="D1927" s="2" t="s">
        <v>3390</v>
      </c>
    </row>
    <row r="1928" spans="1:4" ht="13.05" customHeight="1" x14ac:dyDescent="0.3">
      <c r="A1928" s="2" t="s">
        <v>352</v>
      </c>
      <c r="B1928" s="2" t="s">
        <v>985</v>
      </c>
      <c r="C1928" s="5" t="s">
        <v>3391</v>
      </c>
      <c r="D1928" s="2" t="s">
        <v>3392</v>
      </c>
    </row>
    <row r="1929" spans="1:4" ht="13.05" customHeight="1" x14ac:dyDescent="0.3">
      <c r="A1929" s="2" t="s">
        <v>352</v>
      </c>
      <c r="B1929" s="2" t="s">
        <v>985</v>
      </c>
      <c r="C1929" s="5" t="s">
        <v>3393</v>
      </c>
      <c r="D1929" s="2" t="s">
        <v>3394</v>
      </c>
    </row>
    <row r="1930" spans="1:4" ht="13.05" customHeight="1" x14ac:dyDescent="0.3">
      <c r="A1930" s="2" t="s">
        <v>352</v>
      </c>
      <c r="B1930" s="2" t="s">
        <v>985</v>
      </c>
      <c r="C1930" s="5" t="s">
        <v>3395</v>
      </c>
      <c r="D1930" s="2" t="s">
        <v>3396</v>
      </c>
    </row>
    <row r="1931" spans="1:4" ht="13.05" customHeight="1" x14ac:dyDescent="0.3">
      <c r="A1931" s="2" t="s">
        <v>352</v>
      </c>
      <c r="B1931" s="2" t="s">
        <v>985</v>
      </c>
      <c r="C1931" s="5" t="s">
        <v>3397</v>
      </c>
      <c r="D1931" s="2" t="s">
        <v>3398</v>
      </c>
    </row>
    <row r="1932" spans="1:4" ht="13.05" customHeight="1" x14ac:dyDescent="0.3">
      <c r="A1932" s="2" t="s">
        <v>352</v>
      </c>
      <c r="B1932" s="2" t="s">
        <v>985</v>
      </c>
      <c r="C1932" s="5" t="s">
        <v>3399</v>
      </c>
      <c r="D1932" s="2" t="s">
        <v>3400</v>
      </c>
    </row>
    <row r="1933" spans="1:4" ht="13.05" customHeight="1" x14ac:dyDescent="0.3">
      <c r="A1933" s="2" t="s">
        <v>352</v>
      </c>
      <c r="B1933" s="2" t="s">
        <v>985</v>
      </c>
      <c r="C1933" s="5" t="s">
        <v>3401</v>
      </c>
      <c r="D1933" s="2" t="s">
        <v>3402</v>
      </c>
    </row>
    <row r="1934" spans="1:4" ht="13.05" customHeight="1" x14ac:dyDescent="0.3">
      <c r="A1934" s="2" t="s">
        <v>352</v>
      </c>
      <c r="B1934" s="2" t="s">
        <v>985</v>
      </c>
      <c r="C1934" s="5" t="s">
        <v>3403</v>
      </c>
      <c r="D1934" s="2" t="s">
        <v>3404</v>
      </c>
    </row>
    <row r="1935" spans="1:4" ht="13.05" customHeight="1" x14ac:dyDescent="0.3">
      <c r="A1935" s="2" t="s">
        <v>352</v>
      </c>
      <c r="B1935" s="2" t="s">
        <v>985</v>
      </c>
      <c r="C1935" s="5" t="s">
        <v>3405</v>
      </c>
      <c r="D1935" s="2" t="s">
        <v>3406</v>
      </c>
    </row>
    <row r="1936" spans="1:4" ht="13.05" customHeight="1" x14ac:dyDescent="0.3">
      <c r="A1936" s="2" t="s">
        <v>352</v>
      </c>
      <c r="B1936" s="2" t="s">
        <v>985</v>
      </c>
      <c r="C1936" s="5" t="s">
        <v>3407</v>
      </c>
      <c r="D1936" s="2" t="s">
        <v>3408</v>
      </c>
    </row>
    <row r="1937" spans="1:4" ht="13.05" customHeight="1" x14ac:dyDescent="0.3">
      <c r="A1937" s="2" t="s">
        <v>352</v>
      </c>
      <c r="B1937" s="2" t="s">
        <v>985</v>
      </c>
      <c r="C1937" s="5" t="s">
        <v>3409</v>
      </c>
      <c r="D1937" s="2" t="s">
        <v>3410</v>
      </c>
    </row>
    <row r="1938" spans="1:4" ht="13.05" customHeight="1" x14ac:dyDescent="0.3">
      <c r="A1938" s="2" t="s">
        <v>352</v>
      </c>
      <c r="B1938" s="2" t="s">
        <v>985</v>
      </c>
      <c r="C1938" s="5" t="s">
        <v>3411</v>
      </c>
      <c r="D1938" s="2" t="s">
        <v>3412</v>
      </c>
    </row>
    <row r="1939" spans="1:4" ht="13.05" customHeight="1" x14ac:dyDescent="0.3">
      <c r="A1939" s="2" t="s">
        <v>352</v>
      </c>
      <c r="B1939" s="2" t="s">
        <v>985</v>
      </c>
      <c r="C1939" s="5" t="s">
        <v>3413</v>
      </c>
      <c r="D1939" s="2" t="s">
        <v>3414</v>
      </c>
    </row>
    <row r="1940" spans="1:4" ht="13.05" customHeight="1" x14ac:dyDescent="0.3">
      <c r="A1940" s="2" t="s">
        <v>352</v>
      </c>
      <c r="B1940" s="2" t="s">
        <v>985</v>
      </c>
      <c r="C1940" s="5" t="s">
        <v>3415</v>
      </c>
      <c r="D1940" s="2" t="s">
        <v>3416</v>
      </c>
    </row>
    <row r="1941" spans="1:4" ht="13.05" customHeight="1" x14ac:dyDescent="0.3">
      <c r="A1941" s="2" t="s">
        <v>352</v>
      </c>
      <c r="B1941" s="2" t="s">
        <v>985</v>
      </c>
      <c r="C1941" s="5" t="s">
        <v>3417</v>
      </c>
      <c r="D1941" s="2" t="s">
        <v>3418</v>
      </c>
    </row>
    <row r="1942" spans="1:4" ht="13.05" customHeight="1" x14ac:dyDescent="0.3">
      <c r="A1942" s="2" t="s">
        <v>352</v>
      </c>
      <c r="B1942" s="2" t="s">
        <v>985</v>
      </c>
      <c r="C1942" s="5" t="s">
        <v>3419</v>
      </c>
      <c r="D1942" s="2" t="s">
        <v>3420</v>
      </c>
    </row>
    <row r="1943" spans="1:4" ht="13.05" customHeight="1" x14ac:dyDescent="0.3">
      <c r="A1943" s="2" t="s">
        <v>352</v>
      </c>
      <c r="B1943" s="2" t="s">
        <v>985</v>
      </c>
      <c r="C1943" s="5" t="s">
        <v>3421</v>
      </c>
      <c r="D1943" s="2" t="s">
        <v>3422</v>
      </c>
    </row>
    <row r="1944" spans="1:4" ht="13.05" customHeight="1" x14ac:dyDescent="0.3">
      <c r="A1944" s="2" t="s">
        <v>352</v>
      </c>
      <c r="B1944" s="2" t="s">
        <v>985</v>
      </c>
      <c r="C1944" s="5" t="s">
        <v>3423</v>
      </c>
      <c r="D1944" s="2" t="s">
        <v>3424</v>
      </c>
    </row>
    <row r="1945" spans="1:4" ht="13.05" customHeight="1" x14ac:dyDescent="0.3">
      <c r="A1945" s="2" t="s">
        <v>352</v>
      </c>
      <c r="B1945" s="2" t="s">
        <v>985</v>
      </c>
      <c r="C1945" s="5" t="s">
        <v>3425</v>
      </c>
      <c r="D1945" s="2" t="s">
        <v>3334</v>
      </c>
    </row>
    <row r="1946" spans="1:4" ht="13.05" customHeight="1" x14ac:dyDescent="0.3">
      <c r="A1946" s="2" t="s">
        <v>352</v>
      </c>
      <c r="B1946" s="2" t="s">
        <v>985</v>
      </c>
      <c r="C1946" s="5" t="s">
        <v>3426</v>
      </c>
      <c r="D1946" s="2" t="s">
        <v>3427</v>
      </c>
    </row>
    <row r="1947" spans="1:4" ht="13.05" customHeight="1" x14ac:dyDescent="0.3">
      <c r="A1947" s="2" t="s">
        <v>352</v>
      </c>
      <c r="B1947" s="2" t="s">
        <v>985</v>
      </c>
      <c r="C1947" s="5" t="s">
        <v>3428</v>
      </c>
      <c r="D1947" s="2" t="s">
        <v>3429</v>
      </c>
    </row>
    <row r="1948" spans="1:4" ht="13.05" customHeight="1" x14ac:dyDescent="0.3">
      <c r="A1948" s="2" t="s">
        <v>352</v>
      </c>
      <c r="B1948" s="2" t="s">
        <v>985</v>
      </c>
      <c r="C1948" s="5" t="s">
        <v>3430</v>
      </c>
      <c r="D1948" s="2" t="s">
        <v>3431</v>
      </c>
    </row>
    <row r="1949" spans="1:4" ht="13.05" customHeight="1" x14ac:dyDescent="0.3">
      <c r="A1949" s="2" t="s">
        <v>352</v>
      </c>
      <c r="B1949" s="2" t="s">
        <v>985</v>
      </c>
      <c r="C1949" s="5" t="s">
        <v>3432</v>
      </c>
      <c r="D1949" s="2" t="s">
        <v>3433</v>
      </c>
    </row>
    <row r="1950" spans="1:4" ht="13.05" customHeight="1" x14ac:dyDescent="0.3">
      <c r="A1950" s="2" t="s">
        <v>352</v>
      </c>
      <c r="B1950" s="2" t="s">
        <v>985</v>
      </c>
      <c r="C1950" s="5" t="s">
        <v>3434</v>
      </c>
      <c r="D1950" s="2" t="s">
        <v>3435</v>
      </c>
    </row>
    <row r="1951" spans="1:4" ht="13.05" customHeight="1" x14ac:dyDescent="0.3">
      <c r="A1951" s="2" t="s">
        <v>352</v>
      </c>
      <c r="B1951" s="2" t="s">
        <v>985</v>
      </c>
      <c r="C1951" s="5" t="s">
        <v>3436</v>
      </c>
      <c r="D1951" s="2" t="s">
        <v>3356</v>
      </c>
    </row>
    <row r="1952" spans="1:4" ht="13.05" customHeight="1" x14ac:dyDescent="0.3">
      <c r="A1952" s="2" t="s">
        <v>352</v>
      </c>
      <c r="B1952" s="2" t="s">
        <v>985</v>
      </c>
      <c r="C1952" s="5" t="s">
        <v>3437</v>
      </c>
      <c r="D1952" s="2" t="s">
        <v>3358</v>
      </c>
    </row>
    <row r="1953" spans="1:4" ht="13.05" customHeight="1" x14ac:dyDescent="0.3">
      <c r="A1953" s="2" t="s">
        <v>352</v>
      </c>
      <c r="B1953" s="2" t="s">
        <v>985</v>
      </c>
      <c r="C1953" s="5" t="s">
        <v>3438</v>
      </c>
      <c r="D1953" s="2" t="s">
        <v>3439</v>
      </c>
    </row>
    <row r="1954" spans="1:4" ht="13.05" customHeight="1" x14ac:dyDescent="0.3">
      <c r="A1954" s="2" t="s">
        <v>352</v>
      </c>
      <c r="B1954" s="2" t="s">
        <v>985</v>
      </c>
      <c r="C1954" s="5" t="s">
        <v>3440</v>
      </c>
      <c r="D1954" s="2" t="s">
        <v>3441</v>
      </c>
    </row>
    <row r="1955" spans="1:4" ht="13.05" customHeight="1" x14ac:dyDescent="0.3">
      <c r="A1955" s="2" t="s">
        <v>352</v>
      </c>
      <c r="B1955" s="2" t="s">
        <v>985</v>
      </c>
      <c r="C1955" s="5" t="s">
        <v>3442</v>
      </c>
      <c r="D1955" s="2" t="s">
        <v>3443</v>
      </c>
    </row>
    <row r="1956" spans="1:4" ht="13.05" customHeight="1" x14ac:dyDescent="0.3">
      <c r="A1956" s="2" t="s">
        <v>352</v>
      </c>
      <c r="B1956" s="2" t="s">
        <v>985</v>
      </c>
      <c r="C1956" s="5" t="s">
        <v>3444</v>
      </c>
      <c r="D1956" s="2" t="s">
        <v>3445</v>
      </c>
    </row>
    <row r="1957" spans="1:4" ht="13.05" customHeight="1" x14ac:dyDescent="0.3">
      <c r="A1957" s="2" t="s">
        <v>352</v>
      </c>
      <c r="B1957" s="2" t="s">
        <v>985</v>
      </c>
      <c r="C1957" s="5" t="s">
        <v>3446</v>
      </c>
      <c r="D1957" s="2" t="s">
        <v>3447</v>
      </c>
    </row>
    <row r="1958" spans="1:4" ht="13.05" customHeight="1" x14ac:dyDescent="0.3">
      <c r="A1958" s="2" t="s">
        <v>352</v>
      </c>
      <c r="B1958" s="2" t="s">
        <v>985</v>
      </c>
      <c r="C1958" s="5" t="s">
        <v>3448</v>
      </c>
      <c r="D1958" s="2" t="s">
        <v>3449</v>
      </c>
    </row>
    <row r="1959" spans="1:4" ht="13.05" customHeight="1" x14ac:dyDescent="0.3">
      <c r="A1959" s="2" t="s">
        <v>352</v>
      </c>
      <c r="B1959" s="2" t="s">
        <v>985</v>
      </c>
      <c r="C1959" s="5" t="s">
        <v>3450</v>
      </c>
      <c r="D1959" s="2" t="s">
        <v>3451</v>
      </c>
    </row>
    <row r="1960" spans="1:4" ht="13.05" customHeight="1" x14ac:dyDescent="0.3">
      <c r="A1960" s="2" t="s">
        <v>352</v>
      </c>
      <c r="B1960" s="2" t="s">
        <v>985</v>
      </c>
      <c r="C1960" s="5" t="s">
        <v>3452</v>
      </c>
      <c r="D1960" s="2" t="s">
        <v>3453</v>
      </c>
    </row>
    <row r="1961" spans="1:4" ht="13.05" customHeight="1" x14ac:dyDescent="0.3">
      <c r="A1961" s="2" t="s">
        <v>352</v>
      </c>
      <c r="B1961" s="2" t="s">
        <v>985</v>
      </c>
      <c r="C1961" s="5" t="s">
        <v>3454</v>
      </c>
      <c r="D1961" s="2" t="s">
        <v>3455</v>
      </c>
    </row>
    <row r="1962" spans="1:4" ht="13.05" customHeight="1" x14ac:dyDescent="0.3">
      <c r="A1962" s="2" t="s">
        <v>352</v>
      </c>
      <c r="B1962" s="2" t="s">
        <v>985</v>
      </c>
      <c r="C1962" s="5" t="s">
        <v>3456</v>
      </c>
      <c r="D1962" s="2" t="s">
        <v>3457</v>
      </c>
    </row>
    <row r="1963" spans="1:4" ht="13.05" customHeight="1" x14ac:dyDescent="0.3">
      <c r="A1963" s="2" t="s">
        <v>352</v>
      </c>
      <c r="B1963" s="2" t="s">
        <v>985</v>
      </c>
      <c r="C1963" s="5" t="s">
        <v>3458</v>
      </c>
      <c r="D1963" s="2" t="s">
        <v>3459</v>
      </c>
    </row>
    <row r="1964" spans="1:4" ht="13.05" customHeight="1" x14ac:dyDescent="0.3">
      <c r="A1964" s="2" t="s">
        <v>352</v>
      </c>
      <c r="B1964" s="2" t="s">
        <v>985</v>
      </c>
      <c r="C1964" s="5" t="s">
        <v>3460</v>
      </c>
      <c r="D1964" s="2" t="s">
        <v>3461</v>
      </c>
    </row>
    <row r="1965" spans="1:4" ht="13.05" customHeight="1" x14ac:dyDescent="0.3">
      <c r="A1965" s="2" t="s">
        <v>352</v>
      </c>
      <c r="B1965" s="2" t="s">
        <v>985</v>
      </c>
      <c r="C1965" s="5" t="s">
        <v>3462</v>
      </c>
      <c r="D1965" s="2" t="s">
        <v>3463</v>
      </c>
    </row>
    <row r="1966" spans="1:4" ht="13.05" customHeight="1" x14ac:dyDescent="0.3">
      <c r="A1966" s="2" t="s">
        <v>352</v>
      </c>
      <c r="B1966" s="2" t="s">
        <v>985</v>
      </c>
      <c r="C1966" s="5" t="s">
        <v>3464</v>
      </c>
      <c r="D1966" s="2" t="s">
        <v>3465</v>
      </c>
    </row>
    <row r="1967" spans="1:4" ht="13.05" customHeight="1" x14ac:dyDescent="0.3">
      <c r="A1967" s="2" t="s">
        <v>352</v>
      </c>
      <c r="B1967" s="2" t="s">
        <v>985</v>
      </c>
      <c r="C1967" s="5" t="s">
        <v>3466</v>
      </c>
      <c r="D1967" s="2" t="s">
        <v>3467</v>
      </c>
    </row>
    <row r="1968" spans="1:4" ht="13.05" customHeight="1" x14ac:dyDescent="0.3">
      <c r="A1968" s="2" t="s">
        <v>352</v>
      </c>
      <c r="B1968" s="2" t="s">
        <v>985</v>
      </c>
      <c r="C1968" s="5" t="s">
        <v>3468</v>
      </c>
      <c r="D1968" s="2" t="s">
        <v>3469</v>
      </c>
    </row>
    <row r="1969" spans="1:4" ht="13.05" customHeight="1" x14ac:dyDescent="0.3">
      <c r="A1969" s="2" t="s">
        <v>352</v>
      </c>
      <c r="B1969" s="2" t="s">
        <v>985</v>
      </c>
      <c r="C1969" s="5" t="s">
        <v>3470</v>
      </c>
      <c r="D1969" s="2" t="s">
        <v>3471</v>
      </c>
    </row>
    <row r="1970" spans="1:4" ht="13.05" customHeight="1" x14ac:dyDescent="0.3">
      <c r="A1970" s="2" t="s">
        <v>352</v>
      </c>
      <c r="B1970" s="2" t="s">
        <v>985</v>
      </c>
      <c r="C1970" s="5" t="s">
        <v>3472</v>
      </c>
      <c r="D1970" s="2" t="s">
        <v>3298</v>
      </c>
    </row>
    <row r="1971" spans="1:4" ht="13.05" customHeight="1" x14ac:dyDescent="0.3">
      <c r="A1971" s="2" t="s">
        <v>352</v>
      </c>
      <c r="B1971" s="2" t="s">
        <v>985</v>
      </c>
      <c r="C1971" s="5" t="s">
        <v>3473</v>
      </c>
      <c r="D1971" s="2" t="s">
        <v>3300</v>
      </c>
    </row>
    <row r="1972" spans="1:4" ht="13.05" customHeight="1" x14ac:dyDescent="0.3">
      <c r="A1972" s="2" t="s">
        <v>352</v>
      </c>
      <c r="B1972" s="2" t="s">
        <v>985</v>
      </c>
      <c r="C1972" s="5" t="s">
        <v>3474</v>
      </c>
      <c r="D1972" s="2" t="s">
        <v>3475</v>
      </c>
    </row>
    <row r="1973" spans="1:4" ht="13.05" customHeight="1" x14ac:dyDescent="0.3">
      <c r="A1973" s="2" t="s">
        <v>352</v>
      </c>
      <c r="B1973" s="2" t="s">
        <v>985</v>
      </c>
      <c r="C1973" s="5" t="s">
        <v>3476</v>
      </c>
      <c r="D1973" s="2" t="s">
        <v>3477</v>
      </c>
    </row>
    <row r="1974" spans="1:4" ht="13.05" customHeight="1" x14ac:dyDescent="0.3">
      <c r="A1974" s="2" t="s">
        <v>352</v>
      </c>
      <c r="B1974" s="2" t="s">
        <v>985</v>
      </c>
      <c r="C1974" s="5" t="s">
        <v>3478</v>
      </c>
      <c r="D1974" s="2" t="s">
        <v>3479</v>
      </c>
    </row>
    <row r="1975" spans="1:4" ht="13.05" customHeight="1" x14ac:dyDescent="0.3">
      <c r="A1975" s="2" t="s">
        <v>352</v>
      </c>
      <c r="B1975" s="2" t="s">
        <v>985</v>
      </c>
      <c r="C1975" s="5" t="s">
        <v>3480</v>
      </c>
      <c r="D1975" s="2" t="s">
        <v>3481</v>
      </c>
    </row>
    <row r="1976" spans="1:4" ht="13.05" customHeight="1" x14ac:dyDescent="0.3">
      <c r="A1976" s="2" t="s">
        <v>352</v>
      </c>
      <c r="B1976" s="2" t="s">
        <v>985</v>
      </c>
      <c r="C1976" s="5" t="s">
        <v>3482</v>
      </c>
      <c r="D1976" s="2" t="s">
        <v>3483</v>
      </c>
    </row>
    <row r="1977" spans="1:4" ht="13.05" customHeight="1" x14ac:dyDescent="0.3">
      <c r="A1977" s="2" t="s">
        <v>352</v>
      </c>
      <c r="B1977" s="2" t="s">
        <v>985</v>
      </c>
      <c r="C1977" s="5" t="s">
        <v>3484</v>
      </c>
      <c r="D1977" s="2" t="s">
        <v>3485</v>
      </c>
    </row>
    <row r="1978" spans="1:4" ht="13.05" customHeight="1" x14ac:dyDescent="0.3">
      <c r="A1978" s="2" t="s">
        <v>352</v>
      </c>
      <c r="B1978" s="2" t="s">
        <v>985</v>
      </c>
      <c r="C1978" s="5" t="s">
        <v>3486</v>
      </c>
      <c r="D1978" s="2" t="s">
        <v>3487</v>
      </c>
    </row>
    <row r="1979" spans="1:4" ht="13.05" customHeight="1" x14ac:dyDescent="0.3">
      <c r="A1979" s="2" t="s">
        <v>352</v>
      </c>
      <c r="B1979" s="2" t="s">
        <v>985</v>
      </c>
      <c r="C1979" s="5" t="s">
        <v>3488</v>
      </c>
      <c r="D1979" s="2" t="s">
        <v>3489</v>
      </c>
    </row>
    <row r="1980" spans="1:4" ht="13.05" customHeight="1" x14ac:dyDescent="0.3">
      <c r="A1980" s="2" t="s">
        <v>352</v>
      </c>
      <c r="B1980" s="2" t="s">
        <v>985</v>
      </c>
      <c r="C1980" s="5" t="s">
        <v>3490</v>
      </c>
      <c r="D1980" s="2" t="s">
        <v>3304</v>
      </c>
    </row>
    <row r="1981" spans="1:4" ht="13.05" customHeight="1" x14ac:dyDescent="0.3">
      <c r="A1981" s="2" t="s">
        <v>352</v>
      </c>
      <c r="B1981" s="2" t="s">
        <v>985</v>
      </c>
      <c r="C1981" s="5" t="s">
        <v>3491</v>
      </c>
      <c r="D1981" s="2" t="s">
        <v>3492</v>
      </c>
    </row>
    <row r="1982" spans="1:4" ht="13.05" customHeight="1" x14ac:dyDescent="0.3">
      <c r="A1982" s="2" t="s">
        <v>352</v>
      </c>
      <c r="B1982" s="2" t="s">
        <v>985</v>
      </c>
      <c r="C1982" s="5" t="s">
        <v>3493</v>
      </c>
      <c r="D1982" s="2" t="s">
        <v>3308</v>
      </c>
    </row>
    <row r="1983" spans="1:4" ht="13.05" customHeight="1" x14ac:dyDescent="0.3">
      <c r="A1983" s="2" t="s">
        <v>352</v>
      </c>
      <c r="B1983" s="2" t="s">
        <v>985</v>
      </c>
      <c r="C1983" s="5" t="s">
        <v>3494</v>
      </c>
      <c r="D1983" s="2" t="s">
        <v>3495</v>
      </c>
    </row>
    <row r="1984" spans="1:4" ht="13.05" customHeight="1" x14ac:dyDescent="0.3">
      <c r="A1984" s="2" t="s">
        <v>352</v>
      </c>
      <c r="B1984" s="2" t="s">
        <v>985</v>
      </c>
      <c r="C1984" s="5" t="s">
        <v>3496</v>
      </c>
      <c r="D1984" s="2" t="s">
        <v>3497</v>
      </c>
    </row>
    <row r="1985" spans="1:4" ht="13.05" customHeight="1" x14ac:dyDescent="0.3">
      <c r="A1985" s="2" t="s">
        <v>352</v>
      </c>
      <c r="B1985" s="2" t="s">
        <v>985</v>
      </c>
      <c r="C1985" s="5" t="s">
        <v>3498</v>
      </c>
      <c r="D1985" s="2" t="s">
        <v>3499</v>
      </c>
    </row>
    <row r="1986" spans="1:4" ht="13.05" customHeight="1" x14ac:dyDescent="0.3">
      <c r="A1986" s="2" t="s">
        <v>352</v>
      </c>
      <c r="B1986" s="2" t="s">
        <v>985</v>
      </c>
      <c r="C1986" s="5" t="s">
        <v>3500</v>
      </c>
      <c r="D1986" s="2" t="s">
        <v>3118</v>
      </c>
    </row>
    <row r="1987" spans="1:4" ht="13.05" customHeight="1" x14ac:dyDescent="0.3">
      <c r="A1987" s="2" t="s">
        <v>352</v>
      </c>
      <c r="B1987" s="2" t="s">
        <v>985</v>
      </c>
      <c r="C1987" s="5" t="s">
        <v>3501</v>
      </c>
      <c r="D1987" s="2" t="s">
        <v>3244</v>
      </c>
    </row>
    <row r="1988" spans="1:4" ht="13.05" customHeight="1" x14ac:dyDescent="0.3">
      <c r="A1988" s="2" t="s">
        <v>352</v>
      </c>
      <c r="B1988" s="2" t="s">
        <v>985</v>
      </c>
      <c r="C1988" s="5" t="s">
        <v>3502</v>
      </c>
      <c r="D1988" s="2" t="s">
        <v>3246</v>
      </c>
    </row>
    <row r="1989" spans="1:4" ht="13.05" customHeight="1" x14ac:dyDescent="0.3">
      <c r="A1989" s="2" t="s">
        <v>352</v>
      </c>
      <c r="B1989" s="2" t="s">
        <v>985</v>
      </c>
      <c r="C1989" s="5" t="s">
        <v>3503</v>
      </c>
      <c r="D1989" s="2" t="s">
        <v>3504</v>
      </c>
    </row>
    <row r="1990" spans="1:4" ht="13.05" customHeight="1" x14ac:dyDescent="0.3">
      <c r="A1990" s="2" t="s">
        <v>352</v>
      </c>
      <c r="B1990" s="2" t="s">
        <v>985</v>
      </c>
      <c r="C1990" s="5" t="s">
        <v>3505</v>
      </c>
      <c r="D1990" s="2" t="s">
        <v>3506</v>
      </c>
    </row>
    <row r="1991" spans="1:4" ht="13.05" customHeight="1" x14ac:dyDescent="0.3">
      <c r="A1991" s="2" t="s">
        <v>352</v>
      </c>
      <c r="B1991" s="2" t="s">
        <v>985</v>
      </c>
      <c r="C1991" s="5" t="s">
        <v>3507</v>
      </c>
      <c r="D1991" s="2" t="s">
        <v>3508</v>
      </c>
    </row>
    <row r="1992" spans="1:4" ht="13.05" customHeight="1" x14ac:dyDescent="0.3">
      <c r="A1992" s="2" t="s">
        <v>352</v>
      </c>
      <c r="B1992" s="2" t="s">
        <v>985</v>
      </c>
      <c r="C1992" s="5" t="s">
        <v>3509</v>
      </c>
      <c r="D1992" s="2" t="s">
        <v>3510</v>
      </c>
    </row>
    <row r="1993" spans="1:4" ht="13.05" customHeight="1" x14ac:dyDescent="0.3">
      <c r="A1993" s="2" t="s">
        <v>352</v>
      </c>
      <c r="B1993" s="2" t="s">
        <v>985</v>
      </c>
      <c r="C1993" s="5" t="s">
        <v>3511</v>
      </c>
      <c r="D1993" s="2" t="s">
        <v>3512</v>
      </c>
    </row>
    <row r="1994" spans="1:4" ht="13.05" customHeight="1" x14ac:dyDescent="0.3">
      <c r="A1994" s="2" t="s">
        <v>352</v>
      </c>
      <c r="B1994" s="2" t="s">
        <v>985</v>
      </c>
      <c r="C1994" s="5" t="s">
        <v>3513</v>
      </c>
      <c r="D1994" s="2" t="s">
        <v>3514</v>
      </c>
    </row>
    <row r="1995" spans="1:4" ht="13.05" customHeight="1" x14ac:dyDescent="0.3">
      <c r="A1995" s="2" t="s">
        <v>352</v>
      </c>
      <c r="B1995" s="2" t="s">
        <v>985</v>
      </c>
      <c r="C1995" s="5" t="s">
        <v>3515</v>
      </c>
      <c r="D1995" s="2" t="s">
        <v>3516</v>
      </c>
    </row>
    <row r="1996" spans="1:4" ht="13.05" customHeight="1" x14ac:dyDescent="0.3">
      <c r="A1996" s="2" t="s">
        <v>352</v>
      </c>
      <c r="B1996" s="2" t="s">
        <v>985</v>
      </c>
      <c r="C1996" s="5" t="s">
        <v>3517</v>
      </c>
      <c r="D1996" s="2" t="s">
        <v>3518</v>
      </c>
    </row>
    <row r="1997" spans="1:4" ht="13.05" customHeight="1" x14ac:dyDescent="0.3">
      <c r="A1997" s="2" t="s">
        <v>352</v>
      </c>
      <c r="B1997" s="2" t="s">
        <v>985</v>
      </c>
      <c r="C1997" s="5" t="s">
        <v>3519</v>
      </c>
      <c r="D1997" s="2" t="s">
        <v>3520</v>
      </c>
    </row>
    <row r="1998" spans="1:4" ht="13.05" customHeight="1" x14ac:dyDescent="0.3">
      <c r="A1998" s="2" t="s">
        <v>352</v>
      </c>
      <c r="B1998" s="2" t="s">
        <v>985</v>
      </c>
      <c r="C1998" s="5" t="s">
        <v>3521</v>
      </c>
      <c r="D1998" s="2" t="s">
        <v>3522</v>
      </c>
    </row>
    <row r="1999" spans="1:4" ht="13.05" customHeight="1" x14ac:dyDescent="0.3">
      <c r="A1999" s="2" t="s">
        <v>352</v>
      </c>
      <c r="B1999" s="2" t="s">
        <v>985</v>
      </c>
      <c r="C1999" s="5" t="s">
        <v>3523</v>
      </c>
      <c r="D1999" s="2" t="s">
        <v>3524</v>
      </c>
    </row>
    <row r="2000" spans="1:4" ht="13.05" customHeight="1" x14ac:dyDescent="0.3">
      <c r="A2000" s="2" t="s">
        <v>352</v>
      </c>
      <c r="B2000" s="2" t="s">
        <v>985</v>
      </c>
      <c r="C2000" s="5" t="s">
        <v>3525</v>
      </c>
      <c r="D2000" s="2" t="s">
        <v>3526</v>
      </c>
    </row>
    <row r="2001" spans="1:4" ht="13.05" customHeight="1" x14ac:dyDescent="0.3">
      <c r="A2001" s="2" t="s">
        <v>352</v>
      </c>
      <c r="B2001" s="2" t="s">
        <v>985</v>
      </c>
      <c r="C2001" s="5" t="s">
        <v>3527</v>
      </c>
      <c r="D2001" s="2" t="s">
        <v>3406</v>
      </c>
    </row>
    <row r="2002" spans="1:4" ht="13.05" customHeight="1" x14ac:dyDescent="0.3">
      <c r="A2002" s="2" t="s">
        <v>352</v>
      </c>
      <c r="B2002" s="2" t="s">
        <v>985</v>
      </c>
      <c r="C2002" s="5" t="s">
        <v>3528</v>
      </c>
      <c r="D2002" s="2" t="s">
        <v>3529</v>
      </c>
    </row>
    <row r="2003" spans="1:4" ht="13.05" customHeight="1" x14ac:dyDescent="0.3">
      <c r="A2003" s="2" t="s">
        <v>352</v>
      </c>
      <c r="B2003" s="2" t="s">
        <v>985</v>
      </c>
      <c r="C2003" s="5" t="s">
        <v>3530</v>
      </c>
      <c r="D2003" s="2" t="s">
        <v>3531</v>
      </c>
    </row>
    <row r="2004" spans="1:4" ht="13.05" customHeight="1" x14ac:dyDescent="0.3">
      <c r="A2004" s="2" t="s">
        <v>352</v>
      </c>
      <c r="B2004" s="2" t="s">
        <v>985</v>
      </c>
      <c r="C2004" s="5" t="s">
        <v>3532</v>
      </c>
      <c r="D2004" s="2" t="s">
        <v>3533</v>
      </c>
    </row>
    <row r="2005" spans="1:4" ht="13.05" customHeight="1" x14ac:dyDescent="0.3">
      <c r="A2005" s="2" t="s">
        <v>352</v>
      </c>
      <c r="B2005" s="2" t="s">
        <v>985</v>
      </c>
      <c r="C2005" s="5" t="s">
        <v>3534</v>
      </c>
      <c r="D2005" s="2" t="s">
        <v>3535</v>
      </c>
    </row>
    <row r="2006" spans="1:4" ht="13.05" customHeight="1" x14ac:dyDescent="0.3">
      <c r="A2006" s="2" t="s">
        <v>352</v>
      </c>
      <c r="B2006" s="2" t="s">
        <v>985</v>
      </c>
      <c r="C2006" s="5" t="s">
        <v>3536</v>
      </c>
      <c r="D2006" s="2" t="s">
        <v>3334</v>
      </c>
    </row>
    <row r="2007" spans="1:4" ht="13.05" customHeight="1" x14ac:dyDescent="0.3">
      <c r="A2007" s="2" t="s">
        <v>352</v>
      </c>
      <c r="B2007" s="2" t="s">
        <v>985</v>
      </c>
      <c r="C2007" s="5" t="s">
        <v>3537</v>
      </c>
      <c r="D2007" s="2" t="s">
        <v>3322</v>
      </c>
    </row>
    <row r="2008" spans="1:4" ht="13.05" customHeight="1" x14ac:dyDescent="0.3">
      <c r="A2008" s="2" t="s">
        <v>352</v>
      </c>
      <c r="B2008" s="2" t="s">
        <v>985</v>
      </c>
      <c r="C2008" s="5" t="s">
        <v>3538</v>
      </c>
      <c r="D2008" s="2" t="s">
        <v>3539</v>
      </c>
    </row>
    <row r="2009" spans="1:4" ht="13.05" customHeight="1" x14ac:dyDescent="0.3">
      <c r="A2009" s="2" t="s">
        <v>352</v>
      </c>
      <c r="B2009" s="2" t="s">
        <v>985</v>
      </c>
      <c r="C2009" s="5" t="s">
        <v>3540</v>
      </c>
      <c r="D2009" s="2" t="s">
        <v>3541</v>
      </c>
    </row>
    <row r="2010" spans="1:4" ht="13.05" customHeight="1" x14ac:dyDescent="0.3">
      <c r="A2010" s="2" t="s">
        <v>352</v>
      </c>
      <c r="B2010" s="2" t="s">
        <v>985</v>
      </c>
      <c r="C2010" s="5" t="s">
        <v>3542</v>
      </c>
      <c r="D2010" s="2" t="s">
        <v>3244</v>
      </c>
    </row>
    <row r="2011" spans="1:4" ht="13.05" customHeight="1" x14ac:dyDescent="0.3">
      <c r="A2011" s="2" t="s">
        <v>352</v>
      </c>
      <c r="B2011" s="2" t="s">
        <v>985</v>
      </c>
      <c r="C2011" s="5" t="s">
        <v>3543</v>
      </c>
      <c r="D2011" s="2" t="s">
        <v>3358</v>
      </c>
    </row>
    <row r="2012" spans="1:4" ht="13.05" customHeight="1" x14ac:dyDescent="0.3">
      <c r="A2012" s="2" t="s">
        <v>352</v>
      </c>
      <c r="B2012" s="2" t="s">
        <v>985</v>
      </c>
      <c r="C2012" s="5" t="s">
        <v>3544</v>
      </c>
      <c r="D2012" s="2" t="s">
        <v>3545</v>
      </c>
    </row>
    <row r="2013" spans="1:4" ht="13.05" customHeight="1" x14ac:dyDescent="0.3">
      <c r="A2013" s="2" t="s">
        <v>352</v>
      </c>
      <c r="B2013" s="2" t="s">
        <v>985</v>
      </c>
      <c r="C2013" s="5" t="s">
        <v>3546</v>
      </c>
      <c r="D2013" s="2" t="s">
        <v>3449</v>
      </c>
    </row>
    <row r="2014" spans="1:4" ht="13.05" customHeight="1" x14ac:dyDescent="0.3">
      <c r="A2014" s="2" t="s">
        <v>352</v>
      </c>
      <c r="B2014" s="2" t="s">
        <v>985</v>
      </c>
      <c r="C2014" s="5" t="s">
        <v>3547</v>
      </c>
      <c r="D2014" s="2" t="s">
        <v>3548</v>
      </c>
    </row>
    <row r="2015" spans="1:4" ht="13.05" customHeight="1" x14ac:dyDescent="0.3">
      <c r="A2015" s="2" t="s">
        <v>352</v>
      </c>
      <c r="B2015" s="2" t="s">
        <v>985</v>
      </c>
      <c r="C2015" s="5" t="s">
        <v>3549</v>
      </c>
      <c r="D2015" s="2" t="s">
        <v>3550</v>
      </c>
    </row>
    <row r="2016" spans="1:4" ht="13.05" customHeight="1" x14ac:dyDescent="0.3">
      <c r="A2016" s="2" t="s">
        <v>352</v>
      </c>
      <c r="B2016" s="2" t="s">
        <v>985</v>
      </c>
      <c r="C2016" s="5" t="s">
        <v>3551</v>
      </c>
      <c r="D2016" s="2" t="s">
        <v>3552</v>
      </c>
    </row>
    <row r="2017" spans="1:4" ht="13.05" customHeight="1" x14ac:dyDescent="0.3">
      <c r="A2017" s="2" t="s">
        <v>352</v>
      </c>
      <c r="B2017" s="2" t="s">
        <v>985</v>
      </c>
      <c r="C2017" s="5" t="s">
        <v>3553</v>
      </c>
      <c r="D2017" s="2" t="s">
        <v>3276</v>
      </c>
    </row>
    <row r="2018" spans="1:4" ht="13.05" customHeight="1" x14ac:dyDescent="0.3">
      <c r="A2018" s="2" t="s">
        <v>352</v>
      </c>
      <c r="B2018" s="2" t="s">
        <v>985</v>
      </c>
      <c r="C2018" s="5" t="s">
        <v>3554</v>
      </c>
      <c r="D2018" s="2" t="s">
        <v>3278</v>
      </c>
    </row>
    <row r="2019" spans="1:4" ht="13.05" customHeight="1" x14ac:dyDescent="0.3">
      <c r="A2019" s="2" t="s">
        <v>352</v>
      </c>
      <c r="B2019" s="2" t="s">
        <v>985</v>
      </c>
      <c r="C2019" s="5" t="s">
        <v>3555</v>
      </c>
      <c r="D2019" s="2" t="s">
        <v>3497</v>
      </c>
    </row>
    <row r="2020" spans="1:4" ht="13.05" customHeight="1" x14ac:dyDescent="0.3">
      <c r="A2020" s="2" t="s">
        <v>352</v>
      </c>
      <c r="B2020" s="2" t="s">
        <v>985</v>
      </c>
      <c r="C2020" s="5" t="s">
        <v>3556</v>
      </c>
      <c r="D2020" s="2" t="s">
        <v>3557</v>
      </c>
    </row>
    <row r="2021" spans="1:4" ht="13.05" customHeight="1" x14ac:dyDescent="0.3">
      <c r="A2021" s="2" t="s">
        <v>352</v>
      </c>
      <c r="B2021" s="2" t="s">
        <v>985</v>
      </c>
      <c r="C2021" s="5" t="s">
        <v>3558</v>
      </c>
      <c r="D2021" s="2" t="s">
        <v>3559</v>
      </c>
    </row>
    <row r="2022" spans="1:4" ht="13.05" customHeight="1" x14ac:dyDescent="0.3">
      <c r="A2022" s="2" t="s">
        <v>352</v>
      </c>
      <c r="B2022" s="2" t="s">
        <v>985</v>
      </c>
      <c r="C2022" s="5" t="s">
        <v>3560</v>
      </c>
      <c r="D2022" s="2" t="s">
        <v>3561</v>
      </c>
    </row>
    <row r="2023" spans="1:4" ht="13.05" customHeight="1" x14ac:dyDescent="0.3">
      <c r="A2023" s="2" t="s">
        <v>352</v>
      </c>
      <c r="B2023" s="2" t="s">
        <v>985</v>
      </c>
      <c r="C2023" s="5" t="s">
        <v>3562</v>
      </c>
      <c r="D2023" s="2" t="s">
        <v>3563</v>
      </c>
    </row>
    <row r="2024" spans="1:4" ht="13.05" customHeight="1" x14ac:dyDescent="0.3">
      <c r="A2024" s="2" t="s">
        <v>352</v>
      </c>
      <c r="B2024" s="2" t="s">
        <v>985</v>
      </c>
      <c r="C2024" s="5" t="s">
        <v>3564</v>
      </c>
      <c r="D2024" s="2" t="s">
        <v>3565</v>
      </c>
    </row>
    <row r="2025" spans="1:4" ht="13.05" customHeight="1" x14ac:dyDescent="0.3">
      <c r="A2025" s="2" t="s">
        <v>352</v>
      </c>
      <c r="B2025" s="2" t="s">
        <v>985</v>
      </c>
      <c r="C2025" s="5" t="s">
        <v>3566</v>
      </c>
      <c r="D2025" s="2" t="s">
        <v>3567</v>
      </c>
    </row>
    <row r="2026" spans="1:4" ht="13.05" customHeight="1" x14ac:dyDescent="0.3">
      <c r="A2026" s="2" t="s">
        <v>352</v>
      </c>
      <c r="B2026" s="2" t="s">
        <v>985</v>
      </c>
      <c r="C2026" s="5" t="s">
        <v>3568</v>
      </c>
      <c r="D2026" s="2" t="s">
        <v>3569</v>
      </c>
    </row>
    <row r="2027" spans="1:4" ht="13.05" customHeight="1" x14ac:dyDescent="0.3">
      <c r="A2027" s="2" t="s">
        <v>352</v>
      </c>
      <c r="B2027" s="2" t="s">
        <v>985</v>
      </c>
      <c r="C2027" s="5" t="s">
        <v>3570</v>
      </c>
      <c r="D2027" s="2" t="s">
        <v>3244</v>
      </c>
    </row>
    <row r="2028" spans="1:4" ht="13.05" customHeight="1" x14ac:dyDescent="0.3">
      <c r="A2028" s="2" t="s">
        <v>352</v>
      </c>
      <c r="B2028" s="2" t="s">
        <v>985</v>
      </c>
      <c r="C2028" s="5" t="s">
        <v>3571</v>
      </c>
      <c r="D2028" s="2" t="s">
        <v>3246</v>
      </c>
    </row>
    <row r="2029" spans="1:4" ht="13.05" customHeight="1" x14ac:dyDescent="0.3">
      <c r="A2029" s="2" t="s">
        <v>352</v>
      </c>
      <c r="B2029" s="2" t="s">
        <v>985</v>
      </c>
      <c r="C2029" s="5" t="s">
        <v>3572</v>
      </c>
      <c r="D2029" s="2" t="s">
        <v>3573</v>
      </c>
    </row>
    <row r="2030" spans="1:4" ht="13.05" customHeight="1" x14ac:dyDescent="0.3">
      <c r="A2030" s="2" t="s">
        <v>352</v>
      </c>
      <c r="B2030" s="2" t="s">
        <v>985</v>
      </c>
      <c r="C2030" s="5" t="s">
        <v>3574</v>
      </c>
      <c r="D2030" s="2" t="s">
        <v>3575</v>
      </c>
    </row>
    <row r="2031" spans="1:4" ht="13.05" customHeight="1" x14ac:dyDescent="0.3">
      <c r="A2031" s="2" t="s">
        <v>352</v>
      </c>
      <c r="B2031" s="2" t="s">
        <v>985</v>
      </c>
      <c r="C2031" s="5" t="s">
        <v>3576</v>
      </c>
      <c r="D2031" s="2" t="s">
        <v>3577</v>
      </c>
    </row>
    <row r="2032" spans="1:4" ht="13.05" customHeight="1" x14ac:dyDescent="0.3">
      <c r="A2032" s="2" t="s">
        <v>352</v>
      </c>
      <c r="B2032" s="2" t="s">
        <v>985</v>
      </c>
      <c r="C2032" s="5" t="s">
        <v>3578</v>
      </c>
      <c r="D2032" s="2" t="s">
        <v>3579</v>
      </c>
    </row>
    <row r="2033" spans="1:4" ht="13.05" customHeight="1" x14ac:dyDescent="0.3">
      <c r="A2033" s="2" t="s">
        <v>352</v>
      </c>
      <c r="B2033" s="2" t="s">
        <v>985</v>
      </c>
      <c r="C2033" s="5" t="s">
        <v>3580</v>
      </c>
      <c r="D2033" s="2" t="s">
        <v>3581</v>
      </c>
    </row>
    <row r="2034" spans="1:4" ht="13.05" customHeight="1" x14ac:dyDescent="0.3">
      <c r="A2034" s="2" t="s">
        <v>352</v>
      </c>
      <c r="B2034" s="2" t="s">
        <v>985</v>
      </c>
      <c r="C2034" s="5" t="s">
        <v>3582</v>
      </c>
      <c r="D2034" s="2" t="s">
        <v>3583</v>
      </c>
    </row>
    <row r="2035" spans="1:4" ht="13.05" customHeight="1" x14ac:dyDescent="0.3">
      <c r="A2035" s="2" t="s">
        <v>352</v>
      </c>
      <c r="B2035" s="2" t="s">
        <v>985</v>
      </c>
      <c r="C2035" s="5" t="s">
        <v>3584</v>
      </c>
      <c r="D2035" s="2" t="s">
        <v>3585</v>
      </c>
    </row>
    <row r="2036" spans="1:4" ht="13.05" customHeight="1" x14ac:dyDescent="0.3">
      <c r="A2036" s="2" t="s">
        <v>352</v>
      </c>
      <c r="B2036" s="2" t="s">
        <v>985</v>
      </c>
      <c r="C2036" s="5" t="s">
        <v>3586</v>
      </c>
      <c r="D2036" s="2" t="s">
        <v>3587</v>
      </c>
    </row>
    <row r="2037" spans="1:4" ht="13.05" customHeight="1" x14ac:dyDescent="0.3">
      <c r="A2037" s="2" t="s">
        <v>352</v>
      </c>
      <c r="B2037" s="2" t="s">
        <v>985</v>
      </c>
      <c r="C2037" s="5" t="s">
        <v>3588</v>
      </c>
      <c r="D2037" s="2" t="s">
        <v>3589</v>
      </c>
    </row>
    <row r="2038" spans="1:4" ht="13.05" customHeight="1" x14ac:dyDescent="0.3">
      <c r="A2038" s="2" t="s">
        <v>352</v>
      </c>
      <c r="B2038" s="2" t="s">
        <v>985</v>
      </c>
      <c r="C2038" s="5" t="s">
        <v>3590</v>
      </c>
      <c r="D2038" s="2" t="s">
        <v>3591</v>
      </c>
    </row>
    <row r="2039" spans="1:4" ht="13.05" customHeight="1" x14ac:dyDescent="0.3">
      <c r="A2039" s="2" t="s">
        <v>352</v>
      </c>
      <c r="B2039" s="2" t="s">
        <v>985</v>
      </c>
      <c r="C2039" s="5" t="s">
        <v>3592</v>
      </c>
      <c r="D2039" s="2" t="s">
        <v>3593</v>
      </c>
    </row>
    <row r="2040" spans="1:4" ht="13.05" customHeight="1" x14ac:dyDescent="0.3">
      <c r="A2040" s="2" t="s">
        <v>352</v>
      </c>
      <c r="B2040" s="2" t="s">
        <v>985</v>
      </c>
      <c r="C2040" s="5" t="s">
        <v>3594</v>
      </c>
      <c r="D2040" s="2" t="s">
        <v>3595</v>
      </c>
    </row>
    <row r="2041" spans="1:4" ht="13.05" customHeight="1" x14ac:dyDescent="0.3">
      <c r="A2041" s="2" t="s">
        <v>352</v>
      </c>
      <c r="B2041" s="2" t="s">
        <v>985</v>
      </c>
      <c r="C2041" s="5" t="s">
        <v>3596</v>
      </c>
      <c r="D2041" s="2" t="s">
        <v>3597</v>
      </c>
    </row>
    <row r="2042" spans="1:4" ht="13.05" customHeight="1" x14ac:dyDescent="0.3">
      <c r="A2042" s="2" t="s">
        <v>352</v>
      </c>
      <c r="B2042" s="2" t="s">
        <v>985</v>
      </c>
      <c r="C2042" s="5" t="s">
        <v>3598</v>
      </c>
      <c r="D2042" s="2" t="s">
        <v>3599</v>
      </c>
    </row>
    <row r="2043" spans="1:4" ht="13.05" customHeight="1" x14ac:dyDescent="0.3">
      <c r="A2043" s="2" t="s">
        <v>352</v>
      </c>
      <c r="B2043" s="2" t="s">
        <v>985</v>
      </c>
      <c r="C2043" s="5" t="s">
        <v>3600</v>
      </c>
      <c r="D2043" s="2" t="s">
        <v>3601</v>
      </c>
    </row>
    <row r="2044" spans="1:4" ht="13.05" customHeight="1" x14ac:dyDescent="0.3">
      <c r="A2044" s="2" t="s">
        <v>352</v>
      </c>
      <c r="B2044" s="2" t="s">
        <v>985</v>
      </c>
      <c r="C2044" s="5" t="s">
        <v>3602</v>
      </c>
      <c r="D2044" s="2" t="s">
        <v>3603</v>
      </c>
    </row>
    <row r="2045" spans="1:4" ht="13.05" customHeight="1" x14ac:dyDescent="0.3">
      <c r="A2045" s="2" t="s">
        <v>352</v>
      </c>
      <c r="B2045" s="2" t="s">
        <v>985</v>
      </c>
      <c r="C2045" s="5" t="s">
        <v>3604</v>
      </c>
      <c r="D2045" s="2" t="s">
        <v>3605</v>
      </c>
    </row>
    <row r="2046" spans="1:4" ht="13.05" customHeight="1" x14ac:dyDescent="0.3">
      <c r="A2046" s="2" t="s">
        <v>352</v>
      </c>
      <c r="B2046" s="2" t="s">
        <v>985</v>
      </c>
      <c r="C2046" s="5" t="s">
        <v>3606</v>
      </c>
      <c r="D2046" s="2" t="s">
        <v>3607</v>
      </c>
    </row>
    <row r="2047" spans="1:4" ht="13.05" customHeight="1" x14ac:dyDescent="0.3">
      <c r="A2047" s="2" t="s">
        <v>352</v>
      </c>
      <c r="B2047" s="2" t="s">
        <v>985</v>
      </c>
      <c r="C2047" s="5" t="s">
        <v>3608</v>
      </c>
      <c r="D2047" s="2" t="s">
        <v>3609</v>
      </c>
    </row>
    <row r="2048" spans="1:4" ht="13.05" customHeight="1" x14ac:dyDescent="0.3">
      <c r="A2048" s="2" t="s">
        <v>352</v>
      </c>
      <c r="B2048" s="2" t="s">
        <v>985</v>
      </c>
      <c r="C2048" s="5" t="s">
        <v>3610</v>
      </c>
      <c r="D2048" s="2" t="s">
        <v>3611</v>
      </c>
    </row>
    <row r="2049" spans="1:4" ht="13.05" customHeight="1" x14ac:dyDescent="0.3">
      <c r="A2049" s="2" t="s">
        <v>352</v>
      </c>
      <c r="B2049" s="2" t="s">
        <v>985</v>
      </c>
      <c r="C2049" s="5" t="s">
        <v>3612</v>
      </c>
      <c r="D2049" s="2" t="s">
        <v>3613</v>
      </c>
    </row>
    <row r="2050" spans="1:4" ht="13.05" customHeight="1" x14ac:dyDescent="0.3">
      <c r="A2050" s="2" t="s">
        <v>352</v>
      </c>
      <c r="B2050" s="2" t="s">
        <v>985</v>
      </c>
      <c r="C2050" s="5" t="s">
        <v>3614</v>
      </c>
      <c r="D2050" s="2" t="s">
        <v>3615</v>
      </c>
    </row>
    <row r="2051" spans="1:4" ht="13.05" customHeight="1" x14ac:dyDescent="0.3">
      <c r="A2051" s="2" t="s">
        <v>352</v>
      </c>
      <c r="B2051" s="2" t="s">
        <v>985</v>
      </c>
      <c r="C2051" s="5" t="s">
        <v>3616</v>
      </c>
      <c r="D2051" s="2" t="s">
        <v>103</v>
      </c>
    </row>
    <row r="2052" spans="1:4" ht="13.05" customHeight="1" x14ac:dyDescent="0.3">
      <c r="A2052" s="2" t="s">
        <v>352</v>
      </c>
      <c r="B2052" s="2" t="s">
        <v>985</v>
      </c>
      <c r="C2052" s="5" t="s">
        <v>3617</v>
      </c>
      <c r="D2052" s="2" t="s">
        <v>3618</v>
      </c>
    </row>
    <row r="2053" spans="1:4" ht="13.05" customHeight="1" x14ac:dyDescent="0.3">
      <c r="A2053" s="2" t="s">
        <v>352</v>
      </c>
      <c r="B2053" s="2" t="s">
        <v>985</v>
      </c>
      <c r="C2053" s="5" t="s">
        <v>3619</v>
      </c>
      <c r="D2053" s="2" t="s">
        <v>3620</v>
      </c>
    </row>
    <row r="2054" spans="1:4" ht="13.05" customHeight="1" x14ac:dyDescent="0.3">
      <c r="A2054" s="2" t="s">
        <v>352</v>
      </c>
      <c r="B2054" s="2" t="s">
        <v>985</v>
      </c>
      <c r="C2054" s="5" t="s">
        <v>3621</v>
      </c>
      <c r="D2054" s="2" t="s">
        <v>3622</v>
      </c>
    </row>
    <row r="2055" spans="1:4" ht="13.05" customHeight="1" x14ac:dyDescent="0.3">
      <c r="A2055" s="2" t="s">
        <v>352</v>
      </c>
      <c r="B2055" s="2" t="s">
        <v>985</v>
      </c>
      <c r="C2055" s="5" t="s">
        <v>3623</v>
      </c>
      <c r="D2055" s="2" t="s">
        <v>3624</v>
      </c>
    </row>
    <row r="2056" spans="1:4" ht="13.05" customHeight="1" x14ac:dyDescent="0.3">
      <c r="A2056" s="2" t="s">
        <v>352</v>
      </c>
      <c r="B2056" s="2" t="s">
        <v>985</v>
      </c>
      <c r="C2056" s="5" t="s">
        <v>3625</v>
      </c>
      <c r="D2056" s="2" t="s">
        <v>3322</v>
      </c>
    </row>
    <row r="2057" spans="1:4" ht="13.05" customHeight="1" x14ac:dyDescent="0.3">
      <c r="A2057" s="2" t="s">
        <v>352</v>
      </c>
      <c r="B2057" s="2" t="s">
        <v>985</v>
      </c>
      <c r="C2057" s="5" t="s">
        <v>3626</v>
      </c>
      <c r="D2057" s="2" t="s">
        <v>3627</v>
      </c>
    </row>
    <row r="2058" spans="1:4" ht="13.05" customHeight="1" x14ac:dyDescent="0.3">
      <c r="A2058" s="2" t="s">
        <v>352</v>
      </c>
      <c r="B2058" s="2" t="s">
        <v>985</v>
      </c>
      <c r="C2058" s="5" t="s">
        <v>3628</v>
      </c>
      <c r="D2058" s="2" t="s">
        <v>3629</v>
      </c>
    </row>
    <row r="2059" spans="1:4" ht="13.05" customHeight="1" x14ac:dyDescent="0.3">
      <c r="A2059" s="2" t="s">
        <v>352</v>
      </c>
      <c r="B2059" s="2" t="s">
        <v>985</v>
      </c>
      <c r="C2059" s="5" t="s">
        <v>3630</v>
      </c>
      <c r="D2059" s="2" t="s">
        <v>3631</v>
      </c>
    </row>
    <row r="2060" spans="1:4" ht="13.05" customHeight="1" x14ac:dyDescent="0.3">
      <c r="A2060" s="2" t="s">
        <v>352</v>
      </c>
      <c r="B2060" s="2" t="s">
        <v>985</v>
      </c>
      <c r="C2060" s="5" t="s">
        <v>3632</v>
      </c>
      <c r="D2060" s="2" t="s">
        <v>3633</v>
      </c>
    </row>
    <row r="2061" spans="1:4" ht="13.05" customHeight="1" x14ac:dyDescent="0.3">
      <c r="A2061" s="2" t="s">
        <v>352</v>
      </c>
      <c r="B2061" s="2" t="s">
        <v>985</v>
      </c>
      <c r="C2061" s="5" t="s">
        <v>3634</v>
      </c>
      <c r="D2061" s="2" t="s">
        <v>3635</v>
      </c>
    </row>
    <row r="2062" spans="1:4" ht="13.05" customHeight="1" x14ac:dyDescent="0.3">
      <c r="A2062" s="2" t="s">
        <v>352</v>
      </c>
      <c r="B2062" s="2" t="s">
        <v>985</v>
      </c>
      <c r="C2062" s="5" t="s">
        <v>3636</v>
      </c>
      <c r="D2062" s="2" t="s">
        <v>3358</v>
      </c>
    </row>
    <row r="2063" spans="1:4" ht="13.05" customHeight="1" x14ac:dyDescent="0.3">
      <c r="A2063" s="2" t="s">
        <v>352</v>
      </c>
      <c r="B2063" s="2" t="s">
        <v>985</v>
      </c>
      <c r="C2063" s="5" t="s">
        <v>3637</v>
      </c>
      <c r="D2063" s="2" t="s">
        <v>3638</v>
      </c>
    </row>
    <row r="2064" spans="1:4" ht="13.05" customHeight="1" x14ac:dyDescent="0.3">
      <c r="A2064" s="2" t="s">
        <v>352</v>
      </c>
      <c r="B2064" s="2" t="s">
        <v>985</v>
      </c>
      <c r="C2064" s="5" t="s">
        <v>3639</v>
      </c>
      <c r="D2064" s="2" t="s">
        <v>3640</v>
      </c>
    </row>
    <row r="2065" spans="1:4" ht="13.05" customHeight="1" x14ac:dyDescent="0.3">
      <c r="A2065" s="2" t="s">
        <v>352</v>
      </c>
      <c r="B2065" s="2" t="s">
        <v>985</v>
      </c>
      <c r="C2065" s="5" t="s">
        <v>3641</v>
      </c>
      <c r="D2065" s="2" t="s">
        <v>3642</v>
      </c>
    </row>
    <row r="2066" spans="1:4" ht="13.05" customHeight="1" x14ac:dyDescent="0.3">
      <c r="A2066" s="2" t="s">
        <v>352</v>
      </c>
      <c r="B2066" s="2" t="s">
        <v>985</v>
      </c>
      <c r="C2066" s="5" t="s">
        <v>3643</v>
      </c>
      <c r="D2066" s="2" t="s">
        <v>3644</v>
      </c>
    </row>
    <row r="2067" spans="1:4" ht="13.05" customHeight="1" x14ac:dyDescent="0.3">
      <c r="A2067" s="2" t="s">
        <v>352</v>
      </c>
      <c r="B2067" s="2" t="s">
        <v>985</v>
      </c>
      <c r="C2067" s="5" t="s">
        <v>3645</v>
      </c>
      <c r="D2067" s="2" t="s">
        <v>3646</v>
      </c>
    </row>
    <row r="2068" spans="1:4" ht="13.05" customHeight="1" x14ac:dyDescent="0.3">
      <c r="A2068" s="2" t="s">
        <v>352</v>
      </c>
      <c r="B2068" s="2" t="s">
        <v>985</v>
      </c>
      <c r="C2068" s="5" t="s">
        <v>3647</v>
      </c>
      <c r="D2068" s="2" t="s">
        <v>3648</v>
      </c>
    </row>
    <row r="2069" spans="1:4" ht="13.05" customHeight="1" x14ac:dyDescent="0.3">
      <c r="A2069" s="2" t="s">
        <v>352</v>
      </c>
      <c r="B2069" s="2" t="s">
        <v>985</v>
      </c>
      <c r="C2069" s="5" t="s">
        <v>3649</v>
      </c>
      <c r="D2069" s="2" t="s">
        <v>3650</v>
      </c>
    </row>
    <row r="2070" spans="1:4" ht="13.05" customHeight="1" x14ac:dyDescent="0.3">
      <c r="A2070" s="2" t="s">
        <v>352</v>
      </c>
      <c r="B2070" s="2" t="s">
        <v>985</v>
      </c>
      <c r="C2070" s="5" t="s">
        <v>3651</v>
      </c>
      <c r="D2070" s="2" t="s">
        <v>3652</v>
      </c>
    </row>
    <row r="2071" spans="1:4" ht="13.05" customHeight="1" x14ac:dyDescent="0.3">
      <c r="A2071" s="2" t="s">
        <v>352</v>
      </c>
      <c r="B2071" s="2" t="s">
        <v>985</v>
      </c>
      <c r="C2071" s="5" t="s">
        <v>3653</v>
      </c>
      <c r="D2071" s="2" t="s">
        <v>3654</v>
      </c>
    </row>
    <row r="2072" spans="1:4" ht="13.05" customHeight="1" x14ac:dyDescent="0.3">
      <c r="A2072" s="2" t="s">
        <v>352</v>
      </c>
      <c r="B2072" s="2" t="s">
        <v>985</v>
      </c>
      <c r="C2072" s="5" t="s">
        <v>3655</v>
      </c>
      <c r="D2072" s="2" t="s">
        <v>3656</v>
      </c>
    </row>
    <row r="2073" spans="1:4" ht="13.05" customHeight="1" x14ac:dyDescent="0.3">
      <c r="A2073" s="2" t="s">
        <v>352</v>
      </c>
      <c r="B2073" s="2" t="s">
        <v>985</v>
      </c>
      <c r="C2073" s="5" t="s">
        <v>3657</v>
      </c>
      <c r="D2073" s="2" t="s">
        <v>3658</v>
      </c>
    </row>
    <row r="2074" spans="1:4" ht="13.05" customHeight="1" x14ac:dyDescent="0.3">
      <c r="A2074" s="2" t="s">
        <v>352</v>
      </c>
      <c r="B2074" s="2" t="s">
        <v>985</v>
      </c>
      <c r="C2074" s="5" t="s">
        <v>3659</v>
      </c>
      <c r="D2074" s="2" t="s">
        <v>3463</v>
      </c>
    </row>
    <row r="2075" spans="1:4" ht="13.05" customHeight="1" x14ac:dyDescent="0.3">
      <c r="A2075" s="2" t="s">
        <v>352</v>
      </c>
      <c r="B2075" s="2" t="s">
        <v>985</v>
      </c>
      <c r="C2075" s="5" t="s">
        <v>3660</v>
      </c>
      <c r="D2075" s="2" t="s">
        <v>3661</v>
      </c>
    </row>
    <row r="2076" spans="1:4" ht="13.05" customHeight="1" x14ac:dyDescent="0.3">
      <c r="A2076" s="2" t="s">
        <v>352</v>
      </c>
      <c r="B2076" s="2" t="s">
        <v>985</v>
      </c>
      <c r="C2076" s="5" t="s">
        <v>3662</v>
      </c>
      <c r="D2076" s="2" t="s">
        <v>3663</v>
      </c>
    </row>
    <row r="2077" spans="1:4" ht="13.05" customHeight="1" x14ac:dyDescent="0.3">
      <c r="A2077" s="2" t="s">
        <v>352</v>
      </c>
      <c r="B2077" s="2" t="s">
        <v>985</v>
      </c>
      <c r="C2077" s="5" t="s">
        <v>3664</v>
      </c>
      <c r="D2077" s="2" t="s">
        <v>3665</v>
      </c>
    </row>
    <row r="2078" spans="1:4" ht="13.05" customHeight="1" x14ac:dyDescent="0.3">
      <c r="A2078" s="2" t="s">
        <v>352</v>
      </c>
      <c r="B2078" s="2" t="s">
        <v>985</v>
      </c>
      <c r="C2078" s="5" t="s">
        <v>3666</v>
      </c>
      <c r="D2078" s="2" t="s">
        <v>3298</v>
      </c>
    </row>
    <row r="2079" spans="1:4" ht="13.05" customHeight="1" x14ac:dyDescent="0.3">
      <c r="A2079" s="2" t="s">
        <v>352</v>
      </c>
      <c r="B2079" s="2" t="s">
        <v>985</v>
      </c>
      <c r="C2079" s="5" t="s">
        <v>3667</v>
      </c>
      <c r="D2079" s="2" t="s">
        <v>3300</v>
      </c>
    </row>
    <row r="2080" spans="1:4" ht="13.05" customHeight="1" x14ac:dyDescent="0.3">
      <c r="A2080" s="2" t="s">
        <v>352</v>
      </c>
      <c r="B2080" s="2" t="s">
        <v>985</v>
      </c>
      <c r="C2080" s="5" t="s">
        <v>3668</v>
      </c>
      <c r="D2080" s="2" t="s">
        <v>3475</v>
      </c>
    </row>
    <row r="2081" spans="1:4" ht="13.05" customHeight="1" x14ac:dyDescent="0.3">
      <c r="A2081" s="2" t="s">
        <v>352</v>
      </c>
      <c r="B2081" s="2" t="s">
        <v>985</v>
      </c>
      <c r="C2081" s="5" t="s">
        <v>3669</v>
      </c>
      <c r="D2081" s="2" t="s">
        <v>3477</v>
      </c>
    </row>
    <row r="2082" spans="1:4" ht="13.05" customHeight="1" x14ac:dyDescent="0.3">
      <c r="A2082" s="2" t="s">
        <v>352</v>
      </c>
      <c r="B2082" s="2" t="s">
        <v>985</v>
      </c>
      <c r="C2082" s="5" t="s">
        <v>3670</v>
      </c>
      <c r="D2082" s="2" t="s">
        <v>3671</v>
      </c>
    </row>
    <row r="2083" spans="1:4" ht="13.05" customHeight="1" x14ac:dyDescent="0.3">
      <c r="A2083" s="2" t="s">
        <v>352</v>
      </c>
      <c r="B2083" s="2" t="s">
        <v>985</v>
      </c>
      <c r="C2083" s="5" t="s">
        <v>3672</v>
      </c>
      <c r="D2083" s="2" t="s">
        <v>3481</v>
      </c>
    </row>
    <row r="2084" spans="1:4" ht="13.05" customHeight="1" x14ac:dyDescent="0.3">
      <c r="A2084" s="2" t="s">
        <v>352</v>
      </c>
      <c r="B2084" s="2" t="s">
        <v>985</v>
      </c>
      <c r="C2084" s="5" t="s">
        <v>3673</v>
      </c>
      <c r="D2084" s="2" t="s">
        <v>3483</v>
      </c>
    </row>
    <row r="2085" spans="1:4" ht="13.05" customHeight="1" x14ac:dyDescent="0.3">
      <c r="A2085" s="2" t="s">
        <v>352</v>
      </c>
      <c r="B2085" s="2" t="s">
        <v>985</v>
      </c>
      <c r="C2085" s="5" t="s">
        <v>3674</v>
      </c>
      <c r="D2085" s="2" t="s">
        <v>3485</v>
      </c>
    </row>
    <row r="2086" spans="1:4" ht="13.05" customHeight="1" x14ac:dyDescent="0.3">
      <c r="A2086" s="2" t="s">
        <v>352</v>
      </c>
      <c r="B2086" s="2" t="s">
        <v>985</v>
      </c>
      <c r="C2086" s="5" t="s">
        <v>3675</v>
      </c>
      <c r="D2086" s="2" t="s">
        <v>3676</v>
      </c>
    </row>
    <row r="2087" spans="1:4" ht="13.05" customHeight="1" x14ac:dyDescent="0.3">
      <c r="A2087" s="2" t="s">
        <v>352</v>
      </c>
      <c r="B2087" s="2" t="s">
        <v>985</v>
      </c>
      <c r="C2087" s="5" t="s">
        <v>3677</v>
      </c>
      <c r="D2087" s="2" t="s">
        <v>3489</v>
      </c>
    </row>
    <row r="2088" spans="1:4" ht="13.05" customHeight="1" x14ac:dyDescent="0.3">
      <c r="A2088" s="2" t="s">
        <v>352</v>
      </c>
      <c r="B2088" s="2" t="s">
        <v>985</v>
      </c>
      <c r="C2088" s="5" t="s">
        <v>3678</v>
      </c>
      <c r="D2088" s="2" t="s">
        <v>3304</v>
      </c>
    </row>
    <row r="2089" spans="1:4" ht="13.05" customHeight="1" x14ac:dyDescent="0.3">
      <c r="A2089" s="2" t="s">
        <v>352</v>
      </c>
      <c r="B2089" s="2" t="s">
        <v>985</v>
      </c>
      <c r="C2089" s="5" t="s">
        <v>3679</v>
      </c>
      <c r="D2089" s="2" t="s">
        <v>3492</v>
      </c>
    </row>
    <row r="2090" spans="1:4" ht="13.05" customHeight="1" x14ac:dyDescent="0.3">
      <c r="A2090" s="2" t="s">
        <v>352</v>
      </c>
      <c r="B2090" s="2" t="s">
        <v>985</v>
      </c>
      <c r="C2090" s="5" t="s">
        <v>3680</v>
      </c>
      <c r="D2090" s="2" t="s">
        <v>3681</v>
      </c>
    </row>
    <row r="2091" spans="1:4" ht="13.05" customHeight="1" x14ac:dyDescent="0.3">
      <c r="A2091" s="2" t="s">
        <v>352</v>
      </c>
      <c r="B2091" s="2" t="s">
        <v>985</v>
      </c>
      <c r="C2091" s="5" t="s">
        <v>3682</v>
      </c>
      <c r="D2091" s="2" t="s">
        <v>3495</v>
      </c>
    </row>
    <row r="2092" spans="1:4" ht="13.05" customHeight="1" x14ac:dyDescent="0.3">
      <c r="A2092" s="2" t="s">
        <v>352</v>
      </c>
      <c r="B2092" s="2" t="s">
        <v>985</v>
      </c>
      <c r="C2092" s="5" t="s">
        <v>3683</v>
      </c>
      <c r="D2092" s="2" t="s">
        <v>3312</v>
      </c>
    </row>
    <row r="2093" spans="1:4" ht="13.05" customHeight="1" x14ac:dyDescent="0.3">
      <c r="A2093" s="2" t="s">
        <v>352</v>
      </c>
      <c r="B2093" s="2" t="s">
        <v>985</v>
      </c>
      <c r="C2093" s="5" t="s">
        <v>3684</v>
      </c>
      <c r="D2093" s="2" t="s">
        <v>3685</v>
      </c>
    </row>
    <row r="2094" spans="1:4" ht="13.05" customHeight="1" x14ac:dyDescent="0.3">
      <c r="A2094" s="2" t="s">
        <v>352</v>
      </c>
      <c r="B2094" s="2" t="s">
        <v>985</v>
      </c>
      <c r="C2094" s="5" t="s">
        <v>3686</v>
      </c>
      <c r="D2094" s="2" t="s">
        <v>3687</v>
      </c>
    </row>
    <row r="2095" spans="1:4" ht="13.05" customHeight="1" x14ac:dyDescent="0.3">
      <c r="A2095" s="2" t="s">
        <v>352</v>
      </c>
      <c r="B2095" s="2" t="s">
        <v>985</v>
      </c>
      <c r="C2095" s="5" t="s">
        <v>3688</v>
      </c>
      <c r="D2095" s="2" t="s">
        <v>3689</v>
      </c>
    </row>
    <row r="2096" spans="1:4" ht="13.05" customHeight="1" x14ac:dyDescent="0.3">
      <c r="A2096" s="2" t="s">
        <v>352</v>
      </c>
      <c r="B2096" s="2" t="s">
        <v>985</v>
      </c>
      <c r="C2096" s="5" t="s">
        <v>3690</v>
      </c>
      <c r="D2096" s="2" t="s">
        <v>3691</v>
      </c>
    </row>
    <row r="2097" spans="1:4" ht="13.05" customHeight="1" x14ac:dyDescent="0.3">
      <c r="A2097" s="2" t="s">
        <v>352</v>
      </c>
      <c r="B2097" s="2" t="s">
        <v>985</v>
      </c>
      <c r="C2097" s="5" t="s">
        <v>3692</v>
      </c>
      <c r="D2097" s="2" t="s">
        <v>3693</v>
      </c>
    </row>
    <row r="2098" spans="1:4" ht="13.05" customHeight="1" x14ac:dyDescent="0.3">
      <c r="A2098" s="2" t="s">
        <v>352</v>
      </c>
      <c r="B2098" s="2" t="s">
        <v>985</v>
      </c>
      <c r="C2098" s="5" t="s">
        <v>3694</v>
      </c>
      <c r="D2098" s="2" t="s">
        <v>3695</v>
      </c>
    </row>
    <row r="2099" spans="1:4" ht="13.05" customHeight="1" x14ac:dyDescent="0.3">
      <c r="A2099" s="2" t="s">
        <v>352</v>
      </c>
      <c r="B2099" s="2" t="s">
        <v>985</v>
      </c>
      <c r="C2099" s="5" t="s">
        <v>3696</v>
      </c>
      <c r="D2099" s="2" t="s">
        <v>3697</v>
      </c>
    </row>
    <row r="2100" spans="1:4" ht="13.05" customHeight="1" x14ac:dyDescent="0.3">
      <c r="A2100" s="2" t="s">
        <v>352</v>
      </c>
      <c r="B2100" s="2" t="s">
        <v>985</v>
      </c>
      <c r="C2100" s="5" t="s">
        <v>3698</v>
      </c>
      <c r="D2100" s="2" t="s">
        <v>3699</v>
      </c>
    </row>
    <row r="2101" spans="1:4" ht="13.05" customHeight="1" x14ac:dyDescent="0.3">
      <c r="A2101" s="2" t="s">
        <v>352</v>
      </c>
      <c r="B2101" s="2" t="s">
        <v>985</v>
      </c>
      <c r="C2101" s="5" t="s">
        <v>3700</v>
      </c>
      <c r="D2101" s="2" t="s">
        <v>3701</v>
      </c>
    </row>
    <row r="2102" spans="1:4" ht="13.05" customHeight="1" x14ac:dyDescent="0.3">
      <c r="A2102" s="2" t="s">
        <v>352</v>
      </c>
      <c r="B2102" s="2" t="s">
        <v>985</v>
      </c>
      <c r="C2102" s="5" t="s">
        <v>3702</v>
      </c>
      <c r="D2102" s="2" t="s">
        <v>3703</v>
      </c>
    </row>
    <row r="2103" spans="1:4" ht="13.05" customHeight="1" x14ac:dyDescent="0.3">
      <c r="A2103" s="2" t="s">
        <v>352</v>
      </c>
      <c r="B2103" s="2" t="s">
        <v>985</v>
      </c>
      <c r="C2103" s="5" t="s">
        <v>3704</v>
      </c>
      <c r="D2103" s="2" t="s">
        <v>3244</v>
      </c>
    </row>
    <row r="2104" spans="1:4" ht="13.05" customHeight="1" x14ac:dyDescent="0.3">
      <c r="A2104" s="2" t="s">
        <v>352</v>
      </c>
      <c r="B2104" s="2" t="s">
        <v>985</v>
      </c>
      <c r="C2104" s="5" t="s">
        <v>3705</v>
      </c>
      <c r="D2104" s="2" t="s">
        <v>3358</v>
      </c>
    </row>
    <row r="2105" spans="1:4" ht="13.05" customHeight="1" x14ac:dyDescent="0.3">
      <c r="A2105" s="2" t="s">
        <v>352</v>
      </c>
      <c r="B2105" s="2" t="s">
        <v>985</v>
      </c>
      <c r="C2105" s="5" t="s">
        <v>3706</v>
      </c>
      <c r="D2105" s="2" t="s">
        <v>3707</v>
      </c>
    </row>
    <row r="2106" spans="1:4" ht="13.05" customHeight="1" x14ac:dyDescent="0.3">
      <c r="A2106" s="2" t="s">
        <v>352</v>
      </c>
      <c r="B2106" s="2" t="s">
        <v>985</v>
      </c>
      <c r="C2106" s="5" t="s">
        <v>3708</v>
      </c>
      <c r="D2106" s="2" t="s">
        <v>3709</v>
      </c>
    </row>
    <row r="2107" spans="1:4" ht="13.05" customHeight="1" x14ac:dyDescent="0.3">
      <c r="A2107" s="2" t="s">
        <v>352</v>
      </c>
      <c r="B2107" s="2" t="s">
        <v>985</v>
      </c>
      <c r="C2107" s="5" t="s">
        <v>3710</v>
      </c>
      <c r="D2107" s="2" t="s">
        <v>3711</v>
      </c>
    </row>
    <row r="2108" spans="1:4" ht="13.05" customHeight="1" x14ac:dyDescent="0.3">
      <c r="A2108" s="2" t="s">
        <v>352</v>
      </c>
      <c r="B2108" s="2" t="s">
        <v>985</v>
      </c>
      <c r="C2108" s="5" t="s">
        <v>3712</v>
      </c>
      <c r="D2108" s="2" t="s">
        <v>3713</v>
      </c>
    </row>
    <row r="2109" spans="1:4" ht="13.05" customHeight="1" x14ac:dyDescent="0.3">
      <c r="A2109" s="2" t="s">
        <v>352</v>
      </c>
      <c r="B2109" s="2" t="s">
        <v>985</v>
      </c>
      <c r="C2109" s="5" t="s">
        <v>3714</v>
      </c>
      <c r="D2109" s="2" t="s">
        <v>3715</v>
      </c>
    </row>
    <row r="2110" spans="1:4" ht="13.05" customHeight="1" x14ac:dyDescent="0.3">
      <c r="A2110" s="2" t="s">
        <v>352</v>
      </c>
      <c r="B2110" s="2" t="s">
        <v>985</v>
      </c>
      <c r="C2110" s="5" t="s">
        <v>3716</v>
      </c>
      <c r="D2110" s="2" t="s">
        <v>3276</v>
      </c>
    </row>
    <row r="2111" spans="1:4" ht="13.05" customHeight="1" x14ac:dyDescent="0.3">
      <c r="A2111" s="2" t="s">
        <v>352</v>
      </c>
      <c r="B2111" s="2" t="s">
        <v>985</v>
      </c>
      <c r="C2111" s="5" t="s">
        <v>3717</v>
      </c>
      <c r="D2111" s="2" t="s">
        <v>3278</v>
      </c>
    </row>
    <row r="2112" spans="1:4" ht="13.05" customHeight="1" x14ac:dyDescent="0.3">
      <c r="A2112" s="2" t="s">
        <v>352</v>
      </c>
      <c r="B2112" s="2" t="s">
        <v>985</v>
      </c>
      <c r="C2112" s="5" t="s">
        <v>3718</v>
      </c>
      <c r="D2112" s="2" t="s">
        <v>3719</v>
      </c>
    </row>
    <row r="2113" spans="1:4" ht="13.05" customHeight="1" x14ac:dyDescent="0.3">
      <c r="A2113" s="2" t="s">
        <v>352</v>
      </c>
      <c r="B2113" s="2" t="s">
        <v>985</v>
      </c>
      <c r="C2113" s="5" t="s">
        <v>3720</v>
      </c>
      <c r="D2113" s="2" t="s">
        <v>3721</v>
      </c>
    </row>
    <row r="2114" spans="1:4" ht="13.05" customHeight="1" x14ac:dyDescent="0.3">
      <c r="A2114" s="2" t="s">
        <v>352</v>
      </c>
      <c r="B2114" s="2" t="s">
        <v>985</v>
      </c>
      <c r="C2114" s="5" t="s">
        <v>3722</v>
      </c>
      <c r="D2114" s="2" t="s">
        <v>3723</v>
      </c>
    </row>
    <row r="2115" spans="1:4" ht="13.05" customHeight="1" x14ac:dyDescent="0.3">
      <c r="A2115" s="2" t="s">
        <v>352</v>
      </c>
      <c r="B2115" s="2" t="s">
        <v>985</v>
      </c>
      <c r="C2115" s="5" t="s">
        <v>3724</v>
      </c>
      <c r="D2115" s="2" t="s">
        <v>3725</v>
      </c>
    </row>
    <row r="2116" spans="1:4" ht="13.05" customHeight="1" x14ac:dyDescent="0.3">
      <c r="A2116" s="2" t="s">
        <v>352</v>
      </c>
      <c r="B2116" s="2" t="s">
        <v>985</v>
      </c>
      <c r="C2116" s="5" t="s">
        <v>3726</v>
      </c>
      <c r="D2116" s="2" t="s">
        <v>3727</v>
      </c>
    </row>
    <row r="2117" spans="1:4" ht="13.05" customHeight="1" x14ac:dyDescent="0.3">
      <c r="A2117" s="2" t="s">
        <v>352</v>
      </c>
      <c r="B2117" s="2" t="s">
        <v>985</v>
      </c>
      <c r="C2117" s="5" t="s">
        <v>3728</v>
      </c>
      <c r="D2117" s="2" t="s">
        <v>3729</v>
      </c>
    </row>
    <row r="2118" spans="1:4" ht="13.05" customHeight="1" x14ac:dyDescent="0.3">
      <c r="A2118" s="2" t="s">
        <v>352</v>
      </c>
      <c r="B2118" s="2" t="s">
        <v>985</v>
      </c>
      <c r="C2118" s="5" t="s">
        <v>3730</v>
      </c>
      <c r="D2118" s="2" t="s">
        <v>3731</v>
      </c>
    </row>
    <row r="2119" spans="1:4" ht="13.05" customHeight="1" x14ac:dyDescent="0.3">
      <c r="A2119" s="2" t="s">
        <v>352</v>
      </c>
      <c r="B2119" s="2" t="s">
        <v>985</v>
      </c>
      <c r="C2119" s="5" t="s">
        <v>1371</v>
      </c>
      <c r="D2119" s="2" t="s">
        <v>3732</v>
      </c>
    </row>
    <row r="2120" spans="1:4" ht="13.05" customHeight="1" x14ac:dyDescent="0.3">
      <c r="A2120" s="2" t="s">
        <v>352</v>
      </c>
      <c r="B2120" s="2" t="s">
        <v>985</v>
      </c>
      <c r="C2120" s="5" t="s">
        <v>3733</v>
      </c>
      <c r="D2120" s="2" t="s">
        <v>3734</v>
      </c>
    </row>
    <row r="2121" spans="1:4" ht="13.05" customHeight="1" x14ac:dyDescent="0.3">
      <c r="A2121" s="2" t="s">
        <v>352</v>
      </c>
      <c r="B2121" s="2" t="s">
        <v>985</v>
      </c>
      <c r="C2121" s="5" t="s">
        <v>3735</v>
      </c>
      <c r="D2121" s="2" t="s">
        <v>3736</v>
      </c>
    </row>
    <row r="2122" spans="1:4" ht="13.05" customHeight="1" x14ac:dyDescent="0.3">
      <c r="A2122" s="2" t="s">
        <v>352</v>
      </c>
      <c r="B2122" s="2" t="s">
        <v>985</v>
      </c>
      <c r="C2122" s="5" t="s">
        <v>3737</v>
      </c>
      <c r="D2122" s="2" t="s">
        <v>3738</v>
      </c>
    </row>
    <row r="2123" spans="1:4" ht="13.05" customHeight="1" x14ac:dyDescent="0.3">
      <c r="A2123" s="2" t="s">
        <v>352</v>
      </c>
      <c r="B2123" s="2" t="s">
        <v>985</v>
      </c>
      <c r="C2123" s="5" t="s">
        <v>3739</v>
      </c>
      <c r="D2123" s="2" t="s">
        <v>3740</v>
      </c>
    </row>
    <row r="2124" spans="1:4" ht="13.05" customHeight="1" x14ac:dyDescent="0.3">
      <c r="A2124" s="2" t="s">
        <v>352</v>
      </c>
      <c r="B2124" s="2" t="s">
        <v>985</v>
      </c>
      <c r="C2124" s="5" t="s">
        <v>3741</v>
      </c>
      <c r="D2124" s="2" t="s">
        <v>3742</v>
      </c>
    </row>
    <row r="2125" spans="1:4" ht="13.05" customHeight="1" x14ac:dyDescent="0.3">
      <c r="A2125" s="2" t="s">
        <v>352</v>
      </c>
      <c r="B2125" s="2" t="s">
        <v>985</v>
      </c>
      <c r="C2125" s="5" t="s">
        <v>1373</v>
      </c>
      <c r="D2125" s="2" t="s">
        <v>3743</v>
      </c>
    </row>
    <row r="2126" spans="1:4" ht="13.05" customHeight="1" x14ac:dyDescent="0.3">
      <c r="A2126" s="2" t="s">
        <v>352</v>
      </c>
      <c r="B2126" s="2" t="s">
        <v>985</v>
      </c>
      <c r="C2126" s="5" t="s">
        <v>3744</v>
      </c>
      <c r="D2126" s="2" t="s">
        <v>3745</v>
      </c>
    </row>
    <row r="2127" spans="1:4" ht="13.05" customHeight="1" x14ac:dyDescent="0.3">
      <c r="A2127" s="2" t="s">
        <v>352</v>
      </c>
      <c r="B2127" s="2" t="s">
        <v>985</v>
      </c>
      <c r="C2127" s="5" t="s">
        <v>3746</v>
      </c>
      <c r="D2127" s="2" t="s">
        <v>3747</v>
      </c>
    </row>
    <row r="2128" spans="1:4" ht="13.05" customHeight="1" x14ac:dyDescent="0.3">
      <c r="A2128" s="2" t="s">
        <v>352</v>
      </c>
      <c r="B2128" s="2" t="s">
        <v>985</v>
      </c>
      <c r="C2128" s="5" t="s">
        <v>3748</v>
      </c>
      <c r="D2128" s="2" t="s">
        <v>3749</v>
      </c>
    </row>
    <row r="2129" spans="1:4" ht="13.05" customHeight="1" x14ac:dyDescent="0.3">
      <c r="A2129" s="2" t="s">
        <v>352</v>
      </c>
      <c r="B2129" s="2" t="s">
        <v>985</v>
      </c>
      <c r="C2129" s="5" t="s">
        <v>3750</v>
      </c>
      <c r="D2129" s="2" t="s">
        <v>3751</v>
      </c>
    </row>
    <row r="2130" spans="1:4" ht="13.05" customHeight="1" x14ac:dyDescent="0.3">
      <c r="A2130" s="2" t="s">
        <v>352</v>
      </c>
      <c r="B2130" s="2" t="s">
        <v>985</v>
      </c>
      <c r="C2130" s="5" t="s">
        <v>3752</v>
      </c>
      <c r="D2130" s="2" t="s">
        <v>3753</v>
      </c>
    </row>
    <row r="2131" spans="1:4" ht="13.05" customHeight="1" x14ac:dyDescent="0.3">
      <c r="A2131" s="2" t="s">
        <v>352</v>
      </c>
      <c r="B2131" s="2" t="s">
        <v>985</v>
      </c>
      <c r="C2131" s="5" t="s">
        <v>3754</v>
      </c>
      <c r="D2131" s="2" t="s">
        <v>3755</v>
      </c>
    </row>
    <row r="2132" spans="1:4" ht="13.05" customHeight="1" x14ac:dyDescent="0.3">
      <c r="A2132" s="2" t="s">
        <v>352</v>
      </c>
      <c r="B2132" s="2" t="s">
        <v>985</v>
      </c>
      <c r="C2132" s="5" t="s">
        <v>3756</v>
      </c>
      <c r="D2132" s="2" t="s">
        <v>3757</v>
      </c>
    </row>
    <row r="2133" spans="1:4" ht="13.05" customHeight="1" x14ac:dyDescent="0.3">
      <c r="A2133" s="2" t="s">
        <v>352</v>
      </c>
      <c r="B2133" s="2" t="s">
        <v>985</v>
      </c>
      <c r="C2133" s="5" t="s">
        <v>3758</v>
      </c>
      <c r="D2133" s="2" t="s">
        <v>3356</v>
      </c>
    </row>
    <row r="2134" spans="1:4" ht="13.05" customHeight="1" x14ac:dyDescent="0.3">
      <c r="A2134" s="2" t="s">
        <v>352</v>
      </c>
      <c r="B2134" s="2" t="s">
        <v>985</v>
      </c>
      <c r="C2134" s="5" t="s">
        <v>3759</v>
      </c>
      <c r="D2134" s="2" t="s">
        <v>3358</v>
      </c>
    </row>
    <row r="2135" spans="1:4" ht="13.05" customHeight="1" x14ac:dyDescent="0.3">
      <c r="A2135" s="2" t="s">
        <v>352</v>
      </c>
      <c r="B2135" s="2" t="s">
        <v>985</v>
      </c>
      <c r="C2135" s="5" t="s">
        <v>3760</v>
      </c>
      <c r="D2135" s="2" t="s">
        <v>3761</v>
      </c>
    </row>
    <row r="2136" spans="1:4" ht="13.05" customHeight="1" x14ac:dyDescent="0.3">
      <c r="A2136" s="2" t="s">
        <v>352</v>
      </c>
      <c r="B2136" s="2" t="s">
        <v>985</v>
      </c>
      <c r="C2136" s="5" t="s">
        <v>3762</v>
      </c>
      <c r="D2136" s="2" t="s">
        <v>3763</v>
      </c>
    </row>
    <row r="2137" spans="1:4" ht="13.05" customHeight="1" x14ac:dyDescent="0.3">
      <c r="A2137" s="2" t="s">
        <v>352</v>
      </c>
      <c r="B2137" s="2" t="s">
        <v>985</v>
      </c>
      <c r="C2137" s="5" t="s">
        <v>3764</v>
      </c>
      <c r="D2137" s="2" t="s">
        <v>3765</v>
      </c>
    </row>
    <row r="2138" spans="1:4" ht="13.05" customHeight="1" x14ac:dyDescent="0.3">
      <c r="A2138" s="2" t="s">
        <v>352</v>
      </c>
      <c r="B2138" s="2" t="s">
        <v>985</v>
      </c>
      <c r="C2138" s="5" t="s">
        <v>3766</v>
      </c>
      <c r="D2138" s="2" t="s">
        <v>3767</v>
      </c>
    </row>
    <row r="2139" spans="1:4" ht="13.05" customHeight="1" x14ac:dyDescent="0.3">
      <c r="A2139" s="2" t="s">
        <v>352</v>
      </c>
      <c r="B2139" s="2" t="s">
        <v>985</v>
      </c>
      <c r="C2139" s="5" t="s">
        <v>3768</v>
      </c>
      <c r="D2139" s="2" t="s">
        <v>3276</v>
      </c>
    </row>
    <row r="2140" spans="1:4" ht="13.05" customHeight="1" x14ac:dyDescent="0.3">
      <c r="A2140" s="2" t="s">
        <v>352</v>
      </c>
      <c r="B2140" s="2" t="s">
        <v>985</v>
      </c>
      <c r="C2140" s="5" t="s">
        <v>3769</v>
      </c>
      <c r="D2140" s="2" t="s">
        <v>3278</v>
      </c>
    </row>
    <row r="2141" spans="1:4" ht="13.05" customHeight="1" x14ac:dyDescent="0.3">
      <c r="A2141" s="2" t="s">
        <v>352</v>
      </c>
      <c r="B2141" s="2" t="s">
        <v>985</v>
      </c>
      <c r="C2141" s="5" t="s">
        <v>3770</v>
      </c>
      <c r="D2141" s="2" t="s">
        <v>3771</v>
      </c>
    </row>
    <row r="2142" spans="1:4" ht="13.05" customHeight="1" x14ac:dyDescent="0.3">
      <c r="A2142" s="2" t="s">
        <v>352</v>
      </c>
      <c r="B2142" s="2" t="s">
        <v>985</v>
      </c>
      <c r="C2142" s="5" t="s">
        <v>3772</v>
      </c>
      <c r="D2142" s="2" t="s">
        <v>3773</v>
      </c>
    </row>
    <row r="2143" spans="1:4" ht="13.05" customHeight="1" x14ac:dyDescent="0.3">
      <c r="A2143" s="2" t="s">
        <v>352</v>
      </c>
      <c r="B2143" s="2" t="s">
        <v>985</v>
      </c>
      <c r="C2143" s="5" t="s">
        <v>3774</v>
      </c>
      <c r="D2143" s="2" t="s">
        <v>3775</v>
      </c>
    </row>
    <row r="2144" spans="1:4" ht="13.05" customHeight="1" x14ac:dyDescent="0.3">
      <c r="A2144" s="2" t="s">
        <v>352</v>
      </c>
      <c r="B2144" s="2" t="s">
        <v>985</v>
      </c>
      <c r="C2144" s="5" t="s">
        <v>3776</v>
      </c>
      <c r="D2144" s="2" t="s">
        <v>3777</v>
      </c>
    </row>
    <row r="2145" spans="1:4" ht="13.05" customHeight="1" x14ac:dyDescent="0.3">
      <c r="A2145" s="2" t="s">
        <v>352</v>
      </c>
      <c r="B2145" s="2" t="s">
        <v>985</v>
      </c>
      <c r="C2145" s="5" t="s">
        <v>3778</v>
      </c>
      <c r="D2145" s="2" t="s">
        <v>3779</v>
      </c>
    </row>
    <row r="2146" spans="1:4" ht="13.05" customHeight="1" x14ac:dyDescent="0.3">
      <c r="A2146" s="2" t="s">
        <v>352</v>
      </c>
      <c r="B2146" s="2" t="s">
        <v>985</v>
      </c>
      <c r="C2146" s="5" t="s">
        <v>3780</v>
      </c>
      <c r="D2146" s="2" t="s">
        <v>3781</v>
      </c>
    </row>
    <row r="2147" spans="1:4" ht="13.05" customHeight="1" x14ac:dyDescent="0.3">
      <c r="A2147" s="2" t="s">
        <v>352</v>
      </c>
      <c r="B2147" s="2" t="s">
        <v>985</v>
      </c>
      <c r="C2147" s="5" t="s">
        <v>3782</v>
      </c>
      <c r="D2147" s="2" t="s">
        <v>3783</v>
      </c>
    </row>
    <row r="2148" spans="1:4" ht="13.05" customHeight="1" x14ac:dyDescent="0.3">
      <c r="A2148" s="2" t="s">
        <v>352</v>
      </c>
      <c r="B2148" s="2" t="s">
        <v>985</v>
      </c>
      <c r="C2148" s="5" t="s">
        <v>3784</v>
      </c>
      <c r="D2148" s="2" t="s">
        <v>3785</v>
      </c>
    </row>
    <row r="2149" spans="1:4" ht="13.05" customHeight="1" x14ac:dyDescent="0.3">
      <c r="A2149" s="2" t="s">
        <v>352</v>
      </c>
      <c r="B2149" s="2" t="s">
        <v>985</v>
      </c>
      <c r="C2149" s="5" t="s">
        <v>3786</v>
      </c>
      <c r="D2149" s="2" t="s">
        <v>3787</v>
      </c>
    </row>
    <row r="2150" spans="1:4" ht="13.05" customHeight="1" x14ac:dyDescent="0.3">
      <c r="A2150" s="2" t="s">
        <v>352</v>
      </c>
      <c r="B2150" s="2" t="s">
        <v>985</v>
      </c>
      <c r="C2150" s="5" t="s">
        <v>3788</v>
      </c>
      <c r="D2150" s="2" t="s">
        <v>3789</v>
      </c>
    </row>
    <row r="2151" spans="1:4" ht="13.05" customHeight="1" x14ac:dyDescent="0.3">
      <c r="A2151" s="2" t="s">
        <v>352</v>
      </c>
      <c r="B2151" s="2" t="s">
        <v>985</v>
      </c>
      <c r="C2151" s="5" t="s">
        <v>3790</v>
      </c>
      <c r="D2151" s="2" t="s">
        <v>3791</v>
      </c>
    </row>
    <row r="2152" spans="1:4" ht="13.05" customHeight="1" x14ac:dyDescent="0.3">
      <c r="A2152" s="2" t="s">
        <v>352</v>
      </c>
      <c r="B2152" s="2" t="s">
        <v>985</v>
      </c>
      <c r="C2152" s="5" t="s">
        <v>3792</v>
      </c>
      <c r="D2152" s="2" t="s">
        <v>3793</v>
      </c>
    </row>
    <row r="2153" spans="1:4" ht="13.05" customHeight="1" x14ac:dyDescent="0.3">
      <c r="A2153" s="2" t="s">
        <v>352</v>
      </c>
      <c r="B2153" s="2" t="s">
        <v>985</v>
      </c>
      <c r="C2153" s="5" t="s">
        <v>3794</v>
      </c>
      <c r="D2153" s="2" t="s">
        <v>3795</v>
      </c>
    </row>
    <row r="2154" spans="1:4" ht="13.05" customHeight="1" x14ac:dyDescent="0.3">
      <c r="A2154" s="2" t="s">
        <v>352</v>
      </c>
      <c r="B2154" s="2" t="s">
        <v>985</v>
      </c>
      <c r="C2154" s="5" t="s">
        <v>1541</v>
      </c>
      <c r="D2154" s="2" t="s">
        <v>3796</v>
      </c>
    </row>
    <row r="2155" spans="1:4" ht="13.05" customHeight="1" x14ac:dyDescent="0.3">
      <c r="A2155" s="2" t="s">
        <v>352</v>
      </c>
      <c r="B2155" s="2" t="s">
        <v>985</v>
      </c>
      <c r="C2155" s="5" t="s">
        <v>3797</v>
      </c>
      <c r="D2155" s="2" t="s">
        <v>3798</v>
      </c>
    </row>
    <row r="2156" spans="1:4" ht="13.05" customHeight="1" x14ac:dyDescent="0.3">
      <c r="A2156" s="2" t="s">
        <v>352</v>
      </c>
      <c r="B2156" s="2" t="s">
        <v>985</v>
      </c>
      <c r="C2156" s="5" t="s">
        <v>3799</v>
      </c>
      <c r="D2156" s="2" t="s">
        <v>3800</v>
      </c>
    </row>
    <row r="2157" spans="1:4" ht="13.05" customHeight="1" x14ac:dyDescent="0.3">
      <c r="A2157" s="2" t="s">
        <v>352</v>
      </c>
      <c r="B2157" s="2" t="s">
        <v>985</v>
      </c>
      <c r="C2157" s="5" t="s">
        <v>3801</v>
      </c>
      <c r="D2157" s="2" t="s">
        <v>3802</v>
      </c>
    </row>
    <row r="2158" spans="1:4" ht="13.05" customHeight="1" x14ac:dyDescent="0.3">
      <c r="A2158" s="2" t="s">
        <v>352</v>
      </c>
      <c r="B2158" s="2" t="s">
        <v>985</v>
      </c>
      <c r="C2158" s="5" t="s">
        <v>3803</v>
      </c>
      <c r="D2158" s="2" t="s">
        <v>3804</v>
      </c>
    </row>
    <row r="2159" spans="1:4" ht="13.05" customHeight="1" x14ac:dyDescent="0.3">
      <c r="A2159" s="2" t="s">
        <v>352</v>
      </c>
      <c r="B2159" s="2" t="s">
        <v>985</v>
      </c>
      <c r="C2159" s="5" t="s">
        <v>3805</v>
      </c>
      <c r="D2159" s="2" t="s">
        <v>3806</v>
      </c>
    </row>
    <row r="2160" spans="1:4" ht="13.05" customHeight="1" x14ac:dyDescent="0.3">
      <c r="A2160" s="2" t="s">
        <v>352</v>
      </c>
      <c r="B2160" s="2" t="s">
        <v>985</v>
      </c>
      <c r="C2160" s="5" t="s">
        <v>3807</v>
      </c>
      <c r="D2160" s="2" t="s">
        <v>3808</v>
      </c>
    </row>
    <row r="2161" spans="1:4" ht="13.05" customHeight="1" x14ac:dyDescent="0.3">
      <c r="A2161" s="2" t="s">
        <v>352</v>
      </c>
      <c r="B2161" s="2" t="s">
        <v>985</v>
      </c>
      <c r="C2161" s="5" t="s">
        <v>3809</v>
      </c>
      <c r="D2161" s="2" t="s">
        <v>3810</v>
      </c>
    </row>
    <row r="2162" spans="1:4" ht="13.05" customHeight="1" x14ac:dyDescent="0.3">
      <c r="A2162" s="2" t="s">
        <v>352</v>
      </c>
      <c r="B2162" s="2" t="s">
        <v>985</v>
      </c>
      <c r="C2162" s="5" t="s">
        <v>3811</v>
      </c>
      <c r="D2162" s="2" t="s">
        <v>3812</v>
      </c>
    </row>
    <row r="2163" spans="1:4" ht="13.05" customHeight="1" x14ac:dyDescent="0.3">
      <c r="A2163" s="2" t="s">
        <v>352</v>
      </c>
      <c r="B2163" s="2" t="s">
        <v>985</v>
      </c>
      <c r="C2163" s="5" t="s">
        <v>3813</v>
      </c>
      <c r="D2163" s="2" t="s">
        <v>3814</v>
      </c>
    </row>
    <row r="2164" spans="1:4" ht="13.05" customHeight="1" x14ac:dyDescent="0.3">
      <c r="A2164" s="2" t="s">
        <v>352</v>
      </c>
      <c r="B2164" s="2" t="s">
        <v>985</v>
      </c>
      <c r="C2164" s="5" t="s">
        <v>3815</v>
      </c>
      <c r="D2164" s="2" t="s">
        <v>3356</v>
      </c>
    </row>
    <row r="2165" spans="1:4" ht="13.05" customHeight="1" x14ac:dyDescent="0.3">
      <c r="A2165" s="2" t="s">
        <v>352</v>
      </c>
      <c r="B2165" s="2" t="s">
        <v>985</v>
      </c>
      <c r="C2165" s="5" t="s">
        <v>3816</v>
      </c>
      <c r="D2165" s="2" t="s">
        <v>3358</v>
      </c>
    </row>
    <row r="2166" spans="1:4" ht="13.05" customHeight="1" x14ac:dyDescent="0.3">
      <c r="A2166" s="2" t="s">
        <v>352</v>
      </c>
      <c r="B2166" s="2" t="s">
        <v>985</v>
      </c>
      <c r="C2166" s="5" t="s">
        <v>3817</v>
      </c>
      <c r="D2166" s="2" t="s">
        <v>3818</v>
      </c>
    </row>
    <row r="2167" spans="1:4" ht="13.05" customHeight="1" x14ac:dyDescent="0.3">
      <c r="A2167" s="2" t="s">
        <v>352</v>
      </c>
      <c r="B2167" s="2" t="s">
        <v>985</v>
      </c>
      <c r="C2167" s="5" t="s">
        <v>3819</v>
      </c>
      <c r="D2167" s="2" t="s">
        <v>3820</v>
      </c>
    </row>
    <row r="2168" spans="1:4" ht="13.05" customHeight="1" x14ac:dyDescent="0.3">
      <c r="A2168" s="2" t="s">
        <v>352</v>
      </c>
      <c r="B2168" s="2" t="s">
        <v>985</v>
      </c>
      <c r="C2168" s="5" t="s">
        <v>3821</v>
      </c>
      <c r="D2168" s="2" t="s">
        <v>3822</v>
      </c>
    </row>
    <row r="2169" spans="1:4" ht="13.05" customHeight="1" x14ac:dyDescent="0.3">
      <c r="A2169" s="2" t="s">
        <v>352</v>
      </c>
      <c r="B2169" s="2" t="s">
        <v>985</v>
      </c>
      <c r="C2169" s="5" t="s">
        <v>3823</v>
      </c>
      <c r="D2169" s="2" t="s">
        <v>3824</v>
      </c>
    </row>
    <row r="2170" spans="1:4" ht="13.05" customHeight="1" x14ac:dyDescent="0.3">
      <c r="A2170" s="2" t="s">
        <v>352</v>
      </c>
      <c r="B2170" s="2" t="s">
        <v>985</v>
      </c>
      <c r="C2170" s="5" t="s">
        <v>3825</v>
      </c>
      <c r="D2170" s="2" t="s">
        <v>3826</v>
      </c>
    </row>
    <row r="2171" spans="1:4" ht="13.05" customHeight="1" x14ac:dyDescent="0.3">
      <c r="A2171" s="2" t="s">
        <v>352</v>
      </c>
      <c r="B2171" s="2" t="s">
        <v>985</v>
      </c>
      <c r="C2171" s="5" t="s">
        <v>3827</v>
      </c>
      <c r="D2171" s="2" t="s">
        <v>3276</v>
      </c>
    </row>
    <row r="2172" spans="1:4" ht="13.05" customHeight="1" x14ac:dyDescent="0.3">
      <c r="A2172" s="2" t="s">
        <v>352</v>
      </c>
      <c r="B2172" s="2" t="s">
        <v>985</v>
      </c>
      <c r="C2172" s="5" t="s">
        <v>3828</v>
      </c>
      <c r="D2172" s="2" t="s">
        <v>3278</v>
      </c>
    </row>
    <row r="2173" spans="1:4" ht="13.05" customHeight="1" x14ac:dyDescent="0.3">
      <c r="A2173" s="2" t="s">
        <v>352</v>
      </c>
      <c r="B2173" s="2" t="s">
        <v>985</v>
      </c>
      <c r="C2173" s="5" t="s">
        <v>3829</v>
      </c>
      <c r="D2173" s="2" t="s">
        <v>3830</v>
      </c>
    </row>
    <row r="2174" spans="1:4" ht="13.05" customHeight="1" x14ac:dyDescent="0.3">
      <c r="A2174" s="2" t="s">
        <v>352</v>
      </c>
      <c r="B2174" s="2" t="s">
        <v>985</v>
      </c>
      <c r="C2174" s="5" t="s">
        <v>3831</v>
      </c>
      <c r="D2174" s="2" t="s">
        <v>3832</v>
      </c>
    </row>
    <row r="2175" spans="1:4" ht="13.05" customHeight="1" x14ac:dyDescent="0.3">
      <c r="A2175" s="2" t="s">
        <v>352</v>
      </c>
      <c r="B2175" s="2" t="s">
        <v>985</v>
      </c>
      <c r="C2175" s="5" t="s">
        <v>3833</v>
      </c>
      <c r="D2175" s="2" t="s">
        <v>3834</v>
      </c>
    </row>
    <row r="2176" spans="1:4" ht="13.05" customHeight="1" x14ac:dyDescent="0.3">
      <c r="A2176" s="2" t="s">
        <v>352</v>
      </c>
      <c r="B2176" s="2" t="s">
        <v>985</v>
      </c>
      <c r="C2176" s="5" t="s">
        <v>3835</v>
      </c>
      <c r="D2176" s="2" t="s">
        <v>3836</v>
      </c>
    </row>
    <row r="2177" spans="1:4" ht="13.05" customHeight="1" x14ac:dyDescent="0.3">
      <c r="A2177" s="2" t="s">
        <v>352</v>
      </c>
      <c r="B2177" s="2" t="s">
        <v>985</v>
      </c>
      <c r="C2177" s="5" t="s">
        <v>3837</v>
      </c>
      <c r="D2177" s="2" t="s">
        <v>3838</v>
      </c>
    </row>
    <row r="2178" spans="1:4" ht="13.05" customHeight="1" x14ac:dyDescent="0.3">
      <c r="A2178" s="2" t="s">
        <v>352</v>
      </c>
      <c r="B2178" s="2" t="s">
        <v>985</v>
      </c>
      <c r="C2178" s="5" t="s">
        <v>3839</v>
      </c>
      <c r="D2178" s="2" t="s">
        <v>3840</v>
      </c>
    </row>
    <row r="2179" spans="1:4" ht="13.05" customHeight="1" x14ac:dyDescent="0.3">
      <c r="A2179" s="2" t="s">
        <v>352</v>
      </c>
      <c r="B2179" s="2" t="s">
        <v>985</v>
      </c>
      <c r="C2179" s="5" t="s">
        <v>3841</v>
      </c>
      <c r="D2179" s="2" t="s">
        <v>3842</v>
      </c>
    </row>
    <row r="2180" spans="1:4" ht="13.05" customHeight="1" x14ac:dyDescent="0.3">
      <c r="A2180" s="2" t="s">
        <v>352</v>
      </c>
      <c r="B2180" s="2" t="s">
        <v>985</v>
      </c>
      <c r="C2180" s="5" t="s">
        <v>3843</v>
      </c>
      <c r="D2180" s="2" t="s">
        <v>3844</v>
      </c>
    </row>
    <row r="2181" spans="1:4" ht="13.05" customHeight="1" x14ac:dyDescent="0.3">
      <c r="A2181" s="2" t="s">
        <v>352</v>
      </c>
      <c r="B2181" s="2" t="s">
        <v>985</v>
      </c>
      <c r="C2181" s="5" t="s">
        <v>3845</v>
      </c>
      <c r="D2181" s="2" t="s">
        <v>3846</v>
      </c>
    </row>
    <row r="2182" spans="1:4" ht="13.05" customHeight="1" x14ac:dyDescent="0.3">
      <c r="A2182" s="2" t="s">
        <v>352</v>
      </c>
      <c r="B2182" s="2" t="s">
        <v>985</v>
      </c>
      <c r="C2182" s="5" t="s">
        <v>3847</v>
      </c>
      <c r="D2182" s="2" t="s">
        <v>3848</v>
      </c>
    </row>
    <row r="2183" spans="1:4" ht="13.05" customHeight="1" x14ac:dyDescent="0.3">
      <c r="A2183" s="2" t="s">
        <v>352</v>
      </c>
      <c r="B2183" s="2" t="s">
        <v>985</v>
      </c>
      <c r="C2183" s="5" t="s">
        <v>3849</v>
      </c>
      <c r="D2183" s="2" t="s">
        <v>3850</v>
      </c>
    </row>
    <row r="2184" spans="1:4" ht="13.05" customHeight="1" x14ac:dyDescent="0.3">
      <c r="A2184" s="2" t="s">
        <v>352</v>
      </c>
      <c r="B2184" s="2" t="s">
        <v>985</v>
      </c>
      <c r="C2184" s="5" t="s">
        <v>3851</v>
      </c>
      <c r="D2184" s="2" t="s">
        <v>3852</v>
      </c>
    </row>
    <row r="2185" spans="1:4" ht="13.05" customHeight="1" x14ac:dyDescent="0.3">
      <c r="A2185" s="2" t="s">
        <v>352</v>
      </c>
      <c r="B2185" s="2" t="s">
        <v>985</v>
      </c>
      <c r="C2185" s="5" t="s">
        <v>3853</v>
      </c>
      <c r="D2185" s="2" t="s">
        <v>3854</v>
      </c>
    </row>
    <row r="2186" spans="1:4" ht="13.05" customHeight="1" x14ac:dyDescent="0.3">
      <c r="A2186" s="2" t="s">
        <v>352</v>
      </c>
      <c r="B2186" s="2" t="s">
        <v>985</v>
      </c>
      <c r="C2186" s="5" t="s">
        <v>3855</v>
      </c>
      <c r="D2186" s="2" t="s">
        <v>3856</v>
      </c>
    </row>
    <row r="2187" spans="1:4" ht="13.05" customHeight="1" x14ac:dyDescent="0.3">
      <c r="A2187" s="2" t="s">
        <v>352</v>
      </c>
      <c r="B2187" s="2" t="s">
        <v>985</v>
      </c>
      <c r="C2187" s="5" t="s">
        <v>3857</v>
      </c>
      <c r="D2187" s="2" t="s">
        <v>3858</v>
      </c>
    </row>
    <row r="2188" spans="1:4" ht="13.05" customHeight="1" x14ac:dyDescent="0.3">
      <c r="A2188" s="2" t="s">
        <v>352</v>
      </c>
      <c r="B2188" s="2" t="s">
        <v>985</v>
      </c>
      <c r="C2188" s="5" t="s">
        <v>3859</v>
      </c>
      <c r="D2188" s="2" t="s">
        <v>3860</v>
      </c>
    </row>
    <row r="2189" spans="1:4" ht="13.05" customHeight="1" x14ac:dyDescent="0.3">
      <c r="A2189" s="2" t="s">
        <v>352</v>
      </c>
      <c r="B2189" s="2" t="s">
        <v>985</v>
      </c>
      <c r="C2189" s="5" t="s">
        <v>3861</v>
      </c>
      <c r="D2189" s="2" t="s">
        <v>3862</v>
      </c>
    </row>
    <row r="2190" spans="1:4" ht="13.05" customHeight="1" x14ac:dyDescent="0.3">
      <c r="A2190" s="2" t="s">
        <v>352</v>
      </c>
      <c r="B2190" s="2" t="s">
        <v>985</v>
      </c>
      <c r="C2190" s="5" t="s">
        <v>3863</v>
      </c>
      <c r="D2190" s="2" t="s">
        <v>3356</v>
      </c>
    </row>
    <row r="2191" spans="1:4" ht="13.05" customHeight="1" x14ac:dyDescent="0.3">
      <c r="A2191" s="2" t="s">
        <v>352</v>
      </c>
      <c r="B2191" s="2" t="s">
        <v>985</v>
      </c>
      <c r="C2191" s="5" t="s">
        <v>3864</v>
      </c>
      <c r="D2191" s="2" t="s">
        <v>3358</v>
      </c>
    </row>
    <row r="2192" spans="1:4" ht="13.05" customHeight="1" x14ac:dyDescent="0.3">
      <c r="A2192" s="2" t="s">
        <v>352</v>
      </c>
      <c r="B2192" s="2" t="s">
        <v>985</v>
      </c>
      <c r="C2192" s="5" t="s">
        <v>3865</v>
      </c>
      <c r="D2192" s="2" t="s">
        <v>3866</v>
      </c>
    </row>
    <row r="2193" spans="1:4" ht="13.05" customHeight="1" x14ac:dyDescent="0.3">
      <c r="A2193" s="2" t="s">
        <v>352</v>
      </c>
      <c r="B2193" s="2" t="s">
        <v>985</v>
      </c>
      <c r="C2193" s="5" t="s">
        <v>3867</v>
      </c>
      <c r="D2193" s="2" t="s">
        <v>3868</v>
      </c>
    </row>
    <row r="2194" spans="1:4" ht="13.05" customHeight="1" x14ac:dyDescent="0.3">
      <c r="A2194" s="2" t="s">
        <v>352</v>
      </c>
      <c r="B2194" s="2" t="s">
        <v>985</v>
      </c>
      <c r="C2194" s="5" t="s">
        <v>3869</v>
      </c>
      <c r="D2194" s="2" t="s">
        <v>3870</v>
      </c>
    </row>
    <row r="2195" spans="1:4" ht="13.05" customHeight="1" x14ac:dyDescent="0.3">
      <c r="A2195" s="2" t="s">
        <v>352</v>
      </c>
      <c r="B2195" s="2" t="s">
        <v>985</v>
      </c>
      <c r="C2195" s="5" t="s">
        <v>3871</v>
      </c>
      <c r="D2195" s="2" t="s">
        <v>3872</v>
      </c>
    </row>
    <row r="2196" spans="1:4" ht="13.05" customHeight="1" x14ac:dyDescent="0.3">
      <c r="A2196" s="2" t="s">
        <v>352</v>
      </c>
      <c r="B2196" s="2" t="s">
        <v>985</v>
      </c>
      <c r="C2196" s="5" t="s">
        <v>3873</v>
      </c>
      <c r="D2196" s="2" t="s">
        <v>3276</v>
      </c>
    </row>
    <row r="2197" spans="1:4" ht="13.05" customHeight="1" x14ac:dyDescent="0.3">
      <c r="A2197" s="2" t="s">
        <v>352</v>
      </c>
      <c r="B2197" s="2" t="s">
        <v>985</v>
      </c>
      <c r="C2197" s="5" t="s">
        <v>3874</v>
      </c>
      <c r="D2197" s="2" t="s">
        <v>3278</v>
      </c>
    </row>
    <row r="2198" spans="1:4" ht="13.05" customHeight="1" x14ac:dyDescent="0.3">
      <c r="A2198" s="2" t="s">
        <v>352</v>
      </c>
      <c r="B2198" s="2" t="s">
        <v>985</v>
      </c>
      <c r="C2198" s="5" t="s">
        <v>3875</v>
      </c>
      <c r="D2198" s="2" t="s">
        <v>3876</v>
      </c>
    </row>
    <row r="2199" spans="1:4" ht="13.05" customHeight="1" x14ac:dyDescent="0.3">
      <c r="A2199" s="2" t="s">
        <v>352</v>
      </c>
      <c r="B2199" s="2" t="s">
        <v>985</v>
      </c>
      <c r="C2199" s="5" t="s">
        <v>3877</v>
      </c>
      <c r="D2199" s="2" t="s">
        <v>3878</v>
      </c>
    </row>
    <row r="2200" spans="1:4" ht="13.05" customHeight="1" x14ac:dyDescent="0.3">
      <c r="A2200" s="2" t="s">
        <v>352</v>
      </c>
      <c r="B2200" s="2" t="s">
        <v>985</v>
      </c>
      <c r="C2200" s="5" t="s">
        <v>3879</v>
      </c>
      <c r="D2200" s="2" t="s">
        <v>3880</v>
      </c>
    </row>
    <row r="2201" spans="1:4" ht="13.05" customHeight="1" x14ac:dyDescent="0.3">
      <c r="A2201" s="2" t="s">
        <v>352</v>
      </c>
      <c r="B2201" s="2" t="s">
        <v>985</v>
      </c>
      <c r="C2201" s="5" t="s">
        <v>3881</v>
      </c>
      <c r="D2201" s="2" t="s">
        <v>3882</v>
      </c>
    </row>
    <row r="2202" spans="1:4" ht="13.05" customHeight="1" x14ac:dyDescent="0.3">
      <c r="A2202" s="2" t="s">
        <v>352</v>
      </c>
      <c r="B2202" s="2" t="s">
        <v>985</v>
      </c>
      <c r="C2202" s="5" t="s">
        <v>3883</v>
      </c>
      <c r="D2202" s="2" t="s">
        <v>3884</v>
      </c>
    </row>
    <row r="2203" spans="1:4" ht="13.05" customHeight="1" x14ac:dyDescent="0.3">
      <c r="A2203" s="2" t="s">
        <v>352</v>
      </c>
      <c r="B2203" s="2" t="s">
        <v>985</v>
      </c>
      <c r="C2203" s="5" t="s">
        <v>3885</v>
      </c>
      <c r="D2203" s="2" t="s">
        <v>3886</v>
      </c>
    </row>
    <row r="2204" spans="1:4" ht="13.05" customHeight="1" x14ac:dyDescent="0.3">
      <c r="A2204" s="2" t="s">
        <v>352</v>
      </c>
      <c r="B2204" s="2" t="s">
        <v>985</v>
      </c>
      <c r="C2204" s="5" t="s">
        <v>3887</v>
      </c>
      <c r="D2204" s="2" t="s">
        <v>3888</v>
      </c>
    </row>
    <row r="2205" spans="1:4" ht="13.05" customHeight="1" x14ac:dyDescent="0.3">
      <c r="A2205" s="2" t="s">
        <v>352</v>
      </c>
      <c r="B2205" s="2" t="s">
        <v>985</v>
      </c>
      <c r="C2205" s="5" t="s">
        <v>3889</v>
      </c>
      <c r="D2205" s="2" t="s">
        <v>3890</v>
      </c>
    </row>
    <row r="2206" spans="1:4" ht="13.05" customHeight="1" x14ac:dyDescent="0.3">
      <c r="A2206" s="2" t="s">
        <v>352</v>
      </c>
      <c r="B2206" s="2" t="s">
        <v>985</v>
      </c>
      <c r="C2206" s="5" t="s">
        <v>3891</v>
      </c>
      <c r="D2206" s="2" t="s">
        <v>3892</v>
      </c>
    </row>
    <row r="2207" spans="1:4" ht="13.05" customHeight="1" x14ac:dyDescent="0.3">
      <c r="A2207" s="2" t="s">
        <v>352</v>
      </c>
      <c r="B2207" s="2" t="s">
        <v>985</v>
      </c>
      <c r="C2207" s="5" t="s">
        <v>3893</v>
      </c>
      <c r="D2207" s="2" t="s">
        <v>3894</v>
      </c>
    </row>
    <row r="2208" spans="1:4" ht="13.05" customHeight="1" x14ac:dyDescent="0.3">
      <c r="A2208" s="2" t="s">
        <v>352</v>
      </c>
      <c r="B2208" s="2" t="s">
        <v>985</v>
      </c>
      <c r="C2208" s="5" t="s">
        <v>3895</v>
      </c>
      <c r="D2208" s="2" t="s">
        <v>3896</v>
      </c>
    </row>
    <row r="2209" spans="1:4" ht="13.05" customHeight="1" x14ac:dyDescent="0.3">
      <c r="A2209" s="2" t="s">
        <v>352</v>
      </c>
      <c r="B2209" s="2" t="s">
        <v>985</v>
      </c>
      <c r="C2209" s="5" t="s">
        <v>3897</v>
      </c>
      <c r="D2209" s="2" t="s">
        <v>3898</v>
      </c>
    </row>
    <row r="2210" spans="1:4" ht="13.05" customHeight="1" x14ac:dyDescent="0.3">
      <c r="A2210" s="2" t="s">
        <v>352</v>
      </c>
      <c r="B2210" s="2" t="s">
        <v>985</v>
      </c>
      <c r="C2210" s="5" t="s">
        <v>3899</v>
      </c>
      <c r="D2210" s="2" t="s">
        <v>3900</v>
      </c>
    </row>
    <row r="2211" spans="1:4" ht="13.05" customHeight="1" x14ac:dyDescent="0.3">
      <c r="A2211" s="2" t="s">
        <v>352</v>
      </c>
      <c r="B2211" s="2" t="s">
        <v>985</v>
      </c>
      <c r="C2211" s="5" t="s">
        <v>3901</v>
      </c>
      <c r="D2211" s="2" t="s">
        <v>3902</v>
      </c>
    </row>
    <row r="2212" spans="1:4" ht="13.05" customHeight="1" x14ac:dyDescent="0.3">
      <c r="A2212" s="2" t="s">
        <v>352</v>
      </c>
      <c r="B2212" s="2" t="s">
        <v>985</v>
      </c>
      <c r="C2212" s="5" t="s">
        <v>3903</v>
      </c>
      <c r="D2212" s="2" t="s">
        <v>3904</v>
      </c>
    </row>
    <row r="2213" spans="1:4" ht="13.05" customHeight="1" x14ac:dyDescent="0.3">
      <c r="A2213" s="2" t="s">
        <v>352</v>
      </c>
      <c r="B2213" s="2" t="s">
        <v>985</v>
      </c>
      <c r="C2213" s="5" t="s">
        <v>3905</v>
      </c>
      <c r="D2213" s="2" t="s">
        <v>3906</v>
      </c>
    </row>
    <row r="2214" spans="1:4" ht="13.05" customHeight="1" x14ac:dyDescent="0.3">
      <c r="A2214" s="2" t="s">
        <v>352</v>
      </c>
      <c r="B2214" s="2" t="s">
        <v>985</v>
      </c>
      <c r="C2214" s="5" t="s">
        <v>1635</v>
      </c>
      <c r="D2214" s="2" t="s">
        <v>3907</v>
      </c>
    </row>
    <row r="2215" spans="1:4" ht="13.05" customHeight="1" x14ac:dyDescent="0.3">
      <c r="A2215" s="2" t="s">
        <v>352</v>
      </c>
      <c r="B2215" s="2" t="s">
        <v>985</v>
      </c>
      <c r="C2215" s="5" t="s">
        <v>3908</v>
      </c>
      <c r="D2215" s="2" t="s">
        <v>3909</v>
      </c>
    </row>
    <row r="2216" spans="1:4" ht="13.05" customHeight="1" x14ac:dyDescent="0.3">
      <c r="A2216" s="2" t="s">
        <v>352</v>
      </c>
      <c r="B2216" s="2" t="s">
        <v>985</v>
      </c>
      <c r="C2216" s="5" t="s">
        <v>3910</v>
      </c>
      <c r="D2216" s="2" t="s">
        <v>3911</v>
      </c>
    </row>
    <row r="2217" spans="1:4" ht="13.05" customHeight="1" x14ac:dyDescent="0.3">
      <c r="A2217" s="2" t="s">
        <v>352</v>
      </c>
      <c r="B2217" s="2" t="s">
        <v>985</v>
      </c>
      <c r="C2217" s="5" t="s">
        <v>3912</v>
      </c>
      <c r="D2217" s="2" t="s">
        <v>3913</v>
      </c>
    </row>
    <row r="2218" spans="1:4" ht="13.05" customHeight="1" x14ac:dyDescent="0.3">
      <c r="A2218" s="2" t="s">
        <v>352</v>
      </c>
      <c r="B2218" s="2" t="s">
        <v>985</v>
      </c>
      <c r="C2218" s="5" t="s">
        <v>3914</v>
      </c>
      <c r="D2218" s="2" t="s">
        <v>3915</v>
      </c>
    </row>
    <row r="2219" spans="1:4" ht="13.05" customHeight="1" x14ac:dyDescent="0.3">
      <c r="A2219" s="2" t="s">
        <v>352</v>
      </c>
      <c r="B2219" s="2" t="s">
        <v>985</v>
      </c>
      <c r="C2219" s="5" t="s">
        <v>3916</v>
      </c>
      <c r="D2219" s="2" t="s">
        <v>3917</v>
      </c>
    </row>
    <row r="2220" spans="1:4" ht="13.05" customHeight="1" x14ac:dyDescent="0.3">
      <c r="A2220" s="2" t="s">
        <v>352</v>
      </c>
      <c r="B2220" s="2" t="s">
        <v>985</v>
      </c>
      <c r="C2220" s="5" t="s">
        <v>3918</v>
      </c>
      <c r="D2220" s="2" t="s">
        <v>3919</v>
      </c>
    </row>
    <row r="2221" spans="1:4" ht="13.05" customHeight="1" x14ac:dyDescent="0.3">
      <c r="A2221" s="2" t="s">
        <v>352</v>
      </c>
      <c r="B2221" s="2" t="s">
        <v>985</v>
      </c>
      <c r="C2221" s="5" t="s">
        <v>3920</v>
      </c>
      <c r="D2221" s="2" t="s">
        <v>3921</v>
      </c>
    </row>
    <row r="2222" spans="1:4" ht="13.05" customHeight="1" x14ac:dyDescent="0.3">
      <c r="A2222" s="2" t="s">
        <v>352</v>
      </c>
      <c r="B2222" s="2" t="s">
        <v>985</v>
      </c>
      <c r="C2222" s="5" t="s">
        <v>3922</v>
      </c>
      <c r="D2222" s="2" t="s">
        <v>3923</v>
      </c>
    </row>
    <row r="2223" spans="1:4" ht="13.05" customHeight="1" x14ac:dyDescent="0.3">
      <c r="A2223" s="2" t="s">
        <v>352</v>
      </c>
      <c r="B2223" s="2" t="s">
        <v>985</v>
      </c>
      <c r="C2223" s="5" t="s">
        <v>3924</v>
      </c>
      <c r="D2223" s="2" t="s">
        <v>3925</v>
      </c>
    </row>
    <row r="2224" spans="1:4" ht="13.05" customHeight="1" x14ac:dyDescent="0.3">
      <c r="A2224" s="2" t="s">
        <v>352</v>
      </c>
      <c r="B2224" s="2" t="s">
        <v>985</v>
      </c>
      <c r="C2224" s="5" t="s">
        <v>3926</v>
      </c>
      <c r="D2224" s="2" t="s">
        <v>3927</v>
      </c>
    </row>
    <row r="2225" spans="1:4" ht="13.05" customHeight="1" x14ac:dyDescent="0.3">
      <c r="A2225" s="2" t="s">
        <v>352</v>
      </c>
      <c r="B2225" s="2" t="s">
        <v>985</v>
      </c>
      <c r="C2225" s="5" t="s">
        <v>3928</v>
      </c>
      <c r="D2225" s="2" t="s">
        <v>3929</v>
      </c>
    </row>
    <row r="2226" spans="1:4" ht="13.05" customHeight="1" x14ac:dyDescent="0.3">
      <c r="A2226" s="2" t="s">
        <v>352</v>
      </c>
      <c r="B2226" s="2" t="s">
        <v>985</v>
      </c>
      <c r="C2226" s="5" t="s">
        <v>3930</v>
      </c>
      <c r="D2226" s="2" t="s">
        <v>3931</v>
      </c>
    </row>
    <row r="2227" spans="1:4" ht="13.05" customHeight="1" x14ac:dyDescent="0.3">
      <c r="A2227" s="2" t="s">
        <v>352</v>
      </c>
      <c r="B2227" s="2" t="s">
        <v>985</v>
      </c>
      <c r="C2227" s="5" t="s">
        <v>3932</v>
      </c>
      <c r="D2227" s="2" t="s">
        <v>3933</v>
      </c>
    </row>
    <row r="2228" spans="1:4" ht="13.05" customHeight="1" x14ac:dyDescent="0.3">
      <c r="A2228" s="2" t="s">
        <v>352</v>
      </c>
      <c r="B2228" s="2" t="s">
        <v>985</v>
      </c>
      <c r="C2228" s="5" t="s">
        <v>3934</v>
      </c>
      <c r="D2228" s="2" t="s">
        <v>3935</v>
      </c>
    </row>
    <row r="2229" spans="1:4" ht="13.05" customHeight="1" x14ac:dyDescent="0.3">
      <c r="A2229" s="2" t="s">
        <v>352</v>
      </c>
      <c r="B2229" s="2" t="s">
        <v>985</v>
      </c>
      <c r="C2229" s="5" t="s">
        <v>3936</v>
      </c>
      <c r="D2229" s="2" t="s">
        <v>3937</v>
      </c>
    </row>
    <row r="2230" spans="1:4" ht="13.05" customHeight="1" x14ac:dyDescent="0.3">
      <c r="A2230" s="2" t="s">
        <v>352</v>
      </c>
      <c r="B2230" s="2" t="s">
        <v>985</v>
      </c>
      <c r="C2230" s="5" t="s">
        <v>3938</v>
      </c>
      <c r="D2230" s="2" t="s">
        <v>3939</v>
      </c>
    </row>
    <row r="2231" spans="1:4" ht="13.05" customHeight="1" x14ac:dyDescent="0.3">
      <c r="A2231" s="2" t="s">
        <v>352</v>
      </c>
      <c r="B2231" s="2" t="s">
        <v>985</v>
      </c>
      <c r="C2231" s="5" t="s">
        <v>3940</v>
      </c>
      <c r="D2231" s="2" t="s">
        <v>3941</v>
      </c>
    </row>
    <row r="2232" spans="1:4" ht="13.05" customHeight="1" x14ac:dyDescent="0.3">
      <c r="A2232" s="2" t="s">
        <v>352</v>
      </c>
      <c r="B2232" s="2" t="s">
        <v>985</v>
      </c>
      <c r="C2232" s="5" t="s">
        <v>3942</v>
      </c>
      <c r="D2232" s="2" t="s">
        <v>3943</v>
      </c>
    </row>
    <row r="2233" spans="1:4" ht="13.05" customHeight="1" x14ac:dyDescent="0.3">
      <c r="A2233" s="2" t="s">
        <v>352</v>
      </c>
      <c r="B2233" s="2" t="s">
        <v>985</v>
      </c>
      <c r="C2233" s="5" t="s">
        <v>3944</v>
      </c>
      <c r="D2233" s="2" t="s">
        <v>3244</v>
      </c>
    </row>
    <row r="2234" spans="1:4" ht="13.05" customHeight="1" x14ac:dyDescent="0.3">
      <c r="A2234" s="2" t="s">
        <v>352</v>
      </c>
      <c r="B2234" s="2" t="s">
        <v>985</v>
      </c>
      <c r="C2234" s="5" t="s">
        <v>3945</v>
      </c>
      <c r="D2234" s="2" t="s">
        <v>3358</v>
      </c>
    </row>
    <row r="2235" spans="1:4" ht="13.05" customHeight="1" x14ac:dyDescent="0.3">
      <c r="A2235" s="2" t="s">
        <v>352</v>
      </c>
      <c r="B2235" s="2" t="s">
        <v>985</v>
      </c>
      <c r="C2235" s="5" t="s">
        <v>3946</v>
      </c>
      <c r="D2235" s="2" t="s">
        <v>3947</v>
      </c>
    </row>
    <row r="2236" spans="1:4" ht="13.05" customHeight="1" x14ac:dyDescent="0.3">
      <c r="A2236" s="2" t="s">
        <v>352</v>
      </c>
      <c r="B2236" s="2" t="s">
        <v>985</v>
      </c>
      <c r="C2236" s="5" t="s">
        <v>3948</v>
      </c>
      <c r="D2236" s="2" t="s">
        <v>3949</v>
      </c>
    </row>
    <row r="2237" spans="1:4" ht="13.05" customHeight="1" x14ac:dyDescent="0.3">
      <c r="A2237" s="2" t="s">
        <v>352</v>
      </c>
      <c r="B2237" s="2" t="s">
        <v>985</v>
      </c>
      <c r="C2237" s="5" t="s">
        <v>3950</v>
      </c>
      <c r="D2237" s="2" t="s">
        <v>3951</v>
      </c>
    </row>
    <row r="2238" spans="1:4" ht="13.05" customHeight="1" x14ac:dyDescent="0.3">
      <c r="A2238" s="2" t="s">
        <v>352</v>
      </c>
      <c r="B2238" s="2" t="s">
        <v>985</v>
      </c>
      <c r="C2238" s="5" t="s">
        <v>3952</v>
      </c>
      <c r="D2238" s="2" t="s">
        <v>3953</v>
      </c>
    </row>
    <row r="2239" spans="1:4" ht="13.05" customHeight="1" x14ac:dyDescent="0.3">
      <c r="A2239" s="2" t="s">
        <v>352</v>
      </c>
      <c r="B2239" s="2" t="s">
        <v>985</v>
      </c>
      <c r="C2239" s="5" t="s">
        <v>3954</v>
      </c>
      <c r="D2239" s="2" t="s">
        <v>3955</v>
      </c>
    </row>
    <row r="2240" spans="1:4" ht="13.05" customHeight="1" x14ac:dyDescent="0.3">
      <c r="A2240" s="2" t="s">
        <v>352</v>
      </c>
      <c r="B2240" s="2" t="s">
        <v>985</v>
      </c>
      <c r="C2240" s="5" t="s">
        <v>3956</v>
      </c>
      <c r="D2240" s="2" t="s">
        <v>3957</v>
      </c>
    </row>
    <row r="2241" spans="1:4" ht="13.05" customHeight="1" x14ac:dyDescent="0.3">
      <c r="A2241" s="2" t="s">
        <v>352</v>
      </c>
      <c r="B2241" s="2" t="s">
        <v>985</v>
      </c>
      <c r="C2241" s="5" t="s">
        <v>3958</v>
      </c>
      <c r="D2241" s="2" t="s">
        <v>3959</v>
      </c>
    </row>
    <row r="2242" spans="1:4" ht="13.05" customHeight="1" x14ac:dyDescent="0.3">
      <c r="A2242" s="2" t="s">
        <v>352</v>
      </c>
      <c r="B2242" s="2" t="s">
        <v>985</v>
      </c>
      <c r="C2242" s="5" t="s">
        <v>3960</v>
      </c>
      <c r="D2242" s="2" t="s">
        <v>3961</v>
      </c>
    </row>
    <row r="2243" spans="1:4" ht="13.05" customHeight="1" x14ac:dyDescent="0.3">
      <c r="A2243" s="2" t="s">
        <v>352</v>
      </c>
      <c r="B2243" s="2" t="s">
        <v>985</v>
      </c>
      <c r="C2243" s="5" t="s">
        <v>3962</v>
      </c>
      <c r="D2243" s="2" t="s">
        <v>3963</v>
      </c>
    </row>
    <row r="2244" spans="1:4" ht="13.05" customHeight="1" x14ac:dyDescent="0.3">
      <c r="A2244" s="2" t="s">
        <v>352</v>
      </c>
      <c r="B2244" s="2" t="s">
        <v>985</v>
      </c>
      <c r="C2244" s="5" t="s">
        <v>3964</v>
      </c>
      <c r="D2244" s="2" t="s">
        <v>3965</v>
      </c>
    </row>
    <row r="2245" spans="1:4" ht="13.05" customHeight="1" x14ac:dyDescent="0.3">
      <c r="A2245" s="2" t="s">
        <v>352</v>
      </c>
      <c r="B2245" s="2" t="s">
        <v>985</v>
      </c>
      <c r="C2245" s="5" t="s">
        <v>3966</v>
      </c>
      <c r="D2245" s="2" t="s">
        <v>3967</v>
      </c>
    </row>
    <row r="2246" spans="1:4" ht="13.05" customHeight="1" x14ac:dyDescent="0.3">
      <c r="A2246" s="2" t="s">
        <v>352</v>
      </c>
      <c r="B2246" s="2" t="s">
        <v>985</v>
      </c>
      <c r="C2246" s="5" t="s">
        <v>3968</v>
      </c>
      <c r="D2246" s="2" t="s">
        <v>3969</v>
      </c>
    </row>
    <row r="2247" spans="1:4" ht="13.05" customHeight="1" x14ac:dyDescent="0.3">
      <c r="A2247" s="2" t="s">
        <v>352</v>
      </c>
      <c r="B2247" s="2" t="s">
        <v>985</v>
      </c>
      <c r="C2247" s="5" t="s">
        <v>3970</v>
      </c>
      <c r="D2247" s="2" t="s">
        <v>3971</v>
      </c>
    </row>
    <row r="2248" spans="1:4" ht="13.05" customHeight="1" x14ac:dyDescent="0.3">
      <c r="A2248" s="2" t="s">
        <v>352</v>
      </c>
      <c r="B2248" s="2" t="s">
        <v>985</v>
      </c>
      <c r="C2248" s="5" t="s">
        <v>3972</v>
      </c>
      <c r="D2248" s="2" t="s">
        <v>3973</v>
      </c>
    </row>
    <row r="2249" spans="1:4" ht="13.05" customHeight="1" x14ac:dyDescent="0.3">
      <c r="A2249" s="2" t="s">
        <v>352</v>
      </c>
      <c r="B2249" s="2" t="s">
        <v>985</v>
      </c>
      <c r="C2249" s="5" t="s">
        <v>3974</v>
      </c>
      <c r="D2249" s="2" t="s">
        <v>3975</v>
      </c>
    </row>
    <row r="2250" spans="1:4" ht="13.05" customHeight="1" x14ac:dyDescent="0.3">
      <c r="A2250" s="2" t="s">
        <v>352</v>
      </c>
      <c r="B2250" s="2" t="s">
        <v>985</v>
      </c>
      <c r="C2250" s="5" t="s">
        <v>3976</v>
      </c>
      <c r="D2250" s="2" t="s">
        <v>3977</v>
      </c>
    </row>
    <row r="2251" spans="1:4" ht="13.05" customHeight="1" x14ac:dyDescent="0.3">
      <c r="A2251" s="2" t="s">
        <v>352</v>
      </c>
      <c r="B2251" s="2" t="s">
        <v>985</v>
      </c>
      <c r="C2251" s="5" t="s">
        <v>3978</v>
      </c>
      <c r="D2251" s="2" t="s">
        <v>3979</v>
      </c>
    </row>
    <row r="2252" spans="1:4" ht="13.05" customHeight="1" x14ac:dyDescent="0.3">
      <c r="A2252" s="2" t="s">
        <v>352</v>
      </c>
      <c r="B2252" s="2" t="s">
        <v>985</v>
      </c>
      <c r="C2252" s="5" t="s">
        <v>3980</v>
      </c>
      <c r="D2252" s="2" t="s">
        <v>3981</v>
      </c>
    </row>
    <row r="2253" spans="1:4" ht="13.05" customHeight="1" x14ac:dyDescent="0.3">
      <c r="A2253" s="2" t="s">
        <v>352</v>
      </c>
      <c r="B2253" s="2" t="s">
        <v>985</v>
      </c>
      <c r="C2253" s="5" t="s">
        <v>3982</v>
      </c>
      <c r="D2253" s="2" t="s">
        <v>3983</v>
      </c>
    </row>
    <row r="2254" spans="1:4" ht="13.05" customHeight="1" x14ac:dyDescent="0.3">
      <c r="A2254" s="2" t="s">
        <v>352</v>
      </c>
      <c r="B2254" s="2" t="s">
        <v>985</v>
      </c>
      <c r="C2254" s="5" t="s">
        <v>3984</v>
      </c>
      <c r="D2254" s="2" t="s">
        <v>3985</v>
      </c>
    </row>
    <row r="2255" spans="1:4" ht="13.05" customHeight="1" x14ac:dyDescent="0.3">
      <c r="A2255" s="2" t="s">
        <v>352</v>
      </c>
      <c r="B2255" s="2" t="s">
        <v>985</v>
      </c>
      <c r="C2255" s="5" t="s">
        <v>3986</v>
      </c>
      <c r="D2255" s="2" t="s">
        <v>3016</v>
      </c>
    </row>
    <row r="2256" spans="1:4" ht="13.05" customHeight="1" x14ac:dyDescent="0.3">
      <c r="A2256" s="2" t="s">
        <v>352</v>
      </c>
      <c r="B2256" s="2" t="s">
        <v>985</v>
      </c>
      <c r="C2256" s="5" t="s">
        <v>3987</v>
      </c>
      <c r="D2256" s="2" t="s">
        <v>3988</v>
      </c>
    </row>
    <row r="2257" spans="1:4" ht="13.05" customHeight="1" x14ac:dyDescent="0.3">
      <c r="A2257" s="2" t="s">
        <v>352</v>
      </c>
      <c r="B2257" s="2" t="s">
        <v>985</v>
      </c>
      <c r="C2257" s="5" t="s">
        <v>3989</v>
      </c>
      <c r="D2257" s="2" t="s">
        <v>3990</v>
      </c>
    </row>
    <row r="2258" spans="1:4" ht="13.05" customHeight="1" x14ac:dyDescent="0.3">
      <c r="A2258" s="2" t="s">
        <v>352</v>
      </c>
      <c r="B2258" s="2" t="s">
        <v>985</v>
      </c>
      <c r="C2258" s="5" t="s">
        <v>3991</v>
      </c>
      <c r="D2258" s="2" t="s">
        <v>3298</v>
      </c>
    </row>
    <row r="2259" spans="1:4" ht="13.05" customHeight="1" x14ac:dyDescent="0.3">
      <c r="A2259" s="2" t="s">
        <v>352</v>
      </c>
      <c r="B2259" s="2" t="s">
        <v>985</v>
      </c>
      <c r="C2259" s="5" t="s">
        <v>3992</v>
      </c>
      <c r="D2259" s="2" t="s">
        <v>3300</v>
      </c>
    </row>
    <row r="2260" spans="1:4" ht="13.05" customHeight="1" x14ac:dyDescent="0.3">
      <c r="A2260" s="2" t="s">
        <v>352</v>
      </c>
      <c r="B2260" s="2" t="s">
        <v>985</v>
      </c>
      <c r="C2260" s="5" t="s">
        <v>3993</v>
      </c>
      <c r="D2260" s="2" t="s">
        <v>3475</v>
      </c>
    </row>
    <row r="2261" spans="1:4" ht="13.05" customHeight="1" x14ac:dyDescent="0.3">
      <c r="A2261" s="2" t="s">
        <v>352</v>
      </c>
      <c r="B2261" s="2" t="s">
        <v>985</v>
      </c>
      <c r="C2261" s="5" t="s">
        <v>3994</v>
      </c>
      <c r="D2261" s="2" t="s">
        <v>3477</v>
      </c>
    </row>
    <row r="2262" spans="1:4" ht="13.05" customHeight="1" x14ac:dyDescent="0.3">
      <c r="A2262" s="2" t="s">
        <v>352</v>
      </c>
      <c r="B2262" s="2" t="s">
        <v>985</v>
      </c>
      <c r="C2262" s="5" t="s">
        <v>3995</v>
      </c>
      <c r="D2262" s="2" t="s">
        <v>3479</v>
      </c>
    </row>
    <row r="2263" spans="1:4" ht="13.05" customHeight="1" x14ac:dyDescent="0.3">
      <c r="A2263" s="2" t="s">
        <v>352</v>
      </c>
      <c r="B2263" s="2" t="s">
        <v>985</v>
      </c>
      <c r="C2263" s="5" t="s">
        <v>3996</v>
      </c>
      <c r="D2263" s="2" t="s">
        <v>3481</v>
      </c>
    </row>
    <row r="2264" spans="1:4" ht="13.05" customHeight="1" x14ac:dyDescent="0.3">
      <c r="A2264" s="2" t="s">
        <v>352</v>
      </c>
      <c r="B2264" s="2" t="s">
        <v>985</v>
      </c>
      <c r="C2264" s="5" t="s">
        <v>3997</v>
      </c>
      <c r="D2264" s="2" t="s">
        <v>3483</v>
      </c>
    </row>
    <row r="2265" spans="1:4" ht="13.05" customHeight="1" x14ac:dyDescent="0.3">
      <c r="A2265" s="2" t="s">
        <v>352</v>
      </c>
      <c r="B2265" s="2" t="s">
        <v>985</v>
      </c>
      <c r="C2265" s="5" t="s">
        <v>3998</v>
      </c>
      <c r="D2265" s="2" t="s">
        <v>3485</v>
      </c>
    </row>
    <row r="2266" spans="1:4" ht="13.05" customHeight="1" x14ac:dyDescent="0.3">
      <c r="A2266" s="2" t="s">
        <v>352</v>
      </c>
      <c r="B2266" s="2" t="s">
        <v>985</v>
      </c>
      <c r="C2266" s="5" t="s">
        <v>3999</v>
      </c>
      <c r="D2266" s="2" t="s">
        <v>3676</v>
      </c>
    </row>
    <row r="2267" spans="1:4" ht="13.05" customHeight="1" x14ac:dyDescent="0.3">
      <c r="A2267" s="2" t="s">
        <v>352</v>
      </c>
      <c r="B2267" s="2" t="s">
        <v>985</v>
      </c>
      <c r="C2267" s="5" t="s">
        <v>4000</v>
      </c>
      <c r="D2267" s="2" t="s">
        <v>3489</v>
      </c>
    </row>
    <row r="2268" spans="1:4" ht="13.05" customHeight="1" x14ac:dyDescent="0.3">
      <c r="A2268" s="2" t="s">
        <v>352</v>
      </c>
      <c r="B2268" s="2" t="s">
        <v>985</v>
      </c>
      <c r="C2268" s="5" t="s">
        <v>4001</v>
      </c>
      <c r="D2268" s="2" t="s">
        <v>3304</v>
      </c>
    </row>
    <row r="2269" spans="1:4" ht="13.05" customHeight="1" x14ac:dyDescent="0.3">
      <c r="A2269" s="2" t="s">
        <v>352</v>
      </c>
      <c r="B2269" s="2" t="s">
        <v>985</v>
      </c>
      <c r="C2269" s="5" t="s">
        <v>4002</v>
      </c>
      <c r="D2269" s="2" t="s">
        <v>3492</v>
      </c>
    </row>
    <row r="2270" spans="1:4" ht="13.05" customHeight="1" x14ac:dyDescent="0.3">
      <c r="A2270" s="2" t="s">
        <v>352</v>
      </c>
      <c r="B2270" s="2" t="s">
        <v>985</v>
      </c>
      <c r="C2270" s="5" t="s">
        <v>4003</v>
      </c>
      <c r="D2270" s="2" t="s">
        <v>3681</v>
      </c>
    </row>
    <row r="2271" spans="1:4" ht="13.05" customHeight="1" x14ac:dyDescent="0.3">
      <c r="A2271" s="2" t="s">
        <v>352</v>
      </c>
      <c r="B2271" s="2" t="s">
        <v>985</v>
      </c>
      <c r="C2271" s="5" t="s">
        <v>4004</v>
      </c>
      <c r="D2271" s="2" t="s">
        <v>3495</v>
      </c>
    </row>
    <row r="2272" spans="1:4" ht="13.05" customHeight="1" x14ac:dyDescent="0.3">
      <c r="A2272" s="2" t="s">
        <v>352</v>
      </c>
      <c r="B2272" s="2" t="s">
        <v>985</v>
      </c>
      <c r="C2272" s="5" t="s">
        <v>4005</v>
      </c>
      <c r="D2272" s="2" t="s">
        <v>3497</v>
      </c>
    </row>
    <row r="2273" spans="1:4" ht="13.05" customHeight="1" x14ac:dyDescent="0.3">
      <c r="A2273" s="2" t="s">
        <v>352</v>
      </c>
      <c r="B2273" s="2" t="s">
        <v>985</v>
      </c>
      <c r="C2273" s="5" t="s">
        <v>4006</v>
      </c>
      <c r="D2273" s="2" t="s">
        <v>4007</v>
      </c>
    </row>
    <row r="2274" spans="1:4" ht="13.05" customHeight="1" x14ac:dyDescent="0.3">
      <c r="A2274" s="2" t="s">
        <v>352</v>
      </c>
      <c r="B2274" s="2" t="s">
        <v>985</v>
      </c>
      <c r="C2274" s="5" t="s">
        <v>4008</v>
      </c>
      <c r="D2274" s="2" t="s">
        <v>4009</v>
      </c>
    </row>
    <row r="2275" spans="1:4" ht="13.05" customHeight="1" x14ac:dyDescent="0.3">
      <c r="A2275" s="2" t="s">
        <v>352</v>
      </c>
      <c r="B2275" s="2" t="s">
        <v>985</v>
      </c>
      <c r="C2275" s="5" t="s">
        <v>4010</v>
      </c>
      <c r="D2275" s="2" t="s">
        <v>4011</v>
      </c>
    </row>
    <row r="2276" spans="1:4" ht="13.05" customHeight="1" x14ac:dyDescent="0.3">
      <c r="A2276" s="2" t="s">
        <v>352</v>
      </c>
      <c r="B2276" s="2" t="s">
        <v>985</v>
      </c>
      <c r="C2276" s="5" t="s">
        <v>4012</v>
      </c>
      <c r="D2276" s="2" t="s">
        <v>4013</v>
      </c>
    </row>
    <row r="2277" spans="1:4" ht="13.05" customHeight="1" x14ac:dyDescent="0.3">
      <c r="A2277" s="2" t="s">
        <v>352</v>
      </c>
      <c r="B2277" s="2" t="s">
        <v>985</v>
      </c>
      <c r="C2277" s="5" t="s">
        <v>4014</v>
      </c>
      <c r="D2277" s="2" t="s">
        <v>4015</v>
      </c>
    </row>
    <row r="2278" spans="1:4" ht="13.05" customHeight="1" x14ac:dyDescent="0.3">
      <c r="A2278" s="2" t="s">
        <v>352</v>
      </c>
      <c r="B2278" s="2" t="s">
        <v>985</v>
      </c>
      <c r="C2278" s="5" t="s">
        <v>4016</v>
      </c>
      <c r="D2278" s="2" t="s">
        <v>3838</v>
      </c>
    </row>
    <row r="2279" spans="1:4" ht="13.05" customHeight="1" x14ac:dyDescent="0.3">
      <c r="A2279" s="2" t="s">
        <v>352</v>
      </c>
      <c r="B2279" s="2" t="s">
        <v>985</v>
      </c>
      <c r="C2279" s="5" t="s">
        <v>4017</v>
      </c>
      <c r="D2279" s="2" t="s">
        <v>4018</v>
      </c>
    </row>
    <row r="2280" spans="1:4" ht="13.05" customHeight="1" x14ac:dyDescent="0.3">
      <c r="A2280" s="2" t="s">
        <v>352</v>
      </c>
      <c r="B2280" s="2" t="s">
        <v>985</v>
      </c>
      <c r="C2280" s="5" t="s">
        <v>4019</v>
      </c>
      <c r="D2280" s="2" t="s">
        <v>4020</v>
      </c>
    </row>
    <row r="2281" spans="1:4" ht="13.05" customHeight="1" x14ac:dyDescent="0.3">
      <c r="A2281" s="2" t="s">
        <v>352</v>
      </c>
      <c r="B2281" s="2" t="s">
        <v>985</v>
      </c>
      <c r="C2281" s="5" t="s">
        <v>4021</v>
      </c>
      <c r="D2281" s="2" t="s">
        <v>4022</v>
      </c>
    </row>
    <row r="2282" spans="1:4" ht="13.05" customHeight="1" x14ac:dyDescent="0.3">
      <c r="A2282" s="2" t="s">
        <v>352</v>
      </c>
      <c r="B2282" s="2" t="s">
        <v>985</v>
      </c>
      <c r="C2282" s="5" t="s">
        <v>4023</v>
      </c>
      <c r="D2282" s="2" t="s">
        <v>4024</v>
      </c>
    </row>
    <row r="2283" spans="1:4" ht="13.05" customHeight="1" x14ac:dyDescent="0.3">
      <c r="A2283" s="2" t="s">
        <v>352</v>
      </c>
      <c r="B2283" s="2" t="s">
        <v>985</v>
      </c>
      <c r="C2283" s="5" t="s">
        <v>4025</v>
      </c>
      <c r="D2283" s="2" t="s">
        <v>4026</v>
      </c>
    </row>
    <row r="2284" spans="1:4" ht="13.05" customHeight="1" x14ac:dyDescent="0.3">
      <c r="A2284" s="2" t="s">
        <v>352</v>
      </c>
      <c r="B2284" s="2" t="s">
        <v>985</v>
      </c>
      <c r="C2284" s="5" t="s">
        <v>1681</v>
      </c>
      <c r="D2284" s="2" t="s">
        <v>4027</v>
      </c>
    </row>
    <row r="2285" spans="1:4" ht="13.05" customHeight="1" x14ac:dyDescent="0.3">
      <c r="A2285" s="2" t="s">
        <v>352</v>
      </c>
      <c r="B2285" s="2" t="s">
        <v>985</v>
      </c>
      <c r="C2285" s="5" t="s">
        <v>4028</v>
      </c>
      <c r="D2285" s="2" t="s">
        <v>4029</v>
      </c>
    </row>
    <row r="2286" spans="1:4" ht="13.05" customHeight="1" x14ac:dyDescent="0.3">
      <c r="A2286" s="2" t="s">
        <v>352</v>
      </c>
      <c r="B2286" s="2" t="s">
        <v>985</v>
      </c>
      <c r="C2286" s="5" t="s">
        <v>4030</v>
      </c>
      <c r="D2286" s="2" t="s">
        <v>4031</v>
      </c>
    </row>
    <row r="2287" spans="1:4" ht="13.05" customHeight="1" x14ac:dyDescent="0.3">
      <c r="A2287" s="2" t="s">
        <v>352</v>
      </c>
      <c r="B2287" s="2" t="s">
        <v>985</v>
      </c>
      <c r="C2287" s="5" t="s">
        <v>4032</v>
      </c>
      <c r="D2287" s="2" t="s">
        <v>4033</v>
      </c>
    </row>
    <row r="2288" spans="1:4" ht="13.05" customHeight="1" x14ac:dyDescent="0.3">
      <c r="A2288" s="2" t="s">
        <v>352</v>
      </c>
      <c r="B2288" s="2" t="s">
        <v>985</v>
      </c>
      <c r="C2288" s="5" t="s">
        <v>4034</v>
      </c>
      <c r="D2288" s="2" t="s">
        <v>3356</v>
      </c>
    </row>
    <row r="2289" spans="1:4" ht="13.05" customHeight="1" x14ac:dyDescent="0.3">
      <c r="A2289" s="2" t="s">
        <v>352</v>
      </c>
      <c r="B2289" s="2" t="s">
        <v>985</v>
      </c>
      <c r="C2289" s="5" t="s">
        <v>4035</v>
      </c>
      <c r="D2289" s="2" t="s">
        <v>3358</v>
      </c>
    </row>
    <row r="2290" spans="1:4" ht="13.05" customHeight="1" x14ac:dyDescent="0.3">
      <c r="A2290" s="2" t="s">
        <v>352</v>
      </c>
      <c r="B2290" s="2" t="s">
        <v>985</v>
      </c>
      <c r="C2290" s="5" t="s">
        <v>4036</v>
      </c>
      <c r="D2290" s="2" t="s">
        <v>4037</v>
      </c>
    </row>
    <row r="2291" spans="1:4" ht="13.05" customHeight="1" x14ac:dyDescent="0.3">
      <c r="A2291" s="2" t="s">
        <v>352</v>
      </c>
      <c r="B2291" s="2" t="s">
        <v>985</v>
      </c>
      <c r="C2291" s="5" t="s">
        <v>4038</v>
      </c>
      <c r="D2291" s="2" t="s">
        <v>4039</v>
      </c>
    </row>
    <row r="2292" spans="1:4" ht="13.05" customHeight="1" x14ac:dyDescent="0.3">
      <c r="A2292" s="2" t="s">
        <v>352</v>
      </c>
      <c r="B2292" s="2" t="s">
        <v>985</v>
      </c>
      <c r="C2292" s="5" t="s">
        <v>4040</v>
      </c>
      <c r="D2292" s="2" t="s">
        <v>3278</v>
      </c>
    </row>
    <row r="2293" spans="1:4" ht="13.05" customHeight="1" x14ac:dyDescent="0.3">
      <c r="A2293" s="2" t="s">
        <v>352</v>
      </c>
      <c r="B2293" s="2" t="s">
        <v>985</v>
      </c>
      <c r="C2293" s="5" t="s">
        <v>4041</v>
      </c>
      <c r="D2293" s="2" t="s">
        <v>4042</v>
      </c>
    </row>
    <row r="2294" spans="1:4" ht="13.05" customHeight="1" x14ac:dyDescent="0.3">
      <c r="A2294" s="2" t="s">
        <v>352</v>
      </c>
      <c r="B2294" s="2" t="s">
        <v>985</v>
      </c>
      <c r="C2294" s="5" t="s">
        <v>4043</v>
      </c>
      <c r="D2294" s="2" t="s">
        <v>4044</v>
      </c>
    </row>
    <row r="2295" spans="1:4" ht="13.05" customHeight="1" x14ac:dyDescent="0.3">
      <c r="A2295" s="2" t="s">
        <v>352</v>
      </c>
      <c r="B2295" s="2" t="s">
        <v>985</v>
      </c>
      <c r="C2295" s="5" t="s">
        <v>4045</v>
      </c>
      <c r="D2295" s="2" t="s">
        <v>4046</v>
      </c>
    </row>
    <row r="2296" spans="1:4" ht="13.05" customHeight="1" x14ac:dyDescent="0.3">
      <c r="A2296" s="2" t="s">
        <v>352</v>
      </c>
      <c r="B2296" s="2" t="s">
        <v>985</v>
      </c>
      <c r="C2296" s="5" t="s">
        <v>4047</v>
      </c>
      <c r="D2296" s="2" t="s">
        <v>4048</v>
      </c>
    </row>
    <row r="2297" spans="1:4" ht="13.05" customHeight="1" x14ac:dyDescent="0.3">
      <c r="A2297" s="2" t="s">
        <v>352</v>
      </c>
      <c r="B2297" s="2" t="s">
        <v>985</v>
      </c>
      <c r="C2297" s="5" t="s">
        <v>4049</v>
      </c>
      <c r="D2297" s="2" t="s">
        <v>4050</v>
      </c>
    </row>
    <row r="2298" spans="1:4" ht="13.05" customHeight="1" x14ac:dyDescent="0.3">
      <c r="A2298" s="2" t="s">
        <v>352</v>
      </c>
      <c r="B2298" s="2" t="s">
        <v>985</v>
      </c>
      <c r="C2298" s="5" t="s">
        <v>4051</v>
      </c>
      <c r="D2298" s="2" t="s">
        <v>4052</v>
      </c>
    </row>
    <row r="2299" spans="1:4" ht="13.05" customHeight="1" x14ac:dyDescent="0.3">
      <c r="A2299" s="2" t="s">
        <v>352</v>
      </c>
      <c r="B2299" s="2" t="s">
        <v>985</v>
      </c>
      <c r="C2299" s="5" t="s">
        <v>4053</v>
      </c>
      <c r="D2299" s="2" t="s">
        <v>4054</v>
      </c>
    </row>
    <row r="2300" spans="1:4" ht="13.05" customHeight="1" x14ac:dyDescent="0.3">
      <c r="A2300" s="2" t="s">
        <v>352</v>
      </c>
      <c r="B2300" s="2" t="s">
        <v>985</v>
      </c>
      <c r="C2300" s="5" t="s">
        <v>4055</v>
      </c>
      <c r="D2300" s="2" t="s">
        <v>4056</v>
      </c>
    </row>
    <row r="2301" spans="1:4" ht="13.05" customHeight="1" x14ac:dyDescent="0.3">
      <c r="A2301" s="2" t="s">
        <v>352</v>
      </c>
      <c r="B2301" s="2" t="s">
        <v>985</v>
      </c>
      <c r="C2301" s="5" t="s">
        <v>4057</v>
      </c>
      <c r="D2301" s="2" t="s">
        <v>4058</v>
      </c>
    </row>
    <row r="2302" spans="1:4" ht="13.05" customHeight="1" x14ac:dyDescent="0.3">
      <c r="A2302" s="2" t="s">
        <v>352</v>
      </c>
      <c r="B2302" s="2" t="s">
        <v>985</v>
      </c>
      <c r="C2302" s="5" t="s">
        <v>4059</v>
      </c>
      <c r="D2302" s="2" t="s">
        <v>4060</v>
      </c>
    </row>
    <row r="2303" spans="1:4" ht="13.05" customHeight="1" x14ac:dyDescent="0.3">
      <c r="A2303" s="2" t="s">
        <v>352</v>
      </c>
      <c r="B2303" s="2" t="s">
        <v>985</v>
      </c>
      <c r="C2303" s="5" t="s">
        <v>4061</v>
      </c>
      <c r="D2303" s="2" t="s">
        <v>4062</v>
      </c>
    </row>
    <row r="2304" spans="1:4" ht="13.05" customHeight="1" x14ac:dyDescent="0.3">
      <c r="A2304" s="2" t="s">
        <v>352</v>
      </c>
      <c r="B2304" s="2" t="s">
        <v>985</v>
      </c>
      <c r="C2304" s="5" t="s">
        <v>4063</v>
      </c>
      <c r="D2304" s="2" t="s">
        <v>4064</v>
      </c>
    </row>
    <row r="2305" spans="1:4" ht="13.05" customHeight="1" x14ac:dyDescent="0.3">
      <c r="A2305" s="2" t="s">
        <v>352</v>
      </c>
      <c r="B2305" s="2" t="s">
        <v>985</v>
      </c>
      <c r="C2305" s="5" t="s">
        <v>4065</v>
      </c>
      <c r="D2305" s="2" t="s">
        <v>4066</v>
      </c>
    </row>
    <row r="2306" spans="1:4" ht="13.05" customHeight="1" x14ac:dyDescent="0.3">
      <c r="A2306" s="2" t="s">
        <v>352</v>
      </c>
      <c r="B2306" s="2" t="s">
        <v>985</v>
      </c>
      <c r="C2306" s="5" t="s">
        <v>4067</v>
      </c>
      <c r="D2306" s="2" t="s">
        <v>4068</v>
      </c>
    </row>
    <row r="2307" spans="1:4" ht="13.05" customHeight="1" x14ac:dyDescent="0.3">
      <c r="A2307" s="2" t="s">
        <v>352</v>
      </c>
      <c r="B2307" s="2" t="s">
        <v>985</v>
      </c>
      <c r="C2307" s="5" t="s">
        <v>4069</v>
      </c>
      <c r="D2307" s="2" t="s">
        <v>4070</v>
      </c>
    </row>
    <row r="2308" spans="1:4" ht="13.05" customHeight="1" x14ac:dyDescent="0.3">
      <c r="A2308" s="2" t="s">
        <v>352</v>
      </c>
      <c r="B2308" s="2" t="s">
        <v>985</v>
      </c>
      <c r="C2308" s="5" t="s">
        <v>1725</v>
      </c>
      <c r="D2308" s="2" t="s">
        <v>4071</v>
      </c>
    </row>
    <row r="2309" spans="1:4" ht="13.05" customHeight="1" x14ac:dyDescent="0.3">
      <c r="A2309" s="2" t="s">
        <v>352</v>
      </c>
      <c r="B2309" s="2" t="s">
        <v>985</v>
      </c>
      <c r="C2309" s="5" t="s">
        <v>4072</v>
      </c>
      <c r="D2309" s="2" t="s">
        <v>4073</v>
      </c>
    </row>
    <row r="2310" spans="1:4" ht="13.05" customHeight="1" x14ac:dyDescent="0.3">
      <c r="A2310" s="2" t="s">
        <v>352</v>
      </c>
      <c r="B2310" s="2" t="s">
        <v>985</v>
      </c>
      <c r="C2310" s="5" t="s">
        <v>4074</v>
      </c>
      <c r="D2310" s="2" t="s">
        <v>4075</v>
      </c>
    </row>
    <row r="2311" spans="1:4" ht="13.05" customHeight="1" x14ac:dyDescent="0.3">
      <c r="A2311" s="2" t="s">
        <v>352</v>
      </c>
      <c r="B2311" s="2" t="s">
        <v>985</v>
      </c>
      <c r="C2311" s="5" t="s">
        <v>4076</v>
      </c>
      <c r="D2311" s="2" t="s">
        <v>4077</v>
      </c>
    </row>
    <row r="2312" spans="1:4" ht="13.05" customHeight="1" x14ac:dyDescent="0.3">
      <c r="A2312" s="2" t="s">
        <v>352</v>
      </c>
      <c r="B2312" s="2" t="s">
        <v>985</v>
      </c>
      <c r="C2312" s="5" t="s">
        <v>4078</v>
      </c>
      <c r="D2312" s="2" t="s">
        <v>4079</v>
      </c>
    </row>
    <row r="2313" spans="1:4" ht="13.05" customHeight="1" x14ac:dyDescent="0.3">
      <c r="A2313" s="2" t="s">
        <v>352</v>
      </c>
      <c r="B2313" s="2" t="s">
        <v>985</v>
      </c>
      <c r="C2313" s="5" t="s">
        <v>4080</v>
      </c>
      <c r="D2313" s="2" t="s">
        <v>4081</v>
      </c>
    </row>
    <row r="2314" spans="1:4" ht="13.05" customHeight="1" x14ac:dyDescent="0.3">
      <c r="A2314" s="2" t="s">
        <v>352</v>
      </c>
      <c r="B2314" s="2" t="s">
        <v>985</v>
      </c>
      <c r="C2314" s="5" t="s">
        <v>4082</v>
      </c>
      <c r="D2314" s="2" t="s">
        <v>4083</v>
      </c>
    </row>
    <row r="2315" spans="1:4" ht="13.05" customHeight="1" x14ac:dyDescent="0.3">
      <c r="A2315" s="2" t="s">
        <v>352</v>
      </c>
      <c r="B2315" s="2" t="s">
        <v>985</v>
      </c>
      <c r="C2315" s="5" t="s">
        <v>4084</v>
      </c>
      <c r="D2315" s="2" t="s">
        <v>3244</v>
      </c>
    </row>
    <row r="2316" spans="1:4" ht="13.05" customHeight="1" x14ac:dyDescent="0.3">
      <c r="A2316" s="2" t="s">
        <v>352</v>
      </c>
      <c r="B2316" s="2" t="s">
        <v>985</v>
      </c>
      <c r="C2316" s="5" t="s">
        <v>4085</v>
      </c>
      <c r="D2316" s="2" t="s">
        <v>3358</v>
      </c>
    </row>
    <row r="2317" spans="1:4" ht="13.05" customHeight="1" x14ac:dyDescent="0.3">
      <c r="A2317" s="2" t="s">
        <v>352</v>
      </c>
      <c r="B2317" s="2" t="s">
        <v>985</v>
      </c>
      <c r="C2317" s="5" t="s">
        <v>4086</v>
      </c>
      <c r="D2317" s="2" t="s">
        <v>4087</v>
      </c>
    </row>
    <row r="2318" spans="1:4" ht="13.05" customHeight="1" x14ac:dyDescent="0.3">
      <c r="A2318" s="2" t="s">
        <v>352</v>
      </c>
      <c r="B2318" s="2" t="s">
        <v>985</v>
      </c>
      <c r="C2318" s="5" t="s">
        <v>4088</v>
      </c>
      <c r="D2318" s="2" t="s">
        <v>4089</v>
      </c>
    </row>
    <row r="2319" spans="1:4" ht="13.05" customHeight="1" x14ac:dyDescent="0.3">
      <c r="A2319" s="2" t="s">
        <v>352</v>
      </c>
      <c r="B2319" s="2" t="s">
        <v>985</v>
      </c>
      <c r="C2319" s="5" t="s">
        <v>4090</v>
      </c>
      <c r="D2319" s="2" t="s">
        <v>4091</v>
      </c>
    </row>
    <row r="2320" spans="1:4" ht="13.05" customHeight="1" x14ac:dyDescent="0.3">
      <c r="A2320" s="2" t="s">
        <v>352</v>
      </c>
      <c r="B2320" s="2" t="s">
        <v>985</v>
      </c>
      <c r="C2320" s="5" t="s">
        <v>4092</v>
      </c>
      <c r="D2320" s="2" t="s">
        <v>3278</v>
      </c>
    </row>
    <row r="2321" spans="1:4" ht="13.05" customHeight="1" x14ac:dyDescent="0.3">
      <c r="A2321" s="2" t="s">
        <v>352</v>
      </c>
      <c r="B2321" s="2" t="s">
        <v>985</v>
      </c>
      <c r="C2321" s="5" t="s">
        <v>4093</v>
      </c>
      <c r="D2321" s="2" t="s">
        <v>4094</v>
      </c>
    </row>
    <row r="2322" spans="1:4" ht="13.05" customHeight="1" x14ac:dyDescent="0.3">
      <c r="A2322" s="2" t="s">
        <v>352</v>
      </c>
      <c r="B2322" s="2" t="s">
        <v>985</v>
      </c>
      <c r="C2322" s="5" t="s">
        <v>4095</v>
      </c>
      <c r="D2322" s="2" t="s">
        <v>4096</v>
      </c>
    </row>
    <row r="2323" spans="1:4" ht="13.05" customHeight="1" x14ac:dyDescent="0.3">
      <c r="A2323" s="2" t="s">
        <v>352</v>
      </c>
      <c r="B2323" s="2" t="s">
        <v>985</v>
      </c>
      <c r="C2323" s="5" t="s">
        <v>4097</v>
      </c>
      <c r="D2323" s="2" t="s">
        <v>4098</v>
      </c>
    </row>
    <row r="2324" spans="1:4" ht="13.05" customHeight="1" x14ac:dyDescent="0.3">
      <c r="A2324" s="2" t="s">
        <v>352</v>
      </c>
      <c r="B2324" s="2" t="s">
        <v>985</v>
      </c>
      <c r="C2324" s="5" t="s">
        <v>4099</v>
      </c>
      <c r="D2324" s="2" t="s">
        <v>3246</v>
      </c>
    </row>
    <row r="2325" spans="1:4" ht="13.05" customHeight="1" x14ac:dyDescent="0.3">
      <c r="A2325" s="2" t="s">
        <v>352</v>
      </c>
      <c r="B2325" s="2" t="s">
        <v>985</v>
      </c>
      <c r="C2325" s="5" t="s">
        <v>4100</v>
      </c>
      <c r="D2325" s="2" t="s">
        <v>4101</v>
      </c>
    </row>
    <row r="2326" spans="1:4" ht="13.05" customHeight="1" x14ac:dyDescent="0.3">
      <c r="A2326" s="2" t="s">
        <v>352</v>
      </c>
      <c r="B2326" s="2" t="s">
        <v>985</v>
      </c>
      <c r="C2326" s="5" t="s">
        <v>4102</v>
      </c>
      <c r="D2326" s="2" t="s">
        <v>4103</v>
      </c>
    </row>
    <row r="2327" spans="1:4" ht="13.05" customHeight="1" x14ac:dyDescent="0.3">
      <c r="A2327" s="2" t="s">
        <v>352</v>
      </c>
      <c r="B2327" s="2" t="s">
        <v>985</v>
      </c>
      <c r="C2327" s="5" t="s">
        <v>4104</v>
      </c>
      <c r="D2327" s="2" t="s">
        <v>4105</v>
      </c>
    </row>
    <row r="2328" spans="1:4" ht="13.05" customHeight="1" x14ac:dyDescent="0.3">
      <c r="A2328" s="2" t="s">
        <v>352</v>
      </c>
      <c r="B2328" s="2" t="s">
        <v>985</v>
      </c>
      <c r="C2328" s="5" t="s">
        <v>4106</v>
      </c>
      <c r="D2328" s="2" t="s">
        <v>4107</v>
      </c>
    </row>
    <row r="2329" spans="1:4" ht="13.05" customHeight="1" x14ac:dyDescent="0.3">
      <c r="A2329" s="2" t="s">
        <v>352</v>
      </c>
      <c r="B2329" s="2" t="s">
        <v>985</v>
      </c>
      <c r="C2329" s="5" t="s">
        <v>4108</v>
      </c>
      <c r="D2329" s="2" t="s">
        <v>4109</v>
      </c>
    </row>
    <row r="2330" spans="1:4" ht="13.05" customHeight="1" x14ac:dyDescent="0.3">
      <c r="A2330" s="2" t="s">
        <v>352</v>
      </c>
      <c r="B2330" s="2" t="s">
        <v>985</v>
      </c>
      <c r="C2330" s="5" t="s">
        <v>4110</v>
      </c>
      <c r="D2330" s="2" t="s">
        <v>4111</v>
      </c>
    </row>
    <row r="2331" spans="1:4" ht="13.05" customHeight="1" x14ac:dyDescent="0.3">
      <c r="A2331" s="2" t="s">
        <v>352</v>
      </c>
      <c r="B2331" s="2" t="s">
        <v>985</v>
      </c>
      <c r="C2331" s="5" t="s">
        <v>4112</v>
      </c>
      <c r="D2331" s="2" t="s">
        <v>4113</v>
      </c>
    </row>
    <row r="2332" spans="1:4" ht="13.05" customHeight="1" x14ac:dyDescent="0.3">
      <c r="A2332" s="2" t="s">
        <v>352</v>
      </c>
      <c r="B2332" s="2" t="s">
        <v>985</v>
      </c>
      <c r="C2332" s="5" t="s">
        <v>4114</v>
      </c>
      <c r="D2332" s="2" t="s">
        <v>4115</v>
      </c>
    </row>
    <row r="2333" spans="1:4" ht="13.05" customHeight="1" x14ac:dyDescent="0.3">
      <c r="A2333" s="2" t="s">
        <v>352</v>
      </c>
      <c r="B2333" s="2" t="s">
        <v>985</v>
      </c>
      <c r="C2333" s="5" t="s">
        <v>4116</v>
      </c>
      <c r="D2333" s="2" t="s">
        <v>3979</v>
      </c>
    </row>
    <row r="2334" spans="1:4" ht="13.05" customHeight="1" x14ac:dyDescent="0.3">
      <c r="A2334" s="2" t="s">
        <v>352</v>
      </c>
      <c r="B2334" s="2" t="s">
        <v>985</v>
      </c>
      <c r="C2334" s="5" t="s">
        <v>4117</v>
      </c>
      <c r="D2334" s="2" t="s">
        <v>3981</v>
      </c>
    </row>
    <row r="2335" spans="1:4" ht="13.05" customHeight="1" x14ac:dyDescent="0.3">
      <c r="A2335" s="2" t="s">
        <v>352</v>
      </c>
      <c r="B2335" s="2" t="s">
        <v>985</v>
      </c>
      <c r="C2335" s="5" t="s">
        <v>4118</v>
      </c>
      <c r="D2335" s="2" t="s">
        <v>4119</v>
      </c>
    </row>
    <row r="2336" spans="1:4" ht="13.05" customHeight="1" x14ac:dyDescent="0.3">
      <c r="A2336" s="2" t="s">
        <v>352</v>
      </c>
      <c r="B2336" s="2" t="s">
        <v>985</v>
      </c>
      <c r="C2336" s="5" t="s">
        <v>4120</v>
      </c>
      <c r="D2336" s="2" t="s">
        <v>4121</v>
      </c>
    </row>
    <row r="2337" spans="1:4" ht="13.05" customHeight="1" x14ac:dyDescent="0.3">
      <c r="A2337" s="2" t="s">
        <v>352</v>
      </c>
      <c r="B2337" s="2" t="s">
        <v>985</v>
      </c>
      <c r="C2337" s="5" t="s">
        <v>4122</v>
      </c>
      <c r="D2337" s="2" t="s">
        <v>4123</v>
      </c>
    </row>
    <row r="2338" spans="1:4" ht="13.05" customHeight="1" x14ac:dyDescent="0.3">
      <c r="A2338" s="2" t="s">
        <v>352</v>
      </c>
      <c r="B2338" s="2" t="s">
        <v>985</v>
      </c>
      <c r="C2338" s="5" t="s">
        <v>4124</v>
      </c>
      <c r="D2338" s="2" t="s">
        <v>3298</v>
      </c>
    </row>
    <row r="2339" spans="1:4" ht="13.05" customHeight="1" x14ac:dyDescent="0.3">
      <c r="A2339" s="2" t="s">
        <v>352</v>
      </c>
      <c r="B2339" s="2" t="s">
        <v>985</v>
      </c>
      <c r="C2339" s="5" t="s">
        <v>4125</v>
      </c>
      <c r="D2339" s="2" t="s">
        <v>3300</v>
      </c>
    </row>
    <row r="2340" spans="1:4" ht="13.05" customHeight="1" x14ac:dyDescent="0.3">
      <c r="A2340" s="2" t="s">
        <v>352</v>
      </c>
      <c r="B2340" s="2" t="s">
        <v>985</v>
      </c>
      <c r="C2340" s="5" t="s">
        <v>4126</v>
      </c>
      <c r="D2340" s="2" t="s">
        <v>3475</v>
      </c>
    </row>
    <row r="2341" spans="1:4" ht="13.05" customHeight="1" x14ac:dyDescent="0.3">
      <c r="A2341" s="2" t="s">
        <v>352</v>
      </c>
      <c r="B2341" s="2" t="s">
        <v>985</v>
      </c>
      <c r="C2341" s="5" t="s">
        <v>4127</v>
      </c>
      <c r="D2341" s="2" t="s">
        <v>3477</v>
      </c>
    </row>
    <row r="2342" spans="1:4" ht="13.05" customHeight="1" x14ac:dyDescent="0.3">
      <c r="A2342" s="2" t="s">
        <v>352</v>
      </c>
      <c r="B2342" s="2" t="s">
        <v>985</v>
      </c>
      <c r="C2342" s="5" t="s">
        <v>4128</v>
      </c>
      <c r="D2342" s="2" t="s">
        <v>3479</v>
      </c>
    </row>
    <row r="2343" spans="1:4" ht="13.05" customHeight="1" x14ac:dyDescent="0.3">
      <c r="A2343" s="2" t="s">
        <v>352</v>
      </c>
      <c r="B2343" s="2" t="s">
        <v>985</v>
      </c>
      <c r="C2343" s="5" t="s">
        <v>4129</v>
      </c>
      <c r="D2343" s="2" t="s">
        <v>3481</v>
      </c>
    </row>
    <row r="2344" spans="1:4" ht="13.05" customHeight="1" x14ac:dyDescent="0.3">
      <c r="A2344" s="2" t="s">
        <v>352</v>
      </c>
      <c r="B2344" s="2" t="s">
        <v>985</v>
      </c>
      <c r="C2344" s="5" t="s">
        <v>4130</v>
      </c>
      <c r="D2344" s="2" t="s">
        <v>3483</v>
      </c>
    </row>
    <row r="2345" spans="1:4" ht="13.05" customHeight="1" x14ac:dyDescent="0.3">
      <c r="A2345" s="2" t="s">
        <v>352</v>
      </c>
      <c r="B2345" s="2" t="s">
        <v>985</v>
      </c>
      <c r="C2345" s="5" t="s">
        <v>4131</v>
      </c>
      <c r="D2345" s="2" t="s">
        <v>3485</v>
      </c>
    </row>
    <row r="2346" spans="1:4" ht="13.05" customHeight="1" x14ac:dyDescent="0.3">
      <c r="A2346" s="2" t="s">
        <v>352</v>
      </c>
      <c r="B2346" s="2" t="s">
        <v>985</v>
      </c>
      <c r="C2346" s="5" t="s">
        <v>4132</v>
      </c>
      <c r="D2346" s="2" t="s">
        <v>3676</v>
      </c>
    </row>
    <row r="2347" spans="1:4" ht="13.05" customHeight="1" x14ac:dyDescent="0.3">
      <c r="A2347" s="2" t="s">
        <v>352</v>
      </c>
      <c r="B2347" s="2" t="s">
        <v>985</v>
      </c>
      <c r="C2347" s="5" t="s">
        <v>4133</v>
      </c>
      <c r="D2347" s="2" t="s">
        <v>3489</v>
      </c>
    </row>
    <row r="2348" spans="1:4" ht="13.05" customHeight="1" x14ac:dyDescent="0.3">
      <c r="A2348" s="2" t="s">
        <v>352</v>
      </c>
      <c r="B2348" s="2" t="s">
        <v>985</v>
      </c>
      <c r="C2348" s="5" t="s">
        <v>4134</v>
      </c>
      <c r="D2348" s="2" t="s">
        <v>3304</v>
      </c>
    </row>
    <row r="2349" spans="1:4" ht="13.05" customHeight="1" x14ac:dyDescent="0.3">
      <c r="A2349" s="2" t="s">
        <v>352</v>
      </c>
      <c r="B2349" s="2" t="s">
        <v>985</v>
      </c>
      <c r="C2349" s="5" t="s">
        <v>4135</v>
      </c>
      <c r="D2349" s="2" t="s">
        <v>3492</v>
      </c>
    </row>
    <row r="2350" spans="1:4" ht="13.05" customHeight="1" x14ac:dyDescent="0.3">
      <c r="A2350" s="2" t="s">
        <v>352</v>
      </c>
      <c r="B2350" s="2" t="s">
        <v>985</v>
      </c>
      <c r="C2350" s="5" t="s">
        <v>4136</v>
      </c>
      <c r="D2350" s="2" t="s">
        <v>3681</v>
      </c>
    </row>
    <row r="2351" spans="1:4" ht="13.05" customHeight="1" x14ac:dyDescent="0.3">
      <c r="A2351" s="2" t="s">
        <v>352</v>
      </c>
      <c r="B2351" s="2" t="s">
        <v>985</v>
      </c>
      <c r="C2351" s="5" t="s">
        <v>4137</v>
      </c>
      <c r="D2351" s="2" t="s">
        <v>3495</v>
      </c>
    </row>
    <row r="2352" spans="1:4" ht="13.05" customHeight="1" x14ac:dyDescent="0.3">
      <c r="A2352" s="2" t="s">
        <v>352</v>
      </c>
      <c r="B2352" s="2" t="s">
        <v>985</v>
      </c>
      <c r="C2352" s="5" t="s">
        <v>4138</v>
      </c>
      <c r="D2352" s="2" t="s">
        <v>3497</v>
      </c>
    </row>
    <row r="2353" spans="1:4" ht="13.05" customHeight="1" x14ac:dyDescent="0.3">
      <c r="A2353" s="2" t="s">
        <v>352</v>
      </c>
      <c r="B2353" s="2" t="s">
        <v>985</v>
      </c>
      <c r="C2353" s="5" t="s">
        <v>4139</v>
      </c>
      <c r="D2353" s="2" t="s">
        <v>4140</v>
      </c>
    </row>
    <row r="2354" spans="1:4" ht="13.05" customHeight="1" x14ac:dyDescent="0.3">
      <c r="A2354" s="2" t="s">
        <v>352</v>
      </c>
      <c r="B2354" s="2" t="s">
        <v>985</v>
      </c>
      <c r="C2354" s="5" t="s">
        <v>4141</v>
      </c>
      <c r="D2354" s="2" t="s">
        <v>4142</v>
      </c>
    </row>
    <row r="2355" spans="1:4" ht="13.05" customHeight="1" x14ac:dyDescent="0.3">
      <c r="A2355" s="2" t="s">
        <v>352</v>
      </c>
      <c r="B2355" s="2" t="s">
        <v>985</v>
      </c>
      <c r="C2355" s="5" t="s">
        <v>4143</v>
      </c>
      <c r="D2355" s="2" t="s">
        <v>4144</v>
      </c>
    </row>
    <row r="2356" spans="1:4" ht="13.05" customHeight="1" x14ac:dyDescent="0.3">
      <c r="A2356" s="2" t="s">
        <v>352</v>
      </c>
      <c r="B2356" s="2" t="s">
        <v>985</v>
      </c>
      <c r="C2356" s="5" t="s">
        <v>4145</v>
      </c>
      <c r="D2356" s="2" t="s">
        <v>4146</v>
      </c>
    </row>
    <row r="2357" spans="1:4" ht="13.05" customHeight="1" x14ac:dyDescent="0.3">
      <c r="A2357" s="2" t="s">
        <v>352</v>
      </c>
      <c r="B2357" s="2" t="s">
        <v>985</v>
      </c>
      <c r="C2357" s="5" t="s">
        <v>4147</v>
      </c>
      <c r="D2357" s="2" t="s">
        <v>4148</v>
      </c>
    </row>
    <row r="2358" spans="1:4" ht="13.05" customHeight="1" x14ac:dyDescent="0.3">
      <c r="A2358" s="2" t="s">
        <v>352</v>
      </c>
      <c r="B2358" s="2" t="s">
        <v>985</v>
      </c>
      <c r="C2358" s="5" t="s">
        <v>4149</v>
      </c>
      <c r="D2358" s="2" t="s">
        <v>3695</v>
      </c>
    </row>
    <row r="2359" spans="1:4" ht="13.05" customHeight="1" x14ac:dyDescent="0.3">
      <c r="A2359" s="2" t="s">
        <v>352</v>
      </c>
      <c r="B2359" s="2" t="s">
        <v>985</v>
      </c>
      <c r="C2359" s="5" t="s">
        <v>4150</v>
      </c>
      <c r="D2359" s="2" t="s">
        <v>4151</v>
      </c>
    </row>
    <row r="2360" spans="1:4" ht="13.05" customHeight="1" x14ac:dyDescent="0.3">
      <c r="A2360" s="2" t="s">
        <v>352</v>
      </c>
      <c r="B2360" s="2" t="s">
        <v>985</v>
      </c>
      <c r="C2360" s="5" t="s">
        <v>4152</v>
      </c>
      <c r="D2360" s="2" t="s">
        <v>4153</v>
      </c>
    </row>
    <row r="2361" spans="1:4" ht="13.05" customHeight="1" x14ac:dyDescent="0.3">
      <c r="A2361" s="2" t="s">
        <v>352</v>
      </c>
      <c r="B2361" s="2" t="s">
        <v>985</v>
      </c>
      <c r="C2361" s="5" t="s">
        <v>4154</v>
      </c>
      <c r="D2361" s="2" t="s">
        <v>4155</v>
      </c>
    </row>
    <row r="2362" spans="1:4" ht="13.05" customHeight="1" x14ac:dyDescent="0.3">
      <c r="A2362" s="2" t="s">
        <v>352</v>
      </c>
      <c r="B2362" s="2" t="s">
        <v>985</v>
      </c>
      <c r="C2362" s="5" t="s">
        <v>4156</v>
      </c>
      <c r="D2362" s="2" t="s">
        <v>4157</v>
      </c>
    </row>
    <row r="2363" spans="1:4" ht="13.05" customHeight="1" x14ac:dyDescent="0.3">
      <c r="A2363" s="2" t="s">
        <v>352</v>
      </c>
      <c r="B2363" s="2" t="s">
        <v>985</v>
      </c>
      <c r="C2363" s="5" t="s">
        <v>4158</v>
      </c>
      <c r="D2363" s="2" t="s">
        <v>4159</v>
      </c>
    </row>
    <row r="2364" spans="1:4" ht="13.05" customHeight="1" x14ac:dyDescent="0.3">
      <c r="A2364" s="2" t="s">
        <v>352</v>
      </c>
      <c r="B2364" s="2" t="s">
        <v>985</v>
      </c>
      <c r="C2364" s="5" t="s">
        <v>4160</v>
      </c>
      <c r="D2364" s="2" t="s">
        <v>4161</v>
      </c>
    </row>
    <row r="2365" spans="1:4" ht="13.05" customHeight="1" x14ac:dyDescent="0.3">
      <c r="A2365" s="2" t="s">
        <v>352</v>
      </c>
      <c r="B2365" s="2" t="s">
        <v>985</v>
      </c>
      <c r="C2365" s="5" t="s">
        <v>4162</v>
      </c>
      <c r="D2365" s="2" t="s">
        <v>3356</v>
      </c>
    </row>
    <row r="2366" spans="1:4" ht="13.05" customHeight="1" x14ac:dyDescent="0.3">
      <c r="A2366" s="2" t="s">
        <v>352</v>
      </c>
      <c r="B2366" s="2" t="s">
        <v>985</v>
      </c>
      <c r="C2366" s="5" t="s">
        <v>4163</v>
      </c>
      <c r="D2366" s="2" t="s">
        <v>3358</v>
      </c>
    </row>
    <row r="2367" spans="1:4" ht="13.05" customHeight="1" x14ac:dyDescent="0.3">
      <c r="A2367" s="2" t="s">
        <v>352</v>
      </c>
      <c r="B2367" s="2" t="s">
        <v>985</v>
      </c>
      <c r="C2367" s="5" t="s">
        <v>4164</v>
      </c>
      <c r="D2367" s="2" t="s">
        <v>4165</v>
      </c>
    </row>
    <row r="2368" spans="1:4" ht="13.05" customHeight="1" x14ac:dyDescent="0.3">
      <c r="A2368" s="2" t="s">
        <v>352</v>
      </c>
      <c r="B2368" s="2" t="s">
        <v>985</v>
      </c>
      <c r="C2368" s="5" t="s">
        <v>4166</v>
      </c>
      <c r="D2368" s="2" t="s">
        <v>4167</v>
      </c>
    </row>
    <row r="2369" spans="1:4" ht="13.05" customHeight="1" x14ac:dyDescent="0.3">
      <c r="A2369" s="2" t="s">
        <v>352</v>
      </c>
      <c r="B2369" s="2" t="s">
        <v>985</v>
      </c>
      <c r="C2369" s="5" t="s">
        <v>4168</v>
      </c>
      <c r="D2369" s="2" t="s">
        <v>4169</v>
      </c>
    </row>
    <row r="2370" spans="1:4" ht="13.05" customHeight="1" x14ac:dyDescent="0.3">
      <c r="A2370" s="2" t="s">
        <v>352</v>
      </c>
      <c r="B2370" s="2" t="s">
        <v>985</v>
      </c>
      <c r="C2370" s="5" t="s">
        <v>4170</v>
      </c>
      <c r="D2370" s="2" t="s">
        <v>4171</v>
      </c>
    </row>
    <row r="2371" spans="1:4" ht="13.05" customHeight="1" x14ac:dyDescent="0.3">
      <c r="A2371" s="2" t="s">
        <v>352</v>
      </c>
      <c r="B2371" s="2" t="s">
        <v>985</v>
      </c>
      <c r="C2371" s="5" t="s">
        <v>4172</v>
      </c>
      <c r="D2371" s="2" t="s">
        <v>4173</v>
      </c>
    </row>
    <row r="2372" spans="1:4" ht="13.05" customHeight="1" x14ac:dyDescent="0.3">
      <c r="A2372" s="2" t="s">
        <v>352</v>
      </c>
      <c r="B2372" s="2" t="s">
        <v>985</v>
      </c>
      <c r="C2372" s="5" t="s">
        <v>4174</v>
      </c>
      <c r="D2372" s="2" t="s">
        <v>4175</v>
      </c>
    </row>
    <row r="2373" spans="1:4" ht="13.05" customHeight="1" x14ac:dyDescent="0.3">
      <c r="A2373" s="2" t="s">
        <v>352</v>
      </c>
      <c r="B2373" s="2" t="s">
        <v>985</v>
      </c>
      <c r="C2373" s="5" t="s">
        <v>4176</v>
      </c>
      <c r="D2373" s="2" t="s">
        <v>3298</v>
      </c>
    </row>
    <row r="2374" spans="1:4" ht="13.05" customHeight="1" x14ac:dyDescent="0.3">
      <c r="A2374" s="2" t="s">
        <v>352</v>
      </c>
      <c r="B2374" s="2" t="s">
        <v>985</v>
      </c>
      <c r="C2374" s="5" t="s">
        <v>4177</v>
      </c>
      <c r="D2374" s="2" t="s">
        <v>3300</v>
      </c>
    </row>
    <row r="2375" spans="1:4" ht="13.05" customHeight="1" x14ac:dyDescent="0.3">
      <c r="A2375" s="2" t="s">
        <v>352</v>
      </c>
      <c r="B2375" s="2" t="s">
        <v>985</v>
      </c>
      <c r="C2375" s="5" t="s">
        <v>4178</v>
      </c>
      <c r="D2375" s="2" t="s">
        <v>3481</v>
      </c>
    </row>
    <row r="2376" spans="1:4" ht="13.05" customHeight="1" x14ac:dyDescent="0.3">
      <c r="A2376" s="2" t="s">
        <v>352</v>
      </c>
      <c r="B2376" s="2" t="s">
        <v>985</v>
      </c>
      <c r="C2376" s="5" t="s">
        <v>4179</v>
      </c>
      <c r="D2376" s="2" t="s">
        <v>4180</v>
      </c>
    </row>
    <row r="2377" spans="1:4" ht="13.05" customHeight="1" x14ac:dyDescent="0.3">
      <c r="A2377" s="2" t="s">
        <v>352</v>
      </c>
      <c r="B2377" s="2" t="s">
        <v>985</v>
      </c>
      <c r="C2377" s="5" t="s">
        <v>4181</v>
      </c>
      <c r="D2377" s="2" t="s">
        <v>4182</v>
      </c>
    </row>
    <row r="2378" spans="1:4" ht="13.05" customHeight="1" x14ac:dyDescent="0.3">
      <c r="A2378" s="2" t="s">
        <v>352</v>
      </c>
      <c r="B2378" s="2" t="s">
        <v>985</v>
      </c>
      <c r="C2378" s="5" t="s">
        <v>4183</v>
      </c>
      <c r="D2378" s="2" t="s">
        <v>4184</v>
      </c>
    </row>
    <row r="2379" spans="1:4" ht="13.05" customHeight="1" x14ac:dyDescent="0.3">
      <c r="A2379" s="2" t="s">
        <v>352</v>
      </c>
      <c r="B2379" s="2" t="s">
        <v>985</v>
      </c>
      <c r="C2379" s="5" t="s">
        <v>4185</v>
      </c>
      <c r="D2379" s="2" t="s">
        <v>4186</v>
      </c>
    </row>
    <row r="2380" spans="1:4" ht="13.05" customHeight="1" x14ac:dyDescent="0.3">
      <c r="A2380" s="2" t="s">
        <v>352</v>
      </c>
      <c r="B2380" s="2" t="s">
        <v>985</v>
      </c>
      <c r="C2380" s="5" t="s">
        <v>4187</v>
      </c>
      <c r="D2380" s="2" t="s">
        <v>3304</v>
      </c>
    </row>
    <row r="2381" spans="1:4" ht="13.05" customHeight="1" x14ac:dyDescent="0.3">
      <c r="A2381" s="2" t="s">
        <v>352</v>
      </c>
      <c r="B2381" s="2" t="s">
        <v>985</v>
      </c>
      <c r="C2381" s="5" t="s">
        <v>4188</v>
      </c>
      <c r="D2381" s="2" t="s">
        <v>4189</v>
      </c>
    </row>
    <row r="2382" spans="1:4" ht="13.05" customHeight="1" x14ac:dyDescent="0.3">
      <c r="A2382" s="2" t="s">
        <v>352</v>
      </c>
      <c r="B2382" s="2" t="s">
        <v>985</v>
      </c>
      <c r="C2382" s="5" t="s">
        <v>4190</v>
      </c>
      <c r="D2382" s="2" t="s">
        <v>3681</v>
      </c>
    </row>
    <row r="2383" spans="1:4" ht="13.05" customHeight="1" x14ac:dyDescent="0.3">
      <c r="A2383" s="2" t="s">
        <v>352</v>
      </c>
      <c r="B2383" s="2" t="s">
        <v>985</v>
      </c>
      <c r="C2383" s="5" t="s">
        <v>4191</v>
      </c>
      <c r="D2383" s="2" t="s">
        <v>3495</v>
      </c>
    </row>
    <row r="2384" spans="1:4" ht="13.05" customHeight="1" x14ac:dyDescent="0.3">
      <c r="A2384" s="2" t="s">
        <v>352</v>
      </c>
      <c r="B2384" s="2" t="s">
        <v>985</v>
      </c>
      <c r="C2384" s="5" t="s">
        <v>4192</v>
      </c>
      <c r="D2384" s="2" t="s">
        <v>4193</v>
      </c>
    </row>
    <row r="2385" spans="1:4" ht="13.05" customHeight="1" x14ac:dyDescent="0.3">
      <c r="A2385" s="2" t="s">
        <v>352</v>
      </c>
      <c r="B2385" s="2" t="s">
        <v>985</v>
      </c>
      <c r="C2385" s="5" t="s">
        <v>4194</v>
      </c>
      <c r="D2385" s="2" t="s">
        <v>3132</v>
      </c>
    </row>
    <row r="2386" spans="1:4" ht="13.05" customHeight="1" x14ac:dyDescent="0.3">
      <c r="A2386" s="2" t="s">
        <v>352</v>
      </c>
      <c r="B2386" s="2" t="s">
        <v>985</v>
      </c>
      <c r="C2386" s="5" t="s">
        <v>4195</v>
      </c>
      <c r="D2386" s="2" t="s">
        <v>3244</v>
      </c>
    </row>
    <row r="2387" spans="1:4" ht="13.05" customHeight="1" x14ac:dyDescent="0.3">
      <c r="A2387" s="2" t="s">
        <v>352</v>
      </c>
      <c r="B2387" s="2" t="s">
        <v>985</v>
      </c>
      <c r="C2387" s="5" t="s">
        <v>4196</v>
      </c>
      <c r="D2387" s="2" t="s">
        <v>3246</v>
      </c>
    </row>
    <row r="2388" spans="1:4" ht="13.05" customHeight="1" x14ac:dyDescent="0.3">
      <c r="A2388" s="2" t="s">
        <v>352</v>
      </c>
      <c r="B2388" s="2" t="s">
        <v>985</v>
      </c>
      <c r="C2388" s="5" t="s">
        <v>4197</v>
      </c>
      <c r="D2388" s="2" t="s">
        <v>4198</v>
      </c>
    </row>
    <row r="2389" spans="1:4" ht="13.05" customHeight="1" x14ac:dyDescent="0.3">
      <c r="A2389" s="2" t="s">
        <v>352</v>
      </c>
      <c r="B2389" s="2" t="s">
        <v>985</v>
      </c>
      <c r="C2389" s="5" t="s">
        <v>4199</v>
      </c>
      <c r="D2389" s="2" t="s">
        <v>4200</v>
      </c>
    </row>
    <row r="2390" spans="1:4" ht="13.05" customHeight="1" x14ac:dyDescent="0.3">
      <c r="A2390" s="2" t="s">
        <v>352</v>
      </c>
      <c r="B2390" s="2" t="s">
        <v>985</v>
      </c>
      <c r="C2390" s="5" t="s">
        <v>4201</v>
      </c>
      <c r="D2390" s="2" t="s">
        <v>4202</v>
      </c>
    </row>
    <row r="2391" spans="1:4" ht="13.05" customHeight="1" x14ac:dyDescent="0.3">
      <c r="A2391" s="2" t="s">
        <v>352</v>
      </c>
      <c r="B2391" s="2" t="s">
        <v>985</v>
      </c>
      <c r="C2391" s="5" t="s">
        <v>4203</v>
      </c>
      <c r="D2391" s="2" t="s">
        <v>4204</v>
      </c>
    </row>
    <row r="2392" spans="1:4" ht="13.05" customHeight="1" x14ac:dyDescent="0.3">
      <c r="A2392" s="2" t="s">
        <v>352</v>
      </c>
      <c r="B2392" s="2" t="s">
        <v>985</v>
      </c>
      <c r="C2392" s="5" t="s">
        <v>4205</v>
      </c>
      <c r="D2392" s="2" t="s">
        <v>4206</v>
      </c>
    </row>
    <row r="2393" spans="1:4" ht="13.05" customHeight="1" x14ac:dyDescent="0.3">
      <c r="A2393" s="2" t="s">
        <v>352</v>
      </c>
      <c r="B2393" s="2" t="s">
        <v>985</v>
      </c>
      <c r="C2393" s="5" t="s">
        <v>4207</v>
      </c>
      <c r="D2393" s="2" t="s">
        <v>3244</v>
      </c>
    </row>
    <row r="2394" spans="1:4" ht="13.05" customHeight="1" x14ac:dyDescent="0.3">
      <c r="A2394" s="2" t="s">
        <v>352</v>
      </c>
      <c r="B2394" s="2" t="s">
        <v>985</v>
      </c>
      <c r="C2394" s="5" t="s">
        <v>4208</v>
      </c>
      <c r="D2394" s="2" t="s">
        <v>4209</v>
      </c>
    </row>
    <row r="2395" spans="1:4" ht="13.05" customHeight="1" x14ac:dyDescent="0.3">
      <c r="A2395" s="2" t="s">
        <v>352</v>
      </c>
      <c r="B2395" s="2" t="s">
        <v>985</v>
      </c>
      <c r="C2395" s="5" t="s">
        <v>4210</v>
      </c>
      <c r="D2395" s="2" t="s">
        <v>4211</v>
      </c>
    </row>
    <row r="2396" spans="1:4" ht="13.05" customHeight="1" x14ac:dyDescent="0.3">
      <c r="A2396" s="2" t="s">
        <v>352</v>
      </c>
      <c r="B2396" s="2" t="s">
        <v>985</v>
      </c>
      <c r="C2396" s="5" t="s">
        <v>4212</v>
      </c>
      <c r="D2396" s="2" t="s">
        <v>4213</v>
      </c>
    </row>
    <row r="2397" spans="1:4" ht="13.05" customHeight="1" x14ac:dyDescent="0.3">
      <c r="A2397" s="2" t="s">
        <v>352</v>
      </c>
      <c r="B2397" s="2" t="s">
        <v>985</v>
      </c>
      <c r="C2397" s="5" t="s">
        <v>4214</v>
      </c>
      <c r="D2397" s="2" t="s">
        <v>4215</v>
      </c>
    </row>
    <row r="2398" spans="1:4" ht="13.05" customHeight="1" x14ac:dyDescent="0.3">
      <c r="A2398" s="2" t="s">
        <v>352</v>
      </c>
      <c r="B2398" s="2" t="s">
        <v>985</v>
      </c>
      <c r="C2398" s="5" t="s">
        <v>4216</v>
      </c>
      <c r="D2398" s="2" t="s">
        <v>4217</v>
      </c>
    </row>
    <row r="2399" spans="1:4" ht="13.05" customHeight="1" x14ac:dyDescent="0.3">
      <c r="A2399" s="2" t="s">
        <v>352</v>
      </c>
      <c r="B2399" s="2" t="s">
        <v>985</v>
      </c>
      <c r="C2399" s="5" t="s">
        <v>4218</v>
      </c>
      <c r="D2399" s="2" t="s">
        <v>4219</v>
      </c>
    </row>
    <row r="2400" spans="1:4" ht="13.05" customHeight="1" x14ac:dyDescent="0.3">
      <c r="A2400" s="2" t="s">
        <v>352</v>
      </c>
      <c r="B2400" s="2" t="s">
        <v>985</v>
      </c>
      <c r="C2400" s="5" t="s">
        <v>4220</v>
      </c>
      <c r="D2400" s="2" t="s">
        <v>4221</v>
      </c>
    </row>
    <row r="2401" spans="1:4" ht="13.05" customHeight="1" x14ac:dyDescent="0.3">
      <c r="A2401" s="2" t="s">
        <v>352</v>
      </c>
      <c r="B2401" s="2" t="s">
        <v>985</v>
      </c>
      <c r="C2401" s="5" t="s">
        <v>4222</v>
      </c>
      <c r="D2401" s="2" t="s">
        <v>4223</v>
      </c>
    </row>
    <row r="2402" spans="1:4" ht="13.05" customHeight="1" x14ac:dyDescent="0.3">
      <c r="A2402" s="2" t="s">
        <v>352</v>
      </c>
      <c r="B2402" s="2" t="s">
        <v>985</v>
      </c>
      <c r="C2402" s="5" t="s">
        <v>4224</v>
      </c>
      <c r="D2402" s="2" t="s">
        <v>4225</v>
      </c>
    </row>
    <row r="2403" spans="1:4" ht="13.05" customHeight="1" x14ac:dyDescent="0.3">
      <c r="A2403" s="2" t="s">
        <v>352</v>
      </c>
      <c r="B2403" s="2" t="s">
        <v>985</v>
      </c>
      <c r="C2403" s="5" t="s">
        <v>4226</v>
      </c>
      <c r="D2403" s="2" t="s">
        <v>4227</v>
      </c>
    </row>
    <row r="2404" spans="1:4" ht="13.05" customHeight="1" x14ac:dyDescent="0.3">
      <c r="A2404" s="2" t="s">
        <v>352</v>
      </c>
      <c r="B2404" s="2" t="s">
        <v>985</v>
      </c>
      <c r="C2404" s="5" t="s">
        <v>4228</v>
      </c>
      <c r="D2404" s="2" t="s">
        <v>4229</v>
      </c>
    </row>
    <row r="2405" spans="1:4" ht="13.05" customHeight="1" x14ac:dyDescent="0.3">
      <c r="A2405" s="2" t="s">
        <v>352</v>
      </c>
      <c r="B2405" s="2" t="s">
        <v>985</v>
      </c>
      <c r="C2405" s="5" t="s">
        <v>4230</v>
      </c>
      <c r="D2405" s="2" t="s">
        <v>4231</v>
      </c>
    </row>
    <row r="2406" spans="1:4" ht="13.05" customHeight="1" x14ac:dyDescent="0.3">
      <c r="A2406" s="2" t="s">
        <v>352</v>
      </c>
      <c r="B2406" s="2" t="s">
        <v>985</v>
      </c>
      <c r="C2406" s="5" t="s">
        <v>4232</v>
      </c>
      <c r="D2406" s="2" t="s">
        <v>4233</v>
      </c>
    </row>
    <row r="2407" spans="1:4" ht="13.05" customHeight="1" x14ac:dyDescent="0.3">
      <c r="A2407" s="2" t="s">
        <v>352</v>
      </c>
      <c r="B2407" s="2" t="s">
        <v>985</v>
      </c>
      <c r="C2407" s="5" t="s">
        <v>4234</v>
      </c>
      <c r="D2407" s="2" t="s">
        <v>4235</v>
      </c>
    </row>
    <row r="2408" spans="1:4" ht="13.05" customHeight="1" x14ac:dyDescent="0.3">
      <c r="A2408" s="2" t="s">
        <v>352</v>
      </c>
      <c r="B2408" s="2" t="s">
        <v>985</v>
      </c>
      <c r="C2408" s="5" t="s">
        <v>4236</v>
      </c>
      <c r="D2408" s="2" t="s">
        <v>4237</v>
      </c>
    </row>
    <row r="2409" spans="1:4" ht="13.05" customHeight="1" x14ac:dyDescent="0.3">
      <c r="A2409" s="2" t="s">
        <v>352</v>
      </c>
      <c r="B2409" s="2" t="s">
        <v>985</v>
      </c>
      <c r="C2409" s="5" t="s">
        <v>4238</v>
      </c>
      <c r="D2409" s="2" t="s">
        <v>4239</v>
      </c>
    </row>
    <row r="2410" spans="1:4" ht="13.05" customHeight="1" x14ac:dyDescent="0.3">
      <c r="A2410" s="2" t="s">
        <v>352</v>
      </c>
      <c r="B2410" s="2" t="s">
        <v>985</v>
      </c>
      <c r="C2410" s="5" t="s">
        <v>4240</v>
      </c>
      <c r="D2410" s="2" t="s">
        <v>4241</v>
      </c>
    </row>
    <row r="2411" spans="1:4" ht="13.05" customHeight="1" x14ac:dyDescent="0.3">
      <c r="A2411" s="2" t="s">
        <v>352</v>
      </c>
      <c r="B2411" s="2" t="s">
        <v>985</v>
      </c>
      <c r="C2411" s="5" t="s">
        <v>4242</v>
      </c>
      <c r="D2411" s="2" t="s">
        <v>4243</v>
      </c>
    </row>
    <row r="2412" spans="1:4" ht="13.05" customHeight="1" x14ac:dyDescent="0.3">
      <c r="A2412" s="2" t="s">
        <v>352</v>
      </c>
      <c r="B2412" s="2" t="s">
        <v>985</v>
      </c>
      <c r="C2412" s="5" t="s">
        <v>4244</v>
      </c>
      <c r="D2412" s="2" t="s">
        <v>4245</v>
      </c>
    </row>
    <row r="2413" spans="1:4" ht="13.05" customHeight="1" x14ac:dyDescent="0.3">
      <c r="A2413" s="2" t="s">
        <v>352</v>
      </c>
      <c r="B2413" s="2" t="s">
        <v>985</v>
      </c>
      <c r="C2413" s="5" t="s">
        <v>4246</v>
      </c>
      <c r="D2413" s="2" t="s">
        <v>4247</v>
      </c>
    </row>
    <row r="2414" spans="1:4" ht="13.05" customHeight="1" x14ac:dyDescent="0.3">
      <c r="A2414" s="2" t="s">
        <v>352</v>
      </c>
      <c r="B2414" s="2" t="s">
        <v>985</v>
      </c>
      <c r="C2414" s="5" t="s">
        <v>4248</v>
      </c>
      <c r="D2414" s="2" t="s">
        <v>3356</v>
      </c>
    </row>
    <row r="2415" spans="1:4" ht="13.05" customHeight="1" x14ac:dyDescent="0.3">
      <c r="A2415" s="2" t="s">
        <v>352</v>
      </c>
      <c r="B2415" s="2" t="s">
        <v>985</v>
      </c>
      <c r="C2415" s="5" t="s">
        <v>4249</v>
      </c>
      <c r="D2415" s="2" t="s">
        <v>3358</v>
      </c>
    </row>
    <row r="2416" spans="1:4" ht="13.05" customHeight="1" x14ac:dyDescent="0.3">
      <c r="A2416" s="2" t="s">
        <v>352</v>
      </c>
      <c r="B2416" s="2" t="s">
        <v>985</v>
      </c>
      <c r="C2416" s="5" t="s">
        <v>4250</v>
      </c>
      <c r="D2416" s="2" t="s">
        <v>4251</v>
      </c>
    </row>
    <row r="2417" spans="1:4" ht="13.05" customHeight="1" x14ac:dyDescent="0.3">
      <c r="A2417" s="2" t="s">
        <v>352</v>
      </c>
      <c r="B2417" s="2" t="s">
        <v>985</v>
      </c>
      <c r="C2417" s="5" t="s">
        <v>4252</v>
      </c>
      <c r="D2417" s="2" t="s">
        <v>4253</v>
      </c>
    </row>
    <row r="2418" spans="1:4" ht="13.05" customHeight="1" x14ac:dyDescent="0.3">
      <c r="A2418" s="2" t="s">
        <v>352</v>
      </c>
      <c r="B2418" s="2" t="s">
        <v>985</v>
      </c>
      <c r="C2418" s="5" t="s">
        <v>4254</v>
      </c>
      <c r="D2418" s="2" t="s">
        <v>4255</v>
      </c>
    </row>
    <row r="2419" spans="1:4" ht="13.05" customHeight="1" x14ac:dyDescent="0.3">
      <c r="A2419" s="2" t="s">
        <v>352</v>
      </c>
      <c r="B2419" s="2" t="s">
        <v>985</v>
      </c>
      <c r="C2419" s="5" t="s">
        <v>4256</v>
      </c>
      <c r="D2419" s="2" t="s">
        <v>4257</v>
      </c>
    </row>
    <row r="2420" spans="1:4" ht="13.05" customHeight="1" x14ac:dyDescent="0.3">
      <c r="A2420" s="2" t="s">
        <v>352</v>
      </c>
      <c r="B2420" s="2" t="s">
        <v>985</v>
      </c>
      <c r="C2420" s="5" t="s">
        <v>4258</v>
      </c>
      <c r="D2420" s="2" t="s">
        <v>4259</v>
      </c>
    </row>
    <row r="2421" spans="1:4" ht="13.05" customHeight="1" x14ac:dyDescent="0.3">
      <c r="A2421" s="2" t="s">
        <v>352</v>
      </c>
      <c r="B2421" s="2" t="s">
        <v>985</v>
      </c>
      <c r="C2421" s="5" t="s">
        <v>4260</v>
      </c>
      <c r="D2421" s="2" t="s">
        <v>4261</v>
      </c>
    </row>
    <row r="2422" spans="1:4" ht="13.05" customHeight="1" x14ac:dyDescent="0.3">
      <c r="A2422" s="2" t="s">
        <v>352</v>
      </c>
      <c r="B2422" s="2" t="s">
        <v>985</v>
      </c>
      <c r="C2422" s="5" t="s">
        <v>4262</v>
      </c>
      <c r="D2422" s="2" t="s">
        <v>3276</v>
      </c>
    </row>
    <row r="2423" spans="1:4" ht="13.05" customHeight="1" x14ac:dyDescent="0.3">
      <c r="A2423" s="2" t="s">
        <v>352</v>
      </c>
      <c r="B2423" s="2" t="s">
        <v>985</v>
      </c>
      <c r="C2423" s="5" t="s">
        <v>4263</v>
      </c>
      <c r="D2423" s="2" t="s">
        <v>3278</v>
      </c>
    </row>
    <row r="2424" spans="1:4" ht="13.05" customHeight="1" x14ac:dyDescent="0.3">
      <c r="A2424" s="2" t="s">
        <v>352</v>
      </c>
      <c r="B2424" s="2" t="s">
        <v>985</v>
      </c>
      <c r="C2424" s="5" t="s">
        <v>4264</v>
      </c>
      <c r="D2424" s="2" t="s">
        <v>3497</v>
      </c>
    </row>
    <row r="2425" spans="1:4" ht="13.05" customHeight="1" x14ac:dyDescent="0.3">
      <c r="A2425" s="2" t="s">
        <v>352</v>
      </c>
      <c r="B2425" s="2" t="s">
        <v>985</v>
      </c>
      <c r="C2425" s="5" t="s">
        <v>4265</v>
      </c>
      <c r="D2425" s="2" t="s">
        <v>4266</v>
      </c>
    </row>
    <row r="2426" spans="1:4" ht="13.05" customHeight="1" x14ac:dyDescent="0.3">
      <c r="A2426" s="2" t="s">
        <v>352</v>
      </c>
      <c r="B2426" s="2" t="s">
        <v>985</v>
      </c>
      <c r="C2426" s="5" t="s">
        <v>4267</v>
      </c>
      <c r="D2426" s="2" t="s">
        <v>4268</v>
      </c>
    </row>
    <row r="2427" spans="1:4" ht="13.05" customHeight="1" x14ac:dyDescent="0.3">
      <c r="A2427" s="2" t="s">
        <v>352</v>
      </c>
      <c r="B2427" s="2" t="s">
        <v>985</v>
      </c>
      <c r="C2427" s="5" t="s">
        <v>4269</v>
      </c>
      <c r="D2427" s="2" t="s">
        <v>4270</v>
      </c>
    </row>
    <row r="2428" spans="1:4" ht="13.05" customHeight="1" x14ac:dyDescent="0.3">
      <c r="A2428" s="2" t="s">
        <v>352</v>
      </c>
      <c r="B2428" s="2" t="s">
        <v>985</v>
      </c>
      <c r="C2428" s="5" t="s">
        <v>4271</v>
      </c>
      <c r="D2428" s="2" t="s">
        <v>4272</v>
      </c>
    </row>
    <row r="2429" spans="1:4" ht="13.05" customHeight="1" x14ac:dyDescent="0.3">
      <c r="A2429" s="2" t="s">
        <v>352</v>
      </c>
      <c r="B2429" s="2" t="s">
        <v>985</v>
      </c>
      <c r="C2429" s="5" t="s">
        <v>4273</v>
      </c>
      <c r="D2429" s="2" t="s">
        <v>4274</v>
      </c>
    </row>
    <row r="2430" spans="1:4" ht="13.05" customHeight="1" x14ac:dyDescent="0.3">
      <c r="A2430" s="2" t="s">
        <v>352</v>
      </c>
      <c r="B2430" s="2" t="s">
        <v>985</v>
      </c>
      <c r="C2430" s="5" t="s">
        <v>4275</v>
      </c>
      <c r="D2430" s="2" t="s">
        <v>4276</v>
      </c>
    </row>
    <row r="2431" spans="1:4" ht="13.05" customHeight="1" x14ac:dyDescent="0.3">
      <c r="A2431" s="2" t="s">
        <v>352</v>
      </c>
      <c r="B2431" s="2" t="s">
        <v>985</v>
      </c>
      <c r="C2431" s="5" t="s">
        <v>4277</v>
      </c>
      <c r="D2431" s="2" t="s">
        <v>4278</v>
      </c>
    </row>
    <row r="2432" spans="1:4" ht="13.05" customHeight="1" x14ac:dyDescent="0.3">
      <c r="A2432" s="2" t="s">
        <v>352</v>
      </c>
      <c r="B2432" s="2" t="s">
        <v>985</v>
      </c>
      <c r="C2432" s="5" t="s">
        <v>4279</v>
      </c>
      <c r="D2432" s="2" t="s">
        <v>4280</v>
      </c>
    </row>
    <row r="2433" spans="1:4" ht="13.05" customHeight="1" x14ac:dyDescent="0.3">
      <c r="A2433" s="2" t="s">
        <v>352</v>
      </c>
      <c r="B2433" s="2" t="s">
        <v>985</v>
      </c>
      <c r="C2433" s="5" t="s">
        <v>4281</v>
      </c>
      <c r="D2433" s="2" t="s">
        <v>3356</v>
      </c>
    </row>
    <row r="2434" spans="1:4" ht="13.05" customHeight="1" x14ac:dyDescent="0.3">
      <c r="A2434" s="2" t="s">
        <v>352</v>
      </c>
      <c r="B2434" s="2" t="s">
        <v>985</v>
      </c>
      <c r="C2434" s="5" t="s">
        <v>4282</v>
      </c>
      <c r="D2434" s="2" t="s">
        <v>3358</v>
      </c>
    </row>
    <row r="2435" spans="1:4" ht="13.05" customHeight="1" x14ac:dyDescent="0.3">
      <c r="A2435" s="2" t="s">
        <v>352</v>
      </c>
      <c r="B2435" s="2" t="s">
        <v>985</v>
      </c>
      <c r="C2435" s="5" t="s">
        <v>4283</v>
      </c>
      <c r="D2435" s="2" t="s">
        <v>4284</v>
      </c>
    </row>
    <row r="2436" spans="1:4" ht="13.05" customHeight="1" x14ac:dyDescent="0.3">
      <c r="A2436" s="2" t="s">
        <v>352</v>
      </c>
      <c r="B2436" s="2" t="s">
        <v>985</v>
      </c>
      <c r="C2436" s="5" t="s">
        <v>4285</v>
      </c>
      <c r="D2436" s="2" t="s">
        <v>4286</v>
      </c>
    </row>
    <row r="2437" spans="1:4" ht="13.05" customHeight="1" x14ac:dyDescent="0.3">
      <c r="A2437" s="2" t="s">
        <v>352</v>
      </c>
      <c r="B2437" s="2" t="s">
        <v>985</v>
      </c>
      <c r="C2437" s="5" t="s">
        <v>4287</v>
      </c>
      <c r="D2437" s="2" t="s">
        <v>4235</v>
      </c>
    </row>
    <row r="2438" spans="1:4" ht="13.05" customHeight="1" x14ac:dyDescent="0.3">
      <c r="A2438" s="2" t="s">
        <v>352</v>
      </c>
      <c r="B2438" s="2" t="s">
        <v>985</v>
      </c>
      <c r="C2438" s="5" t="s">
        <v>4288</v>
      </c>
      <c r="D2438" s="2" t="s">
        <v>4289</v>
      </c>
    </row>
    <row r="2439" spans="1:4" ht="13.05" customHeight="1" x14ac:dyDescent="0.3">
      <c r="A2439" s="2" t="s">
        <v>352</v>
      </c>
      <c r="B2439" s="2" t="s">
        <v>985</v>
      </c>
      <c r="C2439" s="5" t="s">
        <v>4290</v>
      </c>
      <c r="D2439" s="2" t="s">
        <v>3089</v>
      </c>
    </row>
    <row r="2440" spans="1:4" ht="13.05" customHeight="1" x14ac:dyDescent="0.3">
      <c r="A2440" s="2" t="s">
        <v>352</v>
      </c>
      <c r="B2440" s="2" t="s">
        <v>985</v>
      </c>
      <c r="C2440" s="5" t="s">
        <v>4291</v>
      </c>
      <c r="D2440" s="2" t="s">
        <v>4292</v>
      </c>
    </row>
    <row r="2441" spans="1:4" ht="13.05" customHeight="1" x14ac:dyDescent="0.3">
      <c r="A2441" s="2" t="s">
        <v>352</v>
      </c>
      <c r="B2441" s="2" t="s">
        <v>985</v>
      </c>
      <c r="C2441" s="5" t="s">
        <v>4293</v>
      </c>
      <c r="D2441" s="2" t="s">
        <v>3328</v>
      </c>
    </row>
    <row r="2442" spans="1:4" ht="13.05" customHeight="1" x14ac:dyDescent="0.3">
      <c r="A2442" s="2" t="s">
        <v>352</v>
      </c>
      <c r="B2442" s="2" t="s">
        <v>985</v>
      </c>
      <c r="C2442" s="5" t="s">
        <v>4294</v>
      </c>
      <c r="D2442" s="2" t="s">
        <v>4295</v>
      </c>
    </row>
    <row r="2443" spans="1:4" ht="13.05" customHeight="1" x14ac:dyDescent="0.3">
      <c r="A2443" s="2" t="s">
        <v>352</v>
      </c>
      <c r="B2443" s="2" t="s">
        <v>985</v>
      </c>
      <c r="C2443" s="5" t="s">
        <v>4296</v>
      </c>
      <c r="D2443" s="2" t="s">
        <v>4297</v>
      </c>
    </row>
    <row r="2444" spans="1:4" ht="13.05" customHeight="1" x14ac:dyDescent="0.3">
      <c r="A2444" s="2" t="s">
        <v>352</v>
      </c>
      <c r="B2444" s="2" t="s">
        <v>985</v>
      </c>
      <c r="C2444" s="5" t="s">
        <v>4298</v>
      </c>
      <c r="D2444" s="2" t="s">
        <v>4299</v>
      </c>
    </row>
    <row r="2445" spans="1:4" ht="13.05" customHeight="1" x14ac:dyDescent="0.3">
      <c r="A2445" s="2" t="s">
        <v>352</v>
      </c>
      <c r="B2445" s="2" t="s">
        <v>985</v>
      </c>
      <c r="C2445" s="5" t="s">
        <v>4300</v>
      </c>
      <c r="D2445" s="2" t="s">
        <v>4301</v>
      </c>
    </row>
    <row r="2446" spans="1:4" ht="13.05" customHeight="1" x14ac:dyDescent="0.3">
      <c r="A2446" s="2" t="s">
        <v>352</v>
      </c>
      <c r="B2446" s="2" t="s">
        <v>985</v>
      </c>
      <c r="C2446" s="5" t="s">
        <v>4302</v>
      </c>
      <c r="D2446" s="2" t="s">
        <v>4303</v>
      </c>
    </row>
    <row r="2447" spans="1:4" ht="13.05" customHeight="1" x14ac:dyDescent="0.3">
      <c r="A2447" s="2" t="s">
        <v>352</v>
      </c>
      <c r="B2447" s="2" t="s">
        <v>985</v>
      </c>
      <c r="C2447" s="5" t="s">
        <v>4304</v>
      </c>
      <c r="D2447" s="2" t="s">
        <v>4305</v>
      </c>
    </row>
    <row r="2448" spans="1:4" ht="13.05" customHeight="1" x14ac:dyDescent="0.3">
      <c r="A2448" s="2" t="s">
        <v>352</v>
      </c>
      <c r="B2448" s="2" t="s">
        <v>985</v>
      </c>
      <c r="C2448" s="5" t="s">
        <v>4306</v>
      </c>
      <c r="D2448" s="2" t="s">
        <v>4307</v>
      </c>
    </row>
    <row r="2449" spans="1:4" ht="13.05" customHeight="1" x14ac:dyDescent="0.3">
      <c r="A2449" s="2" t="s">
        <v>352</v>
      </c>
      <c r="B2449" s="2" t="s">
        <v>985</v>
      </c>
      <c r="C2449" s="5" t="s">
        <v>4308</v>
      </c>
      <c r="D2449" s="2" t="s">
        <v>4309</v>
      </c>
    </row>
    <row r="2450" spans="1:4" ht="13.05" customHeight="1" x14ac:dyDescent="0.3">
      <c r="A2450" s="2" t="s">
        <v>352</v>
      </c>
      <c r="B2450" s="2" t="s">
        <v>985</v>
      </c>
      <c r="C2450" s="5" t="s">
        <v>4310</v>
      </c>
      <c r="D2450" s="2" t="s">
        <v>4311</v>
      </c>
    </row>
    <row r="2451" spans="1:4" ht="13.05" customHeight="1" x14ac:dyDescent="0.3">
      <c r="A2451" s="2" t="s">
        <v>352</v>
      </c>
      <c r="B2451" s="2" t="s">
        <v>985</v>
      </c>
      <c r="C2451" s="5" t="s">
        <v>4312</v>
      </c>
      <c r="D2451" s="2" t="s">
        <v>4313</v>
      </c>
    </row>
    <row r="2452" spans="1:4" ht="13.05" customHeight="1" x14ac:dyDescent="0.3">
      <c r="A2452" s="2" t="s">
        <v>352</v>
      </c>
      <c r="B2452" s="2" t="s">
        <v>985</v>
      </c>
      <c r="C2452" s="5" t="s">
        <v>4314</v>
      </c>
      <c r="D2452" s="2" t="s">
        <v>4315</v>
      </c>
    </row>
    <row r="2453" spans="1:4" ht="13.05" customHeight="1" x14ac:dyDescent="0.3">
      <c r="A2453" s="2" t="s">
        <v>352</v>
      </c>
      <c r="B2453" s="2" t="s">
        <v>985</v>
      </c>
      <c r="C2453" s="5" t="s">
        <v>4316</v>
      </c>
      <c r="D2453" s="2" t="s">
        <v>4317</v>
      </c>
    </row>
    <row r="2454" spans="1:4" ht="13.05" customHeight="1" x14ac:dyDescent="0.3">
      <c r="A2454" s="2" t="s">
        <v>352</v>
      </c>
      <c r="B2454" s="2" t="s">
        <v>985</v>
      </c>
      <c r="C2454" s="5" t="s">
        <v>4318</v>
      </c>
      <c r="D2454" s="2" t="s">
        <v>4319</v>
      </c>
    </row>
    <row r="2455" spans="1:4" ht="13.05" customHeight="1" x14ac:dyDescent="0.3">
      <c r="A2455" s="2" t="s">
        <v>352</v>
      </c>
      <c r="B2455" s="2" t="s">
        <v>985</v>
      </c>
      <c r="C2455" s="5" t="s">
        <v>4320</v>
      </c>
      <c r="D2455" s="2" t="s">
        <v>4321</v>
      </c>
    </row>
    <row r="2456" spans="1:4" ht="13.05" customHeight="1" x14ac:dyDescent="0.3">
      <c r="A2456" s="2" t="s">
        <v>352</v>
      </c>
      <c r="B2456" s="2" t="s">
        <v>985</v>
      </c>
      <c r="C2456" s="5" t="s">
        <v>4322</v>
      </c>
      <c r="D2456" s="2" t="s">
        <v>4323</v>
      </c>
    </row>
    <row r="2457" spans="1:4" ht="13.05" customHeight="1" x14ac:dyDescent="0.3">
      <c r="A2457" s="2" t="s">
        <v>352</v>
      </c>
      <c r="B2457" s="2" t="s">
        <v>985</v>
      </c>
      <c r="C2457" s="5" t="s">
        <v>4324</v>
      </c>
      <c r="D2457" s="2" t="s">
        <v>4325</v>
      </c>
    </row>
    <row r="2458" spans="1:4" ht="13.05" customHeight="1" x14ac:dyDescent="0.3">
      <c r="A2458" s="2" t="s">
        <v>352</v>
      </c>
      <c r="B2458" s="2" t="s">
        <v>985</v>
      </c>
      <c r="C2458" s="5" t="s">
        <v>4326</v>
      </c>
      <c r="D2458" s="2" t="s">
        <v>4327</v>
      </c>
    </row>
    <row r="2459" spans="1:4" ht="13.05" customHeight="1" x14ac:dyDescent="0.3">
      <c r="A2459" s="2" t="s">
        <v>352</v>
      </c>
      <c r="B2459" s="2" t="s">
        <v>985</v>
      </c>
      <c r="C2459" s="5" t="s">
        <v>4328</v>
      </c>
      <c r="D2459" s="2" t="s">
        <v>4329</v>
      </c>
    </row>
    <row r="2460" spans="1:4" ht="13.05" customHeight="1" x14ac:dyDescent="0.3">
      <c r="A2460" s="2" t="s">
        <v>352</v>
      </c>
      <c r="B2460" s="2" t="s">
        <v>985</v>
      </c>
      <c r="C2460" s="5" t="s">
        <v>4330</v>
      </c>
      <c r="D2460" s="2" t="s">
        <v>4331</v>
      </c>
    </row>
    <row r="2461" spans="1:4" ht="13.05" customHeight="1" x14ac:dyDescent="0.3">
      <c r="A2461" s="2" t="s">
        <v>352</v>
      </c>
      <c r="B2461" s="2" t="s">
        <v>985</v>
      </c>
      <c r="C2461" s="5" t="s">
        <v>4332</v>
      </c>
      <c r="D2461" s="2" t="s">
        <v>4333</v>
      </c>
    </row>
    <row r="2462" spans="1:4" ht="13.05" customHeight="1" x14ac:dyDescent="0.3">
      <c r="A2462" s="2" t="s">
        <v>352</v>
      </c>
      <c r="B2462" s="2" t="s">
        <v>985</v>
      </c>
      <c r="C2462" s="5" t="s">
        <v>4334</v>
      </c>
      <c r="D2462" s="2" t="s">
        <v>4335</v>
      </c>
    </row>
    <row r="2463" spans="1:4" ht="13.05" customHeight="1" x14ac:dyDescent="0.3">
      <c r="A2463" s="2" t="s">
        <v>352</v>
      </c>
      <c r="B2463" s="2" t="s">
        <v>985</v>
      </c>
      <c r="C2463" s="5" t="s">
        <v>4336</v>
      </c>
      <c r="D2463" s="2" t="s">
        <v>3356</v>
      </c>
    </row>
    <row r="2464" spans="1:4" ht="13.05" customHeight="1" x14ac:dyDescent="0.3">
      <c r="A2464" s="2" t="s">
        <v>352</v>
      </c>
      <c r="B2464" s="2" t="s">
        <v>985</v>
      </c>
      <c r="C2464" s="5" t="s">
        <v>4337</v>
      </c>
      <c r="D2464" s="2" t="s">
        <v>3358</v>
      </c>
    </row>
    <row r="2465" spans="1:4" ht="13.05" customHeight="1" x14ac:dyDescent="0.3">
      <c r="A2465" s="2" t="s">
        <v>352</v>
      </c>
      <c r="B2465" s="2" t="s">
        <v>985</v>
      </c>
      <c r="C2465" s="5" t="s">
        <v>4338</v>
      </c>
      <c r="D2465" s="2" t="s">
        <v>4339</v>
      </c>
    </row>
    <row r="2466" spans="1:4" ht="13.05" customHeight="1" x14ac:dyDescent="0.3">
      <c r="A2466" s="2" t="s">
        <v>352</v>
      </c>
      <c r="B2466" s="2" t="s">
        <v>985</v>
      </c>
      <c r="C2466" s="5" t="s">
        <v>4340</v>
      </c>
      <c r="D2466" s="2" t="s">
        <v>4341</v>
      </c>
    </row>
    <row r="2467" spans="1:4" ht="13.05" customHeight="1" x14ac:dyDescent="0.3">
      <c r="A2467" s="2" t="s">
        <v>352</v>
      </c>
      <c r="B2467" s="2" t="s">
        <v>985</v>
      </c>
      <c r="C2467" s="5" t="s">
        <v>4342</v>
      </c>
      <c r="D2467" s="2" t="s">
        <v>4343</v>
      </c>
    </row>
    <row r="2468" spans="1:4" ht="13.05" customHeight="1" x14ac:dyDescent="0.3">
      <c r="A2468" s="2" t="s">
        <v>352</v>
      </c>
      <c r="B2468" s="2" t="s">
        <v>985</v>
      </c>
      <c r="C2468" s="5" t="s">
        <v>4344</v>
      </c>
      <c r="D2468" s="2" t="s">
        <v>4345</v>
      </c>
    </row>
    <row r="2469" spans="1:4" ht="13.05" customHeight="1" x14ac:dyDescent="0.3">
      <c r="A2469" s="2" t="s">
        <v>352</v>
      </c>
      <c r="B2469" s="2" t="s">
        <v>985</v>
      </c>
      <c r="C2469" s="5" t="s">
        <v>4346</v>
      </c>
      <c r="D2469" s="2" t="s">
        <v>4347</v>
      </c>
    </row>
    <row r="2470" spans="1:4" ht="13.05" customHeight="1" x14ac:dyDescent="0.3">
      <c r="A2470" s="2" t="s">
        <v>352</v>
      </c>
      <c r="B2470" s="2" t="s">
        <v>985</v>
      </c>
      <c r="C2470" s="5" t="s">
        <v>4348</v>
      </c>
      <c r="D2470" s="2" t="s">
        <v>4169</v>
      </c>
    </row>
    <row r="2471" spans="1:4" ht="13.05" customHeight="1" x14ac:dyDescent="0.3">
      <c r="A2471" s="2" t="s">
        <v>352</v>
      </c>
      <c r="B2471" s="2" t="s">
        <v>985</v>
      </c>
      <c r="C2471" s="5" t="s">
        <v>4349</v>
      </c>
      <c r="D2471" s="2" t="s">
        <v>4350</v>
      </c>
    </row>
    <row r="2472" spans="1:4" ht="13.05" customHeight="1" x14ac:dyDescent="0.3">
      <c r="A2472" s="2" t="s">
        <v>352</v>
      </c>
      <c r="B2472" s="2" t="s">
        <v>985</v>
      </c>
      <c r="C2472" s="5" t="s">
        <v>4351</v>
      </c>
      <c r="D2472" s="2" t="s">
        <v>4352</v>
      </c>
    </row>
    <row r="2473" spans="1:4" ht="13.05" customHeight="1" x14ac:dyDescent="0.3">
      <c r="A2473" s="2" t="s">
        <v>352</v>
      </c>
      <c r="B2473" s="2" t="s">
        <v>985</v>
      </c>
      <c r="C2473" s="5" t="s">
        <v>4353</v>
      </c>
      <c r="D2473" s="2" t="s">
        <v>4354</v>
      </c>
    </row>
    <row r="2474" spans="1:4" ht="13.05" customHeight="1" x14ac:dyDescent="0.3">
      <c r="A2474" s="2" t="s">
        <v>352</v>
      </c>
      <c r="B2474" s="2" t="s">
        <v>985</v>
      </c>
      <c r="C2474" s="5" t="s">
        <v>4355</v>
      </c>
      <c r="D2474" s="2" t="s">
        <v>4356</v>
      </c>
    </row>
    <row r="2475" spans="1:4" ht="13.05" customHeight="1" x14ac:dyDescent="0.3">
      <c r="A2475" s="2" t="s">
        <v>352</v>
      </c>
      <c r="B2475" s="2" t="s">
        <v>985</v>
      </c>
      <c r="C2475" s="5" t="s">
        <v>4357</v>
      </c>
      <c r="D2475" s="2" t="s">
        <v>4358</v>
      </c>
    </row>
    <row r="2476" spans="1:4" ht="13.05" customHeight="1" x14ac:dyDescent="0.3">
      <c r="A2476" s="2" t="s">
        <v>352</v>
      </c>
      <c r="B2476" s="2" t="s">
        <v>985</v>
      </c>
      <c r="C2476" s="5" t="s">
        <v>4359</v>
      </c>
      <c r="D2476" s="2" t="s">
        <v>4360</v>
      </c>
    </row>
    <row r="2477" spans="1:4" ht="13.05" customHeight="1" x14ac:dyDescent="0.3">
      <c r="A2477" s="2" t="s">
        <v>352</v>
      </c>
      <c r="B2477" s="2" t="s">
        <v>985</v>
      </c>
      <c r="C2477" s="5" t="s">
        <v>4361</v>
      </c>
      <c r="D2477" s="2" t="s">
        <v>3244</v>
      </c>
    </row>
    <row r="2478" spans="1:4" ht="13.05" customHeight="1" x14ac:dyDescent="0.3">
      <c r="A2478" s="2" t="s">
        <v>352</v>
      </c>
      <c r="B2478" s="2" t="s">
        <v>985</v>
      </c>
      <c r="C2478" s="5" t="s">
        <v>4362</v>
      </c>
      <c r="D2478" s="2" t="s">
        <v>3246</v>
      </c>
    </row>
    <row r="2479" spans="1:4" ht="13.05" customHeight="1" x14ac:dyDescent="0.3">
      <c r="A2479" s="2" t="s">
        <v>352</v>
      </c>
      <c r="B2479" s="2" t="s">
        <v>985</v>
      </c>
      <c r="C2479" s="5" t="s">
        <v>4363</v>
      </c>
      <c r="D2479" s="2" t="s">
        <v>4364</v>
      </c>
    </row>
    <row r="2480" spans="1:4" ht="13.05" customHeight="1" x14ac:dyDescent="0.3">
      <c r="A2480" s="2" t="s">
        <v>352</v>
      </c>
      <c r="B2480" s="2" t="s">
        <v>985</v>
      </c>
      <c r="C2480" s="5" t="s">
        <v>4365</v>
      </c>
      <c r="D2480" s="2" t="s">
        <v>4366</v>
      </c>
    </row>
    <row r="2481" spans="1:4" ht="13.05" customHeight="1" x14ac:dyDescent="0.3">
      <c r="A2481" s="2" t="s">
        <v>352</v>
      </c>
      <c r="B2481" s="2" t="s">
        <v>985</v>
      </c>
      <c r="C2481" s="5" t="s">
        <v>4367</v>
      </c>
      <c r="D2481" s="2" t="s">
        <v>4368</v>
      </c>
    </row>
    <row r="2482" spans="1:4" ht="13.05" customHeight="1" x14ac:dyDescent="0.3">
      <c r="A2482" s="2" t="s">
        <v>352</v>
      </c>
      <c r="B2482" s="2" t="s">
        <v>985</v>
      </c>
      <c r="C2482" s="5" t="s">
        <v>4369</v>
      </c>
      <c r="D2482" s="2" t="s">
        <v>4370</v>
      </c>
    </row>
    <row r="2483" spans="1:4" ht="13.05" customHeight="1" x14ac:dyDescent="0.3">
      <c r="A2483" s="2" t="s">
        <v>352</v>
      </c>
      <c r="B2483" s="2" t="s">
        <v>985</v>
      </c>
      <c r="C2483" s="5" t="s">
        <v>4371</v>
      </c>
      <c r="D2483" s="2" t="s">
        <v>4372</v>
      </c>
    </row>
    <row r="2484" spans="1:4" ht="13.05" customHeight="1" x14ac:dyDescent="0.3">
      <c r="A2484" s="2" t="s">
        <v>352</v>
      </c>
      <c r="B2484" s="2" t="s">
        <v>985</v>
      </c>
      <c r="C2484" s="5" t="s">
        <v>4373</v>
      </c>
      <c r="D2484" s="2" t="s">
        <v>4374</v>
      </c>
    </row>
    <row r="2485" spans="1:4" ht="13.05" customHeight="1" x14ac:dyDescent="0.3">
      <c r="A2485" s="2" t="s">
        <v>352</v>
      </c>
      <c r="B2485" s="2" t="s">
        <v>985</v>
      </c>
      <c r="C2485" s="5" t="s">
        <v>4375</v>
      </c>
      <c r="D2485" s="2" t="s">
        <v>4376</v>
      </c>
    </row>
    <row r="2486" spans="1:4" ht="13.05" customHeight="1" x14ac:dyDescent="0.3">
      <c r="A2486" s="2" t="s">
        <v>352</v>
      </c>
      <c r="B2486" s="2" t="s">
        <v>985</v>
      </c>
      <c r="C2486" s="5" t="s">
        <v>4377</v>
      </c>
      <c r="D2486" s="2" t="s">
        <v>4378</v>
      </c>
    </row>
    <row r="2487" spans="1:4" ht="13.05" customHeight="1" x14ac:dyDescent="0.3">
      <c r="A2487" s="2" t="s">
        <v>352</v>
      </c>
      <c r="B2487" s="2" t="s">
        <v>985</v>
      </c>
      <c r="C2487" s="5" t="s">
        <v>4379</v>
      </c>
      <c r="D2487" s="2" t="s">
        <v>4380</v>
      </c>
    </row>
    <row r="2488" spans="1:4" ht="13.05" customHeight="1" x14ac:dyDescent="0.3">
      <c r="A2488" s="2" t="s">
        <v>352</v>
      </c>
      <c r="B2488" s="2" t="s">
        <v>985</v>
      </c>
      <c r="C2488" s="5" t="s">
        <v>4381</v>
      </c>
      <c r="D2488" s="2" t="s">
        <v>4382</v>
      </c>
    </row>
    <row r="2489" spans="1:4" ht="13.05" customHeight="1" x14ac:dyDescent="0.3">
      <c r="A2489" s="2" t="s">
        <v>352</v>
      </c>
      <c r="B2489" s="2" t="s">
        <v>985</v>
      </c>
      <c r="C2489" s="5" t="s">
        <v>4383</v>
      </c>
      <c r="D2489" s="2" t="s">
        <v>4384</v>
      </c>
    </row>
    <row r="2490" spans="1:4" ht="13.05" customHeight="1" x14ac:dyDescent="0.3">
      <c r="A2490" s="2" t="s">
        <v>352</v>
      </c>
      <c r="B2490" s="2" t="s">
        <v>985</v>
      </c>
      <c r="C2490" s="5" t="s">
        <v>4385</v>
      </c>
      <c r="D2490" s="2" t="s">
        <v>4386</v>
      </c>
    </row>
    <row r="2491" spans="1:4" ht="13.05" customHeight="1" x14ac:dyDescent="0.3">
      <c r="A2491" s="2" t="s">
        <v>352</v>
      </c>
      <c r="B2491" s="2" t="s">
        <v>985</v>
      </c>
      <c r="C2491" s="5" t="s">
        <v>4387</v>
      </c>
      <c r="D2491" s="2" t="s">
        <v>4388</v>
      </c>
    </row>
    <row r="2492" spans="1:4" ht="13.05" customHeight="1" x14ac:dyDescent="0.3">
      <c r="A2492" s="2" t="s">
        <v>352</v>
      </c>
      <c r="B2492" s="2" t="s">
        <v>985</v>
      </c>
      <c r="C2492" s="5" t="s">
        <v>4389</v>
      </c>
      <c r="D2492" s="2" t="s">
        <v>4390</v>
      </c>
    </row>
    <row r="2493" spans="1:4" ht="13.05" customHeight="1" x14ac:dyDescent="0.3">
      <c r="A2493" s="2" t="s">
        <v>352</v>
      </c>
      <c r="B2493" s="2" t="s">
        <v>985</v>
      </c>
      <c r="C2493" s="5" t="s">
        <v>4391</v>
      </c>
      <c r="D2493" s="2" t="s">
        <v>4392</v>
      </c>
    </row>
    <row r="2494" spans="1:4" ht="13.05" customHeight="1" x14ac:dyDescent="0.3">
      <c r="A2494" s="2" t="s">
        <v>352</v>
      </c>
      <c r="B2494" s="2" t="s">
        <v>985</v>
      </c>
      <c r="C2494" s="5" t="s">
        <v>4393</v>
      </c>
      <c r="D2494" s="2" t="s">
        <v>4394</v>
      </c>
    </row>
    <row r="2495" spans="1:4" ht="13.05" customHeight="1" x14ac:dyDescent="0.3">
      <c r="A2495" s="2" t="s">
        <v>352</v>
      </c>
      <c r="B2495" s="2" t="s">
        <v>985</v>
      </c>
      <c r="C2495" s="5" t="s">
        <v>4395</v>
      </c>
      <c r="D2495" s="2" t="s">
        <v>4396</v>
      </c>
    </row>
    <row r="2496" spans="1:4" ht="13.05" customHeight="1" x14ac:dyDescent="0.3">
      <c r="A2496" s="2" t="s">
        <v>352</v>
      </c>
      <c r="B2496" s="2" t="s">
        <v>985</v>
      </c>
      <c r="C2496" s="5" t="s">
        <v>4397</v>
      </c>
      <c r="D2496" s="2" t="s">
        <v>4398</v>
      </c>
    </row>
    <row r="2497" spans="1:4" ht="13.05" customHeight="1" x14ac:dyDescent="0.3">
      <c r="A2497" s="2" t="s">
        <v>352</v>
      </c>
      <c r="B2497" s="2" t="s">
        <v>985</v>
      </c>
      <c r="C2497" s="5" t="s">
        <v>4399</v>
      </c>
      <c r="D2497" s="2" t="s">
        <v>4400</v>
      </c>
    </row>
    <row r="2498" spans="1:4" ht="13.05" customHeight="1" x14ac:dyDescent="0.3">
      <c r="A2498" s="2" t="s">
        <v>352</v>
      </c>
      <c r="B2498" s="2" t="s">
        <v>985</v>
      </c>
      <c r="C2498" s="5" t="s">
        <v>4401</v>
      </c>
      <c r="D2498" s="2" t="s">
        <v>3356</v>
      </c>
    </row>
    <row r="2499" spans="1:4" ht="13.05" customHeight="1" x14ac:dyDescent="0.3">
      <c r="A2499" s="2" t="s">
        <v>352</v>
      </c>
      <c r="B2499" s="2" t="s">
        <v>985</v>
      </c>
      <c r="C2499" s="5" t="s">
        <v>4402</v>
      </c>
      <c r="D2499" s="2" t="s">
        <v>3358</v>
      </c>
    </row>
    <row r="2500" spans="1:4" ht="13.05" customHeight="1" x14ac:dyDescent="0.3">
      <c r="A2500" s="2" t="s">
        <v>352</v>
      </c>
      <c r="B2500" s="2" t="s">
        <v>985</v>
      </c>
      <c r="C2500" s="5" t="s">
        <v>4403</v>
      </c>
      <c r="D2500" s="2" t="s">
        <v>4404</v>
      </c>
    </row>
    <row r="2501" spans="1:4" ht="13.05" customHeight="1" x14ac:dyDescent="0.3">
      <c r="A2501" s="2" t="s">
        <v>352</v>
      </c>
      <c r="B2501" s="2" t="s">
        <v>985</v>
      </c>
      <c r="C2501" s="5" t="s">
        <v>4405</v>
      </c>
      <c r="D2501" s="2" t="s">
        <v>4406</v>
      </c>
    </row>
    <row r="2502" spans="1:4" ht="13.05" customHeight="1" x14ac:dyDescent="0.3">
      <c r="A2502" s="2" t="s">
        <v>352</v>
      </c>
      <c r="B2502" s="2" t="s">
        <v>985</v>
      </c>
      <c r="C2502" s="5" t="s">
        <v>4407</v>
      </c>
      <c r="D2502" s="2" t="s">
        <v>4408</v>
      </c>
    </row>
    <row r="2503" spans="1:4" ht="13.05" customHeight="1" x14ac:dyDescent="0.3">
      <c r="A2503" s="2" t="s">
        <v>352</v>
      </c>
      <c r="B2503" s="2" t="s">
        <v>985</v>
      </c>
      <c r="C2503" s="5" t="s">
        <v>4409</v>
      </c>
      <c r="D2503" s="2" t="s">
        <v>4169</v>
      </c>
    </row>
    <row r="2504" spans="1:4" ht="13.05" customHeight="1" x14ac:dyDescent="0.3">
      <c r="A2504" s="2" t="s">
        <v>352</v>
      </c>
      <c r="B2504" s="2" t="s">
        <v>985</v>
      </c>
      <c r="C2504" s="5" t="s">
        <v>4410</v>
      </c>
      <c r="D2504" s="2" t="s">
        <v>4411</v>
      </c>
    </row>
    <row r="2505" spans="1:4" ht="13.05" customHeight="1" x14ac:dyDescent="0.3">
      <c r="A2505" s="2" t="s">
        <v>352</v>
      </c>
      <c r="B2505" s="2" t="s">
        <v>985</v>
      </c>
      <c r="C2505" s="5" t="s">
        <v>4412</v>
      </c>
      <c r="D2505" s="2" t="s">
        <v>4413</v>
      </c>
    </row>
    <row r="2506" spans="1:4" ht="13.05" customHeight="1" x14ac:dyDescent="0.3">
      <c r="A2506" s="2" t="s">
        <v>352</v>
      </c>
      <c r="B2506" s="2" t="s">
        <v>985</v>
      </c>
      <c r="C2506" s="5" t="s">
        <v>4414</v>
      </c>
      <c r="D2506" s="2" t="s">
        <v>4415</v>
      </c>
    </row>
    <row r="2507" spans="1:4" ht="13.05" customHeight="1" x14ac:dyDescent="0.3">
      <c r="A2507" s="2" t="s">
        <v>352</v>
      </c>
      <c r="B2507" s="2" t="s">
        <v>985</v>
      </c>
      <c r="C2507" s="5" t="s">
        <v>4416</v>
      </c>
      <c r="D2507" s="2" t="s">
        <v>4417</v>
      </c>
    </row>
    <row r="2508" spans="1:4" ht="13.05" customHeight="1" x14ac:dyDescent="0.3">
      <c r="A2508" s="2" t="s">
        <v>352</v>
      </c>
      <c r="B2508" s="2" t="s">
        <v>985</v>
      </c>
      <c r="C2508" s="5" t="s">
        <v>4418</v>
      </c>
      <c r="D2508" s="2" t="s">
        <v>4419</v>
      </c>
    </row>
    <row r="2509" spans="1:4" ht="13.05" customHeight="1" x14ac:dyDescent="0.3">
      <c r="A2509" s="2" t="s">
        <v>352</v>
      </c>
      <c r="B2509" s="2" t="s">
        <v>985</v>
      </c>
      <c r="C2509" s="5" t="s">
        <v>4420</v>
      </c>
      <c r="D2509" s="2" t="s">
        <v>4421</v>
      </c>
    </row>
    <row r="2510" spans="1:4" ht="13.05" customHeight="1" x14ac:dyDescent="0.3">
      <c r="A2510" s="2" t="s">
        <v>352</v>
      </c>
      <c r="B2510" s="2" t="s">
        <v>985</v>
      </c>
      <c r="C2510" s="5" t="s">
        <v>4422</v>
      </c>
      <c r="D2510" s="2" t="s">
        <v>4423</v>
      </c>
    </row>
    <row r="2511" spans="1:4" ht="13.05" customHeight="1" x14ac:dyDescent="0.3">
      <c r="A2511" s="2" t="s">
        <v>352</v>
      </c>
      <c r="B2511" s="2" t="s">
        <v>985</v>
      </c>
      <c r="C2511" s="5" t="s">
        <v>4424</v>
      </c>
      <c r="D2511" s="2" t="s">
        <v>4425</v>
      </c>
    </row>
    <row r="2512" spans="1:4" ht="13.05" customHeight="1" x14ac:dyDescent="0.3">
      <c r="A2512" s="2" t="s">
        <v>352</v>
      </c>
      <c r="B2512" s="2" t="s">
        <v>985</v>
      </c>
      <c r="C2512" s="5" t="s">
        <v>4426</v>
      </c>
      <c r="D2512" s="2" t="s">
        <v>4427</v>
      </c>
    </row>
    <row r="2513" spans="1:4" ht="13.05" customHeight="1" x14ac:dyDescent="0.3">
      <c r="A2513" s="2" t="s">
        <v>352</v>
      </c>
      <c r="B2513" s="2" t="s">
        <v>985</v>
      </c>
      <c r="C2513" s="5" t="s">
        <v>4428</v>
      </c>
      <c r="D2513" s="2" t="s">
        <v>4429</v>
      </c>
    </row>
    <row r="2514" spans="1:4" ht="13.05" customHeight="1" x14ac:dyDescent="0.3">
      <c r="A2514" s="2" t="s">
        <v>352</v>
      </c>
      <c r="B2514" s="2" t="s">
        <v>985</v>
      </c>
      <c r="C2514" s="5" t="s">
        <v>4430</v>
      </c>
      <c r="D2514" s="2" t="s">
        <v>4431</v>
      </c>
    </row>
    <row r="2515" spans="1:4" ht="13.05" customHeight="1" x14ac:dyDescent="0.3">
      <c r="A2515" s="2" t="s">
        <v>352</v>
      </c>
      <c r="B2515" s="2" t="s">
        <v>985</v>
      </c>
      <c r="C2515" s="5" t="s">
        <v>4432</v>
      </c>
      <c r="D2515" s="2" t="s">
        <v>4433</v>
      </c>
    </row>
    <row r="2516" spans="1:4" ht="13.05" customHeight="1" x14ac:dyDescent="0.3">
      <c r="A2516" s="2" t="s">
        <v>352</v>
      </c>
      <c r="B2516" s="2" t="s">
        <v>985</v>
      </c>
      <c r="C2516" s="5" t="s">
        <v>4434</v>
      </c>
      <c r="D2516" s="2" t="s">
        <v>4435</v>
      </c>
    </row>
    <row r="2517" spans="1:4" ht="13.05" customHeight="1" x14ac:dyDescent="0.3">
      <c r="A2517" s="2" t="s">
        <v>352</v>
      </c>
      <c r="B2517" s="2" t="s">
        <v>985</v>
      </c>
      <c r="C2517" s="5" t="s">
        <v>4436</v>
      </c>
      <c r="D2517" s="2" t="s">
        <v>4437</v>
      </c>
    </row>
    <row r="2518" spans="1:4" ht="13.05" customHeight="1" x14ac:dyDescent="0.3">
      <c r="A2518" s="2" t="s">
        <v>352</v>
      </c>
      <c r="B2518" s="2" t="s">
        <v>985</v>
      </c>
      <c r="C2518" s="5" t="s">
        <v>4438</v>
      </c>
      <c r="D2518" s="2" t="s">
        <v>4439</v>
      </c>
    </row>
    <row r="2519" spans="1:4" ht="13.05" customHeight="1" x14ac:dyDescent="0.3">
      <c r="A2519" s="2" t="s">
        <v>352</v>
      </c>
      <c r="B2519" s="2" t="s">
        <v>985</v>
      </c>
      <c r="C2519" s="5" t="s">
        <v>4440</v>
      </c>
      <c r="D2519" s="2" t="s">
        <v>4441</v>
      </c>
    </row>
    <row r="2520" spans="1:4" ht="13.05" customHeight="1" x14ac:dyDescent="0.3">
      <c r="A2520" s="2" t="s">
        <v>352</v>
      </c>
      <c r="B2520" s="2" t="s">
        <v>985</v>
      </c>
      <c r="C2520" s="5" t="s">
        <v>4442</v>
      </c>
      <c r="D2520" s="2" t="s">
        <v>4443</v>
      </c>
    </row>
    <row r="2521" spans="1:4" ht="13.05" customHeight="1" x14ac:dyDescent="0.3">
      <c r="A2521" s="2" t="s">
        <v>352</v>
      </c>
      <c r="B2521" s="2" t="s">
        <v>985</v>
      </c>
      <c r="C2521" s="5" t="s">
        <v>4444</v>
      </c>
      <c r="D2521" s="2" t="s">
        <v>4445</v>
      </c>
    </row>
    <row r="2522" spans="1:4" ht="13.05" customHeight="1" x14ac:dyDescent="0.3">
      <c r="A2522" s="2" t="s">
        <v>352</v>
      </c>
      <c r="B2522" s="2" t="s">
        <v>985</v>
      </c>
      <c r="C2522" s="5" t="s">
        <v>4446</v>
      </c>
      <c r="D2522" s="2" t="s">
        <v>4447</v>
      </c>
    </row>
    <row r="2523" spans="1:4" ht="13.05" customHeight="1" x14ac:dyDescent="0.3">
      <c r="A2523" s="2" t="s">
        <v>352</v>
      </c>
      <c r="B2523" s="2" t="s">
        <v>985</v>
      </c>
      <c r="C2523" s="5" t="s">
        <v>4448</v>
      </c>
      <c r="D2523" s="2" t="s">
        <v>4449</v>
      </c>
    </row>
    <row r="2524" spans="1:4" ht="13.05" customHeight="1" x14ac:dyDescent="0.3">
      <c r="A2524" s="2" t="s">
        <v>352</v>
      </c>
      <c r="B2524" s="2" t="s">
        <v>985</v>
      </c>
      <c r="C2524" s="5" t="s">
        <v>4450</v>
      </c>
      <c r="D2524" s="2" t="s">
        <v>4451</v>
      </c>
    </row>
    <row r="2525" spans="1:4" ht="13.05" customHeight="1" x14ac:dyDescent="0.3">
      <c r="A2525" s="2" t="s">
        <v>352</v>
      </c>
      <c r="B2525" s="2" t="s">
        <v>985</v>
      </c>
      <c r="C2525" s="5" t="s">
        <v>4452</v>
      </c>
      <c r="D2525" s="2" t="s">
        <v>4453</v>
      </c>
    </row>
    <row r="2526" spans="1:4" ht="13.05" customHeight="1" x14ac:dyDescent="0.3">
      <c r="A2526" s="2" t="s">
        <v>352</v>
      </c>
      <c r="B2526" s="2" t="s">
        <v>985</v>
      </c>
      <c r="C2526" s="5" t="s">
        <v>4454</v>
      </c>
      <c r="D2526" s="2" t="s">
        <v>4455</v>
      </c>
    </row>
    <row r="2527" spans="1:4" ht="13.05" customHeight="1" x14ac:dyDescent="0.3">
      <c r="A2527" s="2" t="s">
        <v>352</v>
      </c>
      <c r="B2527" s="2" t="s">
        <v>985</v>
      </c>
      <c r="C2527" s="5" t="s">
        <v>4456</v>
      </c>
      <c r="D2527" s="2" t="s">
        <v>4457</v>
      </c>
    </row>
    <row r="2528" spans="1:4" ht="13.05" customHeight="1" x14ac:dyDescent="0.3">
      <c r="A2528" s="2" t="s">
        <v>352</v>
      </c>
      <c r="B2528" s="2" t="s">
        <v>985</v>
      </c>
      <c r="C2528" s="5" t="s">
        <v>4458</v>
      </c>
      <c r="D2528" s="2" t="s">
        <v>4459</v>
      </c>
    </row>
    <row r="2529" spans="1:4" ht="13.05" customHeight="1" x14ac:dyDescent="0.3">
      <c r="A2529" s="2" t="s">
        <v>352</v>
      </c>
      <c r="B2529" s="2" t="s">
        <v>985</v>
      </c>
      <c r="C2529" s="5" t="s">
        <v>4460</v>
      </c>
      <c r="D2529" s="2" t="s">
        <v>4461</v>
      </c>
    </row>
    <row r="2530" spans="1:4" ht="13.05" customHeight="1" x14ac:dyDescent="0.3">
      <c r="A2530" s="2" t="s">
        <v>352</v>
      </c>
      <c r="B2530" s="2" t="s">
        <v>985</v>
      </c>
      <c r="C2530" s="5" t="s">
        <v>4462</v>
      </c>
      <c r="D2530" s="2" t="s">
        <v>4463</v>
      </c>
    </row>
    <row r="2531" spans="1:4" ht="13.05" customHeight="1" x14ac:dyDescent="0.3">
      <c r="A2531" s="2" t="s">
        <v>352</v>
      </c>
      <c r="B2531" s="2" t="s">
        <v>985</v>
      </c>
      <c r="C2531" s="5" t="s">
        <v>4464</v>
      </c>
      <c r="D2531" s="2" t="s">
        <v>4465</v>
      </c>
    </row>
    <row r="2532" spans="1:4" ht="13.05" customHeight="1" x14ac:dyDescent="0.3">
      <c r="A2532" s="2" t="s">
        <v>352</v>
      </c>
      <c r="B2532" s="2" t="s">
        <v>985</v>
      </c>
      <c r="C2532" s="5" t="s">
        <v>4466</v>
      </c>
      <c r="D2532" s="2" t="s">
        <v>4467</v>
      </c>
    </row>
    <row r="2533" spans="1:4" ht="13.05" customHeight="1" x14ac:dyDescent="0.3">
      <c r="A2533" s="2" t="s">
        <v>352</v>
      </c>
      <c r="B2533" s="2" t="s">
        <v>985</v>
      </c>
      <c r="C2533" s="5" t="s">
        <v>4468</v>
      </c>
      <c r="D2533" s="2" t="s">
        <v>4469</v>
      </c>
    </row>
    <row r="2534" spans="1:4" ht="13.05" customHeight="1" x14ac:dyDescent="0.3">
      <c r="A2534" s="2" t="s">
        <v>352</v>
      </c>
      <c r="B2534" s="2" t="s">
        <v>985</v>
      </c>
      <c r="C2534" s="5" t="s">
        <v>4470</v>
      </c>
      <c r="D2534" s="2" t="s">
        <v>4471</v>
      </c>
    </row>
    <row r="2535" spans="1:4" ht="13.05" customHeight="1" x14ac:dyDescent="0.3">
      <c r="A2535" s="2" t="s">
        <v>352</v>
      </c>
      <c r="B2535" s="2" t="s">
        <v>985</v>
      </c>
      <c r="C2535" s="5" t="s">
        <v>4472</v>
      </c>
      <c r="D2535" s="2" t="s">
        <v>4473</v>
      </c>
    </row>
    <row r="2536" spans="1:4" ht="13.05" customHeight="1" x14ac:dyDescent="0.3">
      <c r="A2536" s="2" t="s">
        <v>352</v>
      </c>
      <c r="B2536" s="2" t="s">
        <v>985</v>
      </c>
      <c r="C2536" s="5" t="s">
        <v>4474</v>
      </c>
      <c r="D2536" s="2" t="s">
        <v>4475</v>
      </c>
    </row>
    <row r="2537" spans="1:4" ht="13.05" customHeight="1" x14ac:dyDescent="0.3">
      <c r="A2537" s="2" t="s">
        <v>352</v>
      </c>
      <c r="B2537" s="2" t="s">
        <v>985</v>
      </c>
      <c r="C2537" s="5" t="s">
        <v>4476</v>
      </c>
      <c r="D2537" s="2" t="s">
        <v>4477</v>
      </c>
    </row>
    <row r="2538" spans="1:4" ht="13.05" customHeight="1" x14ac:dyDescent="0.3">
      <c r="A2538" s="2" t="s">
        <v>352</v>
      </c>
      <c r="B2538" s="2" t="s">
        <v>985</v>
      </c>
      <c r="C2538" s="5" t="s">
        <v>4478</v>
      </c>
      <c r="D2538" s="2" t="s">
        <v>4479</v>
      </c>
    </row>
    <row r="2539" spans="1:4" ht="13.05" customHeight="1" x14ac:dyDescent="0.3">
      <c r="A2539" s="2" t="s">
        <v>352</v>
      </c>
      <c r="B2539" s="2" t="s">
        <v>985</v>
      </c>
      <c r="C2539" s="5" t="s">
        <v>4480</v>
      </c>
      <c r="D2539" s="2" t="s">
        <v>4481</v>
      </c>
    </row>
    <row r="2540" spans="1:4" ht="13.05" customHeight="1" x14ac:dyDescent="0.3">
      <c r="A2540" s="2" t="s">
        <v>352</v>
      </c>
      <c r="B2540" s="2" t="s">
        <v>985</v>
      </c>
      <c r="C2540" s="5" t="s">
        <v>4482</v>
      </c>
      <c r="D2540" s="2" t="s">
        <v>4483</v>
      </c>
    </row>
    <row r="2541" spans="1:4" ht="13.05" customHeight="1" x14ac:dyDescent="0.3">
      <c r="A2541" s="2" t="s">
        <v>352</v>
      </c>
      <c r="B2541" s="2" t="s">
        <v>985</v>
      </c>
      <c r="C2541" s="5" t="s">
        <v>4484</v>
      </c>
      <c r="D2541" s="2" t="s">
        <v>4485</v>
      </c>
    </row>
    <row r="2542" spans="1:4" ht="13.05" customHeight="1" x14ac:dyDescent="0.3">
      <c r="A2542" s="2" t="s">
        <v>352</v>
      </c>
      <c r="B2542" s="2" t="s">
        <v>985</v>
      </c>
      <c r="C2542" s="5" t="s">
        <v>4486</v>
      </c>
      <c r="D2542" s="2" t="s">
        <v>4487</v>
      </c>
    </row>
    <row r="2543" spans="1:4" ht="13.05" customHeight="1" x14ac:dyDescent="0.3">
      <c r="A2543" s="2" t="s">
        <v>352</v>
      </c>
      <c r="B2543" s="2" t="s">
        <v>985</v>
      </c>
      <c r="C2543" s="5" t="s">
        <v>4488</v>
      </c>
      <c r="D2543" s="2" t="s">
        <v>4489</v>
      </c>
    </row>
    <row r="2544" spans="1:4" ht="13.05" customHeight="1" x14ac:dyDescent="0.3">
      <c r="A2544" s="2" t="s">
        <v>352</v>
      </c>
      <c r="B2544" s="2" t="s">
        <v>985</v>
      </c>
      <c r="C2544" s="5" t="s">
        <v>4490</v>
      </c>
      <c r="D2544" s="2" t="s">
        <v>4491</v>
      </c>
    </row>
    <row r="2545" spans="1:4" ht="13.05" customHeight="1" x14ac:dyDescent="0.3">
      <c r="A2545" s="2" t="s">
        <v>352</v>
      </c>
      <c r="B2545" s="2" t="s">
        <v>985</v>
      </c>
      <c r="C2545" s="5" t="s">
        <v>4492</v>
      </c>
      <c r="D2545" s="2" t="s">
        <v>4493</v>
      </c>
    </row>
    <row r="2546" spans="1:4" ht="13.05" customHeight="1" x14ac:dyDescent="0.3">
      <c r="A2546" s="2" t="s">
        <v>352</v>
      </c>
      <c r="B2546" s="2" t="s">
        <v>985</v>
      </c>
      <c r="C2546" s="5" t="s">
        <v>4494</v>
      </c>
      <c r="D2546" s="2" t="s">
        <v>4495</v>
      </c>
    </row>
    <row r="2547" spans="1:4" ht="13.05" customHeight="1" x14ac:dyDescent="0.3">
      <c r="A2547" s="2" t="s">
        <v>352</v>
      </c>
      <c r="B2547" s="2" t="s">
        <v>985</v>
      </c>
      <c r="C2547" s="5" t="s">
        <v>4496</v>
      </c>
      <c r="D2547" s="2" t="s">
        <v>4497</v>
      </c>
    </row>
    <row r="2548" spans="1:4" ht="13.05" customHeight="1" x14ac:dyDescent="0.3">
      <c r="A2548" s="2" t="s">
        <v>352</v>
      </c>
      <c r="B2548" s="2" t="s">
        <v>985</v>
      </c>
      <c r="C2548" s="5" t="s">
        <v>4498</v>
      </c>
      <c r="D2548" s="2" t="s">
        <v>4499</v>
      </c>
    </row>
    <row r="2549" spans="1:4" ht="13.05" customHeight="1" x14ac:dyDescent="0.3">
      <c r="A2549" s="2" t="s">
        <v>352</v>
      </c>
      <c r="B2549" s="2" t="s">
        <v>985</v>
      </c>
      <c r="C2549" s="5" t="s">
        <v>4500</v>
      </c>
      <c r="D2549" s="2" t="s">
        <v>3276</v>
      </c>
    </row>
    <row r="2550" spans="1:4" ht="13.05" customHeight="1" x14ac:dyDescent="0.3">
      <c r="A2550" s="2" t="s">
        <v>352</v>
      </c>
      <c r="B2550" s="2" t="s">
        <v>985</v>
      </c>
      <c r="C2550" s="5" t="s">
        <v>4501</v>
      </c>
      <c r="D2550" s="2" t="s">
        <v>3300</v>
      </c>
    </row>
    <row r="2551" spans="1:4" ht="13.05" customHeight="1" x14ac:dyDescent="0.3">
      <c r="A2551" s="2" t="s">
        <v>352</v>
      </c>
      <c r="B2551" s="2" t="s">
        <v>985</v>
      </c>
      <c r="C2551" s="5" t="s">
        <v>4502</v>
      </c>
      <c r="D2551" s="2" t="s">
        <v>3477</v>
      </c>
    </row>
    <row r="2552" spans="1:4" ht="13.05" customHeight="1" x14ac:dyDescent="0.3">
      <c r="A2552" s="2" t="s">
        <v>352</v>
      </c>
      <c r="B2552" s="2" t="s">
        <v>985</v>
      </c>
      <c r="C2552" s="5" t="s">
        <v>4503</v>
      </c>
      <c r="D2552" s="2" t="s">
        <v>3485</v>
      </c>
    </row>
    <row r="2553" spans="1:4" ht="13.05" customHeight="1" x14ac:dyDescent="0.3">
      <c r="A2553" s="2" t="s">
        <v>352</v>
      </c>
      <c r="B2553" s="2" t="s">
        <v>985</v>
      </c>
      <c r="C2553" s="5" t="s">
        <v>4504</v>
      </c>
      <c r="D2553" s="2" t="s">
        <v>3304</v>
      </c>
    </row>
    <row r="2554" spans="1:4" ht="13.05" customHeight="1" x14ac:dyDescent="0.3">
      <c r="A2554" s="2" t="s">
        <v>352</v>
      </c>
      <c r="B2554" s="2" t="s">
        <v>985</v>
      </c>
      <c r="C2554" s="5" t="s">
        <v>4505</v>
      </c>
      <c r="D2554" s="2" t="s">
        <v>4506</v>
      </c>
    </row>
    <row r="2555" spans="1:4" ht="13.05" customHeight="1" x14ac:dyDescent="0.3">
      <c r="A2555" s="2" t="s">
        <v>352</v>
      </c>
      <c r="B2555" s="2" t="s">
        <v>985</v>
      </c>
      <c r="C2555" s="5" t="s">
        <v>4507</v>
      </c>
      <c r="D2555" s="2" t="s">
        <v>4508</v>
      </c>
    </row>
    <row r="2556" spans="1:4" ht="13.05" customHeight="1" x14ac:dyDescent="0.3">
      <c r="A2556" s="2" t="s">
        <v>352</v>
      </c>
      <c r="B2556" s="2" t="s">
        <v>985</v>
      </c>
      <c r="C2556" s="5" t="s">
        <v>4509</v>
      </c>
      <c r="D2556" s="2" t="s">
        <v>4510</v>
      </c>
    </row>
    <row r="2557" spans="1:4" ht="13.05" customHeight="1" x14ac:dyDescent="0.3">
      <c r="A2557" s="2" t="s">
        <v>352</v>
      </c>
      <c r="B2557" s="2" t="s">
        <v>985</v>
      </c>
      <c r="C2557" s="5" t="s">
        <v>4511</v>
      </c>
      <c r="D2557" s="2" t="s">
        <v>4512</v>
      </c>
    </row>
    <row r="2558" spans="1:4" ht="13.05" customHeight="1" x14ac:dyDescent="0.3">
      <c r="A2558" s="2" t="s">
        <v>352</v>
      </c>
      <c r="B2558" s="2" t="s">
        <v>985</v>
      </c>
      <c r="C2558" s="5" t="s">
        <v>4513</v>
      </c>
      <c r="D2558" s="2" t="s">
        <v>4514</v>
      </c>
    </row>
    <row r="2559" spans="1:4" ht="13.05" customHeight="1" x14ac:dyDescent="0.3">
      <c r="A2559" s="2" t="s">
        <v>352</v>
      </c>
      <c r="B2559" s="2" t="s">
        <v>985</v>
      </c>
      <c r="C2559" s="5" t="s">
        <v>4515</v>
      </c>
      <c r="D2559" s="2" t="s">
        <v>4516</v>
      </c>
    </row>
    <row r="2560" spans="1:4" ht="13.05" customHeight="1" x14ac:dyDescent="0.3">
      <c r="A2560" s="2" t="s">
        <v>352</v>
      </c>
      <c r="B2560" s="2" t="s">
        <v>985</v>
      </c>
      <c r="C2560" s="5" t="s">
        <v>4517</v>
      </c>
      <c r="D2560" s="2" t="s">
        <v>4518</v>
      </c>
    </row>
    <row r="2561" spans="1:4" ht="13.05" customHeight="1" x14ac:dyDescent="0.3">
      <c r="A2561" s="2" t="s">
        <v>352</v>
      </c>
      <c r="B2561" s="2" t="s">
        <v>985</v>
      </c>
      <c r="C2561" s="5" t="s">
        <v>4519</v>
      </c>
      <c r="D2561" s="2" t="s">
        <v>4520</v>
      </c>
    </row>
    <row r="2562" spans="1:4" ht="13.05" customHeight="1" x14ac:dyDescent="0.3">
      <c r="A2562" s="2" t="s">
        <v>352</v>
      </c>
      <c r="B2562" s="2" t="s">
        <v>985</v>
      </c>
      <c r="C2562" s="5" t="s">
        <v>4521</v>
      </c>
      <c r="D2562" s="2" t="s">
        <v>4522</v>
      </c>
    </row>
    <row r="2563" spans="1:4" ht="13.05" customHeight="1" x14ac:dyDescent="0.3">
      <c r="A2563" s="2" t="s">
        <v>352</v>
      </c>
      <c r="B2563" s="2" t="s">
        <v>985</v>
      </c>
      <c r="C2563" s="5" t="s">
        <v>4523</v>
      </c>
      <c r="D2563" s="2" t="s">
        <v>3356</v>
      </c>
    </row>
    <row r="2564" spans="1:4" ht="13.05" customHeight="1" x14ac:dyDescent="0.3">
      <c r="A2564" s="2" t="s">
        <v>352</v>
      </c>
      <c r="B2564" s="2" t="s">
        <v>985</v>
      </c>
      <c r="C2564" s="5" t="s">
        <v>4524</v>
      </c>
      <c r="D2564" s="2" t="s">
        <v>3358</v>
      </c>
    </row>
    <row r="2565" spans="1:4" ht="13.05" customHeight="1" x14ac:dyDescent="0.3">
      <c r="A2565" s="2" t="s">
        <v>352</v>
      </c>
      <c r="B2565" s="2" t="s">
        <v>985</v>
      </c>
      <c r="C2565" s="5" t="s">
        <v>4525</v>
      </c>
      <c r="D2565" s="2" t="s">
        <v>4526</v>
      </c>
    </row>
    <row r="2566" spans="1:4" ht="13.05" customHeight="1" x14ac:dyDescent="0.3">
      <c r="A2566" s="2" t="s">
        <v>352</v>
      </c>
      <c r="B2566" s="2" t="s">
        <v>985</v>
      </c>
      <c r="C2566" s="5" t="s">
        <v>4527</v>
      </c>
      <c r="D2566" s="2" t="s">
        <v>4528</v>
      </c>
    </row>
    <row r="2567" spans="1:4" ht="13.05" customHeight="1" x14ac:dyDescent="0.3">
      <c r="A2567" s="2" t="s">
        <v>352</v>
      </c>
      <c r="B2567" s="2" t="s">
        <v>985</v>
      </c>
      <c r="C2567" s="5" t="s">
        <v>4529</v>
      </c>
      <c r="D2567" s="2" t="s">
        <v>4169</v>
      </c>
    </row>
    <row r="2568" spans="1:4" ht="13.05" customHeight="1" x14ac:dyDescent="0.3">
      <c r="A2568" s="2" t="s">
        <v>352</v>
      </c>
      <c r="B2568" s="2" t="s">
        <v>985</v>
      </c>
      <c r="C2568" s="5" t="s">
        <v>4530</v>
      </c>
      <c r="D2568" s="2" t="s">
        <v>3483</v>
      </c>
    </row>
    <row r="2569" spans="1:4" ht="13.05" customHeight="1" x14ac:dyDescent="0.3">
      <c r="A2569" s="2" t="s">
        <v>352</v>
      </c>
      <c r="B2569" s="2" t="s">
        <v>985</v>
      </c>
      <c r="C2569" s="5" t="s">
        <v>4531</v>
      </c>
      <c r="D2569" s="2" t="s">
        <v>3485</v>
      </c>
    </row>
    <row r="2570" spans="1:4" ht="13.05" customHeight="1" x14ac:dyDescent="0.3">
      <c r="A2570" s="2" t="s">
        <v>352</v>
      </c>
      <c r="B2570" s="2" t="s">
        <v>985</v>
      </c>
      <c r="C2570" s="5" t="s">
        <v>4532</v>
      </c>
      <c r="D2570" s="2" t="s">
        <v>3489</v>
      </c>
    </row>
    <row r="2571" spans="1:4" ht="13.05" customHeight="1" x14ac:dyDescent="0.3">
      <c r="A2571" s="2" t="s">
        <v>352</v>
      </c>
      <c r="B2571" s="2" t="s">
        <v>985</v>
      </c>
      <c r="C2571" s="5" t="s">
        <v>4533</v>
      </c>
      <c r="D2571" s="2" t="s">
        <v>3304</v>
      </c>
    </row>
    <row r="2572" spans="1:4" ht="13.05" customHeight="1" x14ac:dyDescent="0.3">
      <c r="A2572" s="2" t="s">
        <v>352</v>
      </c>
      <c r="B2572" s="2" t="s">
        <v>985</v>
      </c>
      <c r="C2572" s="5" t="s">
        <v>4534</v>
      </c>
      <c r="D2572" s="2" t="s">
        <v>3312</v>
      </c>
    </row>
    <row r="2573" spans="1:4" ht="13.05" customHeight="1" x14ac:dyDescent="0.3">
      <c r="A2573" s="2" t="s">
        <v>352</v>
      </c>
      <c r="B2573" s="2" t="s">
        <v>985</v>
      </c>
      <c r="C2573" s="5" t="s">
        <v>4535</v>
      </c>
      <c r="D2573" s="2" t="s">
        <v>4536</v>
      </c>
    </row>
    <row r="2574" spans="1:4" ht="13.05" customHeight="1" x14ac:dyDescent="0.3">
      <c r="A2574" s="2" t="s">
        <v>352</v>
      </c>
      <c r="B2574" s="2" t="s">
        <v>985</v>
      </c>
      <c r="C2574" s="5" t="s">
        <v>4537</v>
      </c>
      <c r="D2574" s="2" t="s">
        <v>4538</v>
      </c>
    </row>
    <row r="2575" spans="1:4" ht="13.05" customHeight="1" x14ac:dyDescent="0.3">
      <c r="A2575" s="2" t="s">
        <v>352</v>
      </c>
      <c r="B2575" s="2" t="s">
        <v>985</v>
      </c>
      <c r="C2575" s="5" t="s">
        <v>4539</v>
      </c>
      <c r="D2575" s="2" t="s">
        <v>4540</v>
      </c>
    </row>
    <row r="2576" spans="1:4" ht="13.05" customHeight="1" x14ac:dyDescent="0.3">
      <c r="A2576" s="2" t="s">
        <v>352</v>
      </c>
      <c r="B2576" s="2" t="s">
        <v>985</v>
      </c>
      <c r="C2576" s="5" t="s">
        <v>4541</v>
      </c>
      <c r="D2576" s="2" t="s">
        <v>4542</v>
      </c>
    </row>
    <row r="2577" spans="1:4" ht="13.05" customHeight="1" x14ac:dyDescent="0.3">
      <c r="A2577" s="2" t="s">
        <v>352</v>
      </c>
      <c r="B2577" s="2" t="s">
        <v>985</v>
      </c>
      <c r="C2577" s="5" t="s">
        <v>4543</v>
      </c>
      <c r="D2577" s="2" t="s">
        <v>3394</v>
      </c>
    </row>
    <row r="2578" spans="1:4" ht="13.05" customHeight="1" x14ac:dyDescent="0.3">
      <c r="A2578" s="2" t="s">
        <v>352</v>
      </c>
      <c r="B2578" s="2" t="s">
        <v>985</v>
      </c>
      <c r="C2578" s="5" t="s">
        <v>4544</v>
      </c>
      <c r="D2578" s="2" t="s">
        <v>4545</v>
      </c>
    </row>
    <row r="2579" spans="1:4" ht="13.05" customHeight="1" x14ac:dyDescent="0.3">
      <c r="A2579" s="2" t="s">
        <v>352</v>
      </c>
      <c r="B2579" s="2" t="s">
        <v>985</v>
      </c>
      <c r="C2579" s="5" t="s">
        <v>4546</v>
      </c>
      <c r="D2579" s="2" t="s">
        <v>4547</v>
      </c>
    </row>
    <row r="2580" spans="1:4" ht="13.05" customHeight="1" x14ac:dyDescent="0.3">
      <c r="A2580" s="2" t="s">
        <v>352</v>
      </c>
      <c r="B2580" s="2" t="s">
        <v>985</v>
      </c>
      <c r="C2580" s="5" t="s">
        <v>4548</v>
      </c>
      <c r="D2580" s="2" t="s">
        <v>4549</v>
      </c>
    </row>
    <row r="2581" spans="1:4" ht="13.05" customHeight="1" x14ac:dyDescent="0.3">
      <c r="A2581" s="2" t="s">
        <v>352</v>
      </c>
      <c r="B2581" s="2" t="s">
        <v>985</v>
      </c>
      <c r="C2581" s="5" t="s">
        <v>4550</v>
      </c>
      <c r="D2581" s="2" t="s">
        <v>4551</v>
      </c>
    </row>
    <row r="2582" spans="1:4" ht="13.05" customHeight="1" x14ac:dyDescent="0.3">
      <c r="A2582" s="2" t="s">
        <v>352</v>
      </c>
      <c r="B2582" s="2" t="s">
        <v>985</v>
      </c>
      <c r="C2582" s="5" t="s">
        <v>4552</v>
      </c>
      <c r="D2582" s="2" t="s">
        <v>4553</v>
      </c>
    </row>
    <row r="2583" spans="1:4" ht="13.05" customHeight="1" x14ac:dyDescent="0.3">
      <c r="A2583" s="2" t="s">
        <v>352</v>
      </c>
      <c r="B2583" s="2" t="s">
        <v>985</v>
      </c>
      <c r="C2583" s="5" t="s">
        <v>4554</v>
      </c>
      <c r="D2583" s="2" t="s">
        <v>4555</v>
      </c>
    </row>
    <row r="2584" spans="1:4" ht="13.05" customHeight="1" x14ac:dyDescent="0.3">
      <c r="A2584" s="2" t="s">
        <v>352</v>
      </c>
      <c r="B2584" s="2" t="s">
        <v>985</v>
      </c>
      <c r="C2584" s="5" t="s">
        <v>4556</v>
      </c>
      <c r="D2584" s="2" t="s">
        <v>3356</v>
      </c>
    </row>
    <row r="2585" spans="1:4" ht="13.05" customHeight="1" x14ac:dyDescent="0.3">
      <c r="A2585" s="2" t="s">
        <v>352</v>
      </c>
      <c r="B2585" s="2" t="s">
        <v>985</v>
      </c>
      <c r="C2585" s="5" t="s">
        <v>4557</v>
      </c>
      <c r="D2585" s="2" t="s">
        <v>3358</v>
      </c>
    </row>
    <row r="2586" spans="1:4" ht="13.05" customHeight="1" x14ac:dyDescent="0.3">
      <c r="A2586" s="2" t="s">
        <v>352</v>
      </c>
      <c r="B2586" s="2" t="s">
        <v>985</v>
      </c>
      <c r="C2586" s="5" t="s">
        <v>4558</v>
      </c>
      <c r="D2586" s="2" t="s">
        <v>4559</v>
      </c>
    </row>
    <row r="2587" spans="1:4" ht="13.05" customHeight="1" x14ac:dyDescent="0.3">
      <c r="A2587" s="2" t="s">
        <v>352</v>
      </c>
      <c r="B2587" s="2" t="s">
        <v>985</v>
      </c>
      <c r="C2587" s="5" t="s">
        <v>4560</v>
      </c>
      <c r="D2587" s="2" t="s">
        <v>4561</v>
      </c>
    </row>
    <row r="2588" spans="1:4" ht="13.05" customHeight="1" x14ac:dyDescent="0.3">
      <c r="A2588" s="2" t="s">
        <v>352</v>
      </c>
      <c r="B2588" s="2" t="s">
        <v>985</v>
      </c>
      <c r="C2588" s="5" t="s">
        <v>4562</v>
      </c>
      <c r="D2588" s="2" t="s">
        <v>4563</v>
      </c>
    </row>
    <row r="2589" spans="1:4" ht="13.05" customHeight="1" x14ac:dyDescent="0.3">
      <c r="A2589" s="2" t="s">
        <v>352</v>
      </c>
      <c r="B2589" s="2" t="s">
        <v>985</v>
      </c>
      <c r="C2589" s="5" t="s">
        <v>4564</v>
      </c>
      <c r="D2589" s="2" t="s">
        <v>4565</v>
      </c>
    </row>
    <row r="2590" spans="1:4" ht="13.05" customHeight="1" x14ac:dyDescent="0.3">
      <c r="A2590" s="2" t="s">
        <v>352</v>
      </c>
      <c r="B2590" s="2" t="s">
        <v>985</v>
      </c>
      <c r="C2590" s="5" t="s">
        <v>4566</v>
      </c>
      <c r="D2590" s="2" t="s">
        <v>4567</v>
      </c>
    </row>
    <row r="2591" spans="1:4" ht="13.05" customHeight="1" x14ac:dyDescent="0.3">
      <c r="A2591" s="2" t="s">
        <v>352</v>
      </c>
      <c r="B2591" s="2" t="s">
        <v>985</v>
      </c>
      <c r="C2591" s="5" t="s">
        <v>4568</v>
      </c>
      <c r="D2591" s="2" t="s">
        <v>4569</v>
      </c>
    </row>
    <row r="2592" spans="1:4" ht="13.05" customHeight="1" x14ac:dyDescent="0.3">
      <c r="A2592" s="2" t="s">
        <v>352</v>
      </c>
      <c r="B2592" s="2" t="s">
        <v>985</v>
      </c>
      <c r="C2592" s="5" t="s">
        <v>4570</v>
      </c>
      <c r="D2592" s="2" t="s">
        <v>4169</v>
      </c>
    </row>
    <row r="2593" spans="1:4" ht="13.05" customHeight="1" x14ac:dyDescent="0.3">
      <c r="A2593" s="2" t="s">
        <v>352</v>
      </c>
      <c r="B2593" s="2" t="s">
        <v>985</v>
      </c>
      <c r="C2593" s="5" t="s">
        <v>4571</v>
      </c>
      <c r="D2593" s="2" t="s">
        <v>4572</v>
      </c>
    </row>
    <row r="2594" spans="1:4" ht="13.05" customHeight="1" x14ac:dyDescent="0.3">
      <c r="A2594" s="2" t="s">
        <v>352</v>
      </c>
      <c r="B2594" s="2" t="s">
        <v>985</v>
      </c>
      <c r="C2594" s="5" t="s">
        <v>4573</v>
      </c>
      <c r="D2594" s="2" t="s">
        <v>4574</v>
      </c>
    </row>
    <row r="2595" spans="1:4" ht="13.05" customHeight="1" x14ac:dyDescent="0.3">
      <c r="A2595" s="2" t="s">
        <v>352</v>
      </c>
      <c r="B2595" s="2" t="s">
        <v>985</v>
      </c>
      <c r="C2595" s="5" t="s">
        <v>4575</v>
      </c>
      <c r="D2595" s="2" t="s">
        <v>4576</v>
      </c>
    </row>
    <row r="2596" spans="1:4" ht="13.05" customHeight="1" x14ac:dyDescent="0.3">
      <c r="A2596" s="2" t="s">
        <v>352</v>
      </c>
      <c r="B2596" s="2" t="s">
        <v>985</v>
      </c>
      <c r="C2596" s="5" t="s">
        <v>4577</v>
      </c>
      <c r="D2596" s="2" t="s">
        <v>4578</v>
      </c>
    </row>
    <row r="2597" spans="1:4" ht="13.05" customHeight="1" x14ac:dyDescent="0.3">
      <c r="A2597" s="2" t="s">
        <v>352</v>
      </c>
      <c r="B2597" s="2" t="s">
        <v>985</v>
      </c>
      <c r="C2597" s="5" t="s">
        <v>4579</v>
      </c>
      <c r="D2597" s="2" t="s">
        <v>4580</v>
      </c>
    </row>
    <row r="2598" spans="1:4" ht="13.05" customHeight="1" x14ac:dyDescent="0.3">
      <c r="A2598" s="2" t="s">
        <v>352</v>
      </c>
      <c r="B2598" s="2" t="s">
        <v>985</v>
      </c>
      <c r="C2598" s="5" t="s">
        <v>4581</v>
      </c>
      <c r="D2598" s="2" t="s">
        <v>4582</v>
      </c>
    </row>
    <row r="2599" spans="1:4" ht="13.05" customHeight="1" x14ac:dyDescent="0.3">
      <c r="A2599" s="2" t="s">
        <v>352</v>
      </c>
      <c r="B2599" s="2" t="s">
        <v>985</v>
      </c>
      <c r="C2599" s="5" t="s">
        <v>4583</v>
      </c>
      <c r="D2599" s="2" t="s">
        <v>4417</v>
      </c>
    </row>
    <row r="2600" spans="1:4" ht="13.05" customHeight="1" x14ac:dyDescent="0.3">
      <c r="A2600" s="2" t="s">
        <v>352</v>
      </c>
      <c r="B2600" s="2" t="s">
        <v>985</v>
      </c>
      <c r="C2600" s="5" t="s">
        <v>4584</v>
      </c>
      <c r="D2600" s="2" t="s">
        <v>4585</v>
      </c>
    </row>
    <row r="2601" spans="1:4" ht="13.05" customHeight="1" x14ac:dyDescent="0.3">
      <c r="A2601" s="2" t="s">
        <v>352</v>
      </c>
      <c r="B2601" s="2" t="s">
        <v>985</v>
      </c>
      <c r="C2601" s="5" t="s">
        <v>4586</v>
      </c>
      <c r="D2601" s="2" t="s">
        <v>4587</v>
      </c>
    </row>
    <row r="2602" spans="1:4" ht="13.05" customHeight="1" x14ac:dyDescent="0.3">
      <c r="A2602" s="2" t="s">
        <v>352</v>
      </c>
      <c r="B2602" s="2" t="s">
        <v>985</v>
      </c>
      <c r="C2602" s="5" t="s">
        <v>4588</v>
      </c>
      <c r="D2602" s="2" t="s">
        <v>4589</v>
      </c>
    </row>
    <row r="2603" spans="1:4" ht="13.05" customHeight="1" x14ac:dyDescent="0.3">
      <c r="A2603" s="2" t="s">
        <v>352</v>
      </c>
      <c r="B2603" s="2" t="s">
        <v>985</v>
      </c>
      <c r="C2603" s="5" t="s">
        <v>4590</v>
      </c>
      <c r="D2603" s="2" t="s">
        <v>4417</v>
      </c>
    </row>
    <row r="2604" spans="1:4" ht="13.05" customHeight="1" x14ac:dyDescent="0.3">
      <c r="A2604" s="2" t="s">
        <v>352</v>
      </c>
      <c r="B2604" s="2" t="s">
        <v>985</v>
      </c>
      <c r="C2604" s="5" t="s">
        <v>4591</v>
      </c>
      <c r="D2604" s="2" t="s">
        <v>3497</v>
      </c>
    </row>
    <row r="2605" spans="1:4" ht="13.05" customHeight="1" x14ac:dyDescent="0.3">
      <c r="A2605" s="2" t="s">
        <v>352</v>
      </c>
      <c r="B2605" s="2" t="s">
        <v>985</v>
      </c>
      <c r="C2605" s="5" t="s">
        <v>4592</v>
      </c>
      <c r="D2605" s="2" t="s">
        <v>4593</v>
      </c>
    </row>
    <row r="2606" spans="1:4" ht="13.05" customHeight="1" x14ac:dyDescent="0.3">
      <c r="A2606" s="2" t="s">
        <v>352</v>
      </c>
      <c r="B2606" s="2" t="s">
        <v>985</v>
      </c>
      <c r="C2606" s="5" t="s">
        <v>4594</v>
      </c>
      <c r="D2606" s="2" t="s">
        <v>4595</v>
      </c>
    </row>
    <row r="2607" spans="1:4" ht="13.05" customHeight="1" x14ac:dyDescent="0.3">
      <c r="A2607" s="2" t="s">
        <v>352</v>
      </c>
      <c r="B2607" s="2" t="s">
        <v>985</v>
      </c>
      <c r="C2607" s="5" t="s">
        <v>4596</v>
      </c>
      <c r="D2607" s="2" t="s">
        <v>4597</v>
      </c>
    </row>
    <row r="2608" spans="1:4" ht="13.05" customHeight="1" x14ac:dyDescent="0.3">
      <c r="A2608" s="2" t="s">
        <v>352</v>
      </c>
      <c r="B2608" s="2" t="s">
        <v>985</v>
      </c>
      <c r="C2608" s="5" t="s">
        <v>4598</v>
      </c>
      <c r="D2608" s="2" t="s">
        <v>4599</v>
      </c>
    </row>
    <row r="2609" spans="1:4" ht="13.05" customHeight="1" x14ac:dyDescent="0.3">
      <c r="A2609" s="2" t="s">
        <v>352</v>
      </c>
      <c r="B2609" s="2" t="s">
        <v>985</v>
      </c>
      <c r="C2609" s="5" t="s">
        <v>4600</v>
      </c>
      <c r="D2609" s="2" t="s">
        <v>3244</v>
      </c>
    </row>
    <row r="2610" spans="1:4" ht="13.05" customHeight="1" x14ac:dyDescent="0.3">
      <c r="A2610" s="2" t="s">
        <v>352</v>
      </c>
      <c r="B2610" s="2" t="s">
        <v>985</v>
      </c>
      <c r="C2610" s="5" t="s">
        <v>4601</v>
      </c>
      <c r="D2610" s="2" t="s">
        <v>3246</v>
      </c>
    </row>
    <row r="2611" spans="1:4" ht="13.05" customHeight="1" x14ac:dyDescent="0.3">
      <c r="A2611" s="2" t="s">
        <v>352</v>
      </c>
      <c r="B2611" s="2" t="s">
        <v>985</v>
      </c>
      <c r="C2611" s="5" t="s">
        <v>4602</v>
      </c>
      <c r="D2611" s="2" t="s">
        <v>4603</v>
      </c>
    </row>
    <row r="2612" spans="1:4" ht="13.05" customHeight="1" x14ac:dyDescent="0.3">
      <c r="A2612" s="2" t="s">
        <v>352</v>
      </c>
      <c r="B2612" s="2" t="s">
        <v>985</v>
      </c>
      <c r="C2612" s="5" t="s">
        <v>4604</v>
      </c>
      <c r="D2612" s="2" t="s">
        <v>4605</v>
      </c>
    </row>
    <row r="2613" spans="1:4" ht="13.05" customHeight="1" x14ac:dyDescent="0.3">
      <c r="A2613" s="2" t="s">
        <v>352</v>
      </c>
      <c r="B2613" s="2" t="s">
        <v>985</v>
      </c>
      <c r="C2613" s="5" t="s">
        <v>4606</v>
      </c>
      <c r="D2613" s="2" t="s">
        <v>4607</v>
      </c>
    </row>
    <row r="2614" spans="1:4" ht="13.05" customHeight="1" x14ac:dyDescent="0.3">
      <c r="A2614" s="2" t="s">
        <v>352</v>
      </c>
      <c r="B2614" s="2" t="s">
        <v>985</v>
      </c>
      <c r="C2614" s="5" t="s">
        <v>4608</v>
      </c>
      <c r="D2614" s="2" t="s">
        <v>4609</v>
      </c>
    </row>
    <row r="2615" spans="1:4" ht="13.05" customHeight="1" x14ac:dyDescent="0.3">
      <c r="A2615" s="2" t="s">
        <v>352</v>
      </c>
      <c r="B2615" s="2" t="s">
        <v>985</v>
      </c>
      <c r="C2615" s="5" t="s">
        <v>4610</v>
      </c>
      <c r="D2615" s="2" t="s">
        <v>4611</v>
      </c>
    </row>
    <row r="2616" spans="1:4" ht="13.05" customHeight="1" x14ac:dyDescent="0.3">
      <c r="A2616" s="2" t="s">
        <v>352</v>
      </c>
      <c r="B2616" s="2" t="s">
        <v>985</v>
      </c>
      <c r="C2616" s="5" t="s">
        <v>4612</v>
      </c>
      <c r="D2616" s="2" t="s">
        <v>4613</v>
      </c>
    </row>
    <row r="2617" spans="1:4" ht="13.05" customHeight="1" x14ac:dyDescent="0.3">
      <c r="A2617" s="2" t="s">
        <v>352</v>
      </c>
      <c r="B2617" s="2" t="s">
        <v>985</v>
      </c>
      <c r="C2617" s="5" t="s">
        <v>4614</v>
      </c>
      <c r="D2617" s="2" t="s">
        <v>4615</v>
      </c>
    </row>
    <row r="2618" spans="1:4" ht="13.05" customHeight="1" x14ac:dyDescent="0.3">
      <c r="A2618" s="2" t="s">
        <v>352</v>
      </c>
      <c r="B2618" s="2" t="s">
        <v>985</v>
      </c>
      <c r="C2618" s="5" t="s">
        <v>4616</v>
      </c>
      <c r="D2618" s="2" t="s">
        <v>4617</v>
      </c>
    </row>
    <row r="2619" spans="1:4" ht="13.05" customHeight="1" x14ac:dyDescent="0.3">
      <c r="A2619" s="2" t="s">
        <v>352</v>
      </c>
      <c r="B2619" s="2" t="s">
        <v>985</v>
      </c>
      <c r="C2619" s="5" t="s">
        <v>4618</v>
      </c>
      <c r="D2619" s="2" t="s">
        <v>4619</v>
      </c>
    </row>
    <row r="2620" spans="1:4" ht="13.05" customHeight="1" x14ac:dyDescent="0.3">
      <c r="A2620" s="2" t="s">
        <v>352</v>
      </c>
      <c r="B2620" s="2" t="s">
        <v>985</v>
      </c>
      <c r="C2620" s="5" t="s">
        <v>4620</v>
      </c>
      <c r="D2620" s="2" t="s">
        <v>4621</v>
      </c>
    </row>
    <row r="2621" spans="1:4" ht="13.05" customHeight="1" x14ac:dyDescent="0.3">
      <c r="A2621" s="2" t="s">
        <v>352</v>
      </c>
      <c r="B2621" s="2" t="s">
        <v>985</v>
      </c>
      <c r="C2621" s="5" t="s">
        <v>4622</v>
      </c>
      <c r="D2621" s="2" t="s">
        <v>4623</v>
      </c>
    </row>
    <row r="2622" spans="1:4" ht="13.05" customHeight="1" x14ac:dyDescent="0.3">
      <c r="A2622" s="2" t="s">
        <v>352</v>
      </c>
      <c r="B2622" s="2" t="s">
        <v>985</v>
      </c>
      <c r="C2622" s="5" t="s">
        <v>4624</v>
      </c>
      <c r="D2622" s="2" t="s">
        <v>3276</v>
      </c>
    </row>
    <row r="2623" spans="1:4" ht="13.05" customHeight="1" x14ac:dyDescent="0.3">
      <c r="A2623" s="2" t="s">
        <v>352</v>
      </c>
      <c r="B2623" s="2" t="s">
        <v>985</v>
      </c>
      <c r="C2623" s="5" t="s">
        <v>4625</v>
      </c>
      <c r="D2623" s="2" t="s">
        <v>3300</v>
      </c>
    </row>
    <row r="2624" spans="1:4" ht="13.05" customHeight="1" x14ac:dyDescent="0.3">
      <c r="A2624" s="2" t="s">
        <v>352</v>
      </c>
      <c r="B2624" s="2" t="s">
        <v>985</v>
      </c>
      <c r="C2624" s="5" t="s">
        <v>4626</v>
      </c>
      <c r="D2624" s="2" t="s">
        <v>3481</v>
      </c>
    </row>
    <row r="2625" spans="1:4" ht="13.05" customHeight="1" x14ac:dyDescent="0.3">
      <c r="A2625" s="2" t="s">
        <v>352</v>
      </c>
      <c r="B2625" s="2" t="s">
        <v>985</v>
      </c>
      <c r="C2625" s="5" t="s">
        <v>4627</v>
      </c>
      <c r="D2625" s="2" t="s">
        <v>3483</v>
      </c>
    </row>
    <row r="2626" spans="1:4" ht="13.05" customHeight="1" x14ac:dyDescent="0.3">
      <c r="A2626" s="2" t="s">
        <v>352</v>
      </c>
      <c r="B2626" s="2" t="s">
        <v>985</v>
      </c>
      <c r="C2626" s="5" t="s">
        <v>4628</v>
      </c>
      <c r="D2626" s="2" t="s">
        <v>3485</v>
      </c>
    </row>
    <row r="2627" spans="1:4" ht="13.05" customHeight="1" x14ac:dyDescent="0.3">
      <c r="A2627" s="2" t="s">
        <v>352</v>
      </c>
      <c r="B2627" s="2" t="s">
        <v>985</v>
      </c>
      <c r="C2627" s="5" t="s">
        <v>4629</v>
      </c>
      <c r="D2627" s="2" t="s">
        <v>3676</v>
      </c>
    </row>
    <row r="2628" spans="1:4" ht="13.05" customHeight="1" x14ac:dyDescent="0.3">
      <c r="A2628" s="2" t="s">
        <v>352</v>
      </c>
      <c r="B2628" s="2" t="s">
        <v>985</v>
      </c>
      <c r="C2628" s="5" t="s">
        <v>4630</v>
      </c>
      <c r="D2628" s="2" t="s">
        <v>4631</v>
      </c>
    </row>
    <row r="2629" spans="1:4" ht="13.05" customHeight="1" x14ac:dyDescent="0.3">
      <c r="A2629" s="2" t="s">
        <v>352</v>
      </c>
      <c r="B2629" s="2" t="s">
        <v>985</v>
      </c>
      <c r="C2629" s="5" t="s">
        <v>4632</v>
      </c>
      <c r="D2629" s="2" t="s">
        <v>3304</v>
      </c>
    </row>
    <row r="2630" spans="1:4" ht="13.05" customHeight="1" x14ac:dyDescent="0.3">
      <c r="A2630" s="2" t="s">
        <v>352</v>
      </c>
      <c r="B2630" s="2" t="s">
        <v>985</v>
      </c>
      <c r="C2630" s="5" t="s">
        <v>4633</v>
      </c>
      <c r="D2630" s="2" t="s">
        <v>3492</v>
      </c>
    </row>
    <row r="2631" spans="1:4" ht="13.05" customHeight="1" x14ac:dyDescent="0.3">
      <c r="A2631" s="2" t="s">
        <v>352</v>
      </c>
      <c r="B2631" s="2" t="s">
        <v>985</v>
      </c>
      <c r="C2631" s="5" t="s">
        <v>4634</v>
      </c>
      <c r="D2631" s="2" t="s">
        <v>4635</v>
      </c>
    </row>
    <row r="2632" spans="1:4" ht="13.05" customHeight="1" x14ac:dyDescent="0.3">
      <c r="A2632" s="2" t="s">
        <v>352</v>
      </c>
      <c r="B2632" s="2" t="s">
        <v>985</v>
      </c>
      <c r="C2632" s="5" t="s">
        <v>4636</v>
      </c>
      <c r="D2632" s="2" t="s">
        <v>4637</v>
      </c>
    </row>
    <row r="2633" spans="1:4" ht="13.05" customHeight="1" x14ac:dyDescent="0.3">
      <c r="A2633" s="2" t="s">
        <v>352</v>
      </c>
      <c r="B2633" s="2" t="s">
        <v>985</v>
      </c>
      <c r="C2633" s="5" t="s">
        <v>4638</v>
      </c>
      <c r="D2633" s="2" t="s">
        <v>3681</v>
      </c>
    </row>
    <row r="2634" spans="1:4" ht="13.05" customHeight="1" x14ac:dyDescent="0.3">
      <c r="A2634" s="2" t="s">
        <v>352</v>
      </c>
      <c r="B2634" s="2" t="s">
        <v>985</v>
      </c>
      <c r="C2634" s="5" t="s">
        <v>4639</v>
      </c>
      <c r="D2634" s="2" t="s">
        <v>4640</v>
      </c>
    </row>
    <row r="2635" spans="1:4" ht="13.05" customHeight="1" x14ac:dyDescent="0.3">
      <c r="A2635" s="2" t="s">
        <v>352</v>
      </c>
      <c r="B2635" s="2" t="s">
        <v>985</v>
      </c>
      <c r="C2635" s="5" t="s">
        <v>4641</v>
      </c>
      <c r="D2635" s="2" t="s">
        <v>4642</v>
      </c>
    </row>
    <row r="2636" spans="1:4" ht="13.05" customHeight="1" x14ac:dyDescent="0.3">
      <c r="A2636" s="2" t="s">
        <v>352</v>
      </c>
      <c r="B2636" s="2" t="s">
        <v>985</v>
      </c>
      <c r="C2636" s="5" t="s">
        <v>4643</v>
      </c>
      <c r="D2636" s="2" t="s">
        <v>4644</v>
      </c>
    </row>
    <row r="2637" spans="1:4" ht="13.05" customHeight="1" x14ac:dyDescent="0.3">
      <c r="A2637" s="2" t="s">
        <v>352</v>
      </c>
      <c r="B2637" s="2" t="s">
        <v>985</v>
      </c>
      <c r="C2637" s="5" t="s">
        <v>4645</v>
      </c>
      <c r="D2637" s="2" t="s">
        <v>4646</v>
      </c>
    </row>
    <row r="2638" spans="1:4" ht="13.05" customHeight="1" x14ac:dyDescent="0.3">
      <c r="A2638" s="2" t="s">
        <v>352</v>
      </c>
      <c r="B2638" s="2" t="s">
        <v>985</v>
      </c>
      <c r="C2638" s="5" t="s">
        <v>4647</v>
      </c>
      <c r="D2638" s="2" t="s">
        <v>4648</v>
      </c>
    </row>
    <row r="2639" spans="1:4" ht="13.05" customHeight="1" x14ac:dyDescent="0.3">
      <c r="A2639" s="2" t="s">
        <v>352</v>
      </c>
      <c r="B2639" s="2" t="s">
        <v>985</v>
      </c>
      <c r="C2639" s="5" t="s">
        <v>4649</v>
      </c>
      <c r="D2639" s="2" t="s">
        <v>4650</v>
      </c>
    </row>
    <row r="2640" spans="1:4" ht="13.05" customHeight="1" x14ac:dyDescent="0.3">
      <c r="A2640" s="2" t="s">
        <v>352</v>
      </c>
      <c r="B2640" s="2" t="s">
        <v>985</v>
      </c>
      <c r="C2640" s="5" t="s">
        <v>4651</v>
      </c>
      <c r="D2640" s="2" t="s">
        <v>4652</v>
      </c>
    </row>
    <row r="2641" spans="1:4" ht="13.05" customHeight="1" x14ac:dyDescent="0.3">
      <c r="A2641" s="2" t="s">
        <v>352</v>
      </c>
      <c r="B2641" s="2" t="s">
        <v>985</v>
      </c>
      <c r="C2641" s="5" t="s">
        <v>4653</v>
      </c>
      <c r="D2641" s="2" t="s">
        <v>4654</v>
      </c>
    </row>
    <row r="2642" spans="1:4" ht="13.05" customHeight="1" x14ac:dyDescent="0.3">
      <c r="A2642" s="2" t="s">
        <v>352</v>
      </c>
      <c r="B2642" s="2" t="s">
        <v>985</v>
      </c>
      <c r="C2642" s="5" t="s">
        <v>4655</v>
      </c>
      <c r="D2642" s="2" t="s">
        <v>4656</v>
      </c>
    </row>
    <row r="2643" spans="1:4" ht="13.05" customHeight="1" x14ac:dyDescent="0.3">
      <c r="A2643" s="2" t="s">
        <v>352</v>
      </c>
      <c r="B2643" s="2" t="s">
        <v>985</v>
      </c>
      <c r="C2643" s="5" t="s">
        <v>4657</v>
      </c>
      <c r="D2643" s="2" t="s">
        <v>4658</v>
      </c>
    </row>
    <row r="2644" spans="1:4" ht="13.05" customHeight="1" x14ac:dyDescent="0.3">
      <c r="A2644" s="2" t="s">
        <v>352</v>
      </c>
      <c r="B2644" s="2" t="s">
        <v>985</v>
      </c>
      <c r="C2644" s="5" t="s">
        <v>4659</v>
      </c>
      <c r="D2644" s="2" t="s">
        <v>3356</v>
      </c>
    </row>
    <row r="2645" spans="1:4" ht="13.05" customHeight="1" x14ac:dyDescent="0.3">
      <c r="A2645" s="2" t="s">
        <v>352</v>
      </c>
      <c r="B2645" s="2" t="s">
        <v>985</v>
      </c>
      <c r="C2645" s="5" t="s">
        <v>4660</v>
      </c>
      <c r="D2645" s="2" t="s">
        <v>3358</v>
      </c>
    </row>
    <row r="2646" spans="1:4" ht="13.05" customHeight="1" x14ac:dyDescent="0.3">
      <c r="A2646" s="2" t="s">
        <v>352</v>
      </c>
      <c r="B2646" s="2" t="s">
        <v>985</v>
      </c>
      <c r="C2646" s="5" t="s">
        <v>4661</v>
      </c>
      <c r="D2646" s="2" t="s">
        <v>4662</v>
      </c>
    </row>
    <row r="2647" spans="1:4" ht="13.05" customHeight="1" x14ac:dyDescent="0.3">
      <c r="A2647" s="2" t="s">
        <v>352</v>
      </c>
      <c r="B2647" s="2" t="s">
        <v>985</v>
      </c>
      <c r="C2647" s="5" t="s">
        <v>4663</v>
      </c>
      <c r="D2647" s="2" t="s">
        <v>4664</v>
      </c>
    </row>
    <row r="2648" spans="1:4" ht="13.05" customHeight="1" x14ac:dyDescent="0.3">
      <c r="A2648" s="2" t="s">
        <v>352</v>
      </c>
      <c r="B2648" s="2" t="s">
        <v>985</v>
      </c>
      <c r="C2648" s="5" t="s">
        <v>4665</v>
      </c>
      <c r="D2648" s="2" t="s">
        <v>4666</v>
      </c>
    </row>
    <row r="2649" spans="1:4" ht="13.05" customHeight="1" x14ac:dyDescent="0.3">
      <c r="A2649" s="2" t="s">
        <v>352</v>
      </c>
      <c r="B2649" s="2" t="s">
        <v>985</v>
      </c>
      <c r="C2649" s="5" t="s">
        <v>4667</v>
      </c>
      <c r="D2649" s="2" t="s">
        <v>3244</v>
      </c>
    </row>
    <row r="2650" spans="1:4" ht="13.05" customHeight="1" x14ac:dyDescent="0.3">
      <c r="A2650" s="2" t="s">
        <v>352</v>
      </c>
      <c r="B2650" s="2" t="s">
        <v>985</v>
      </c>
      <c r="C2650" s="5" t="s">
        <v>4668</v>
      </c>
      <c r="D2650" s="2" t="s">
        <v>3358</v>
      </c>
    </row>
    <row r="2651" spans="1:4" ht="13.05" customHeight="1" x14ac:dyDescent="0.3">
      <c r="A2651" s="2" t="s">
        <v>352</v>
      </c>
      <c r="B2651" s="2" t="s">
        <v>985</v>
      </c>
      <c r="C2651" s="5" t="s">
        <v>4669</v>
      </c>
      <c r="D2651" s="2" t="s">
        <v>4670</v>
      </c>
    </row>
    <row r="2652" spans="1:4" ht="13.05" customHeight="1" x14ac:dyDescent="0.3">
      <c r="A2652" s="2" t="s">
        <v>352</v>
      </c>
      <c r="B2652" s="2" t="s">
        <v>985</v>
      </c>
      <c r="C2652" s="5" t="s">
        <v>4671</v>
      </c>
      <c r="D2652" s="2" t="s">
        <v>4672</v>
      </c>
    </row>
    <row r="2653" spans="1:4" ht="13.05" customHeight="1" x14ac:dyDescent="0.3">
      <c r="A2653" s="2" t="s">
        <v>352</v>
      </c>
      <c r="B2653" s="2" t="s">
        <v>985</v>
      </c>
      <c r="C2653" s="5" t="s">
        <v>4673</v>
      </c>
      <c r="D2653" s="2" t="s">
        <v>4674</v>
      </c>
    </row>
    <row r="2654" spans="1:4" ht="13.05" customHeight="1" x14ac:dyDescent="0.3">
      <c r="A2654" s="2" t="s">
        <v>352</v>
      </c>
      <c r="B2654" s="2" t="s">
        <v>985</v>
      </c>
      <c r="C2654" s="5" t="s">
        <v>4675</v>
      </c>
      <c r="D2654" s="2" t="s">
        <v>4676</v>
      </c>
    </row>
    <row r="2655" spans="1:4" ht="13.05" customHeight="1" x14ac:dyDescent="0.3">
      <c r="A2655" s="2" t="s">
        <v>352</v>
      </c>
      <c r="B2655" s="2" t="s">
        <v>985</v>
      </c>
      <c r="C2655" s="5" t="s">
        <v>4677</v>
      </c>
      <c r="D2655" s="2" t="s">
        <v>4678</v>
      </c>
    </row>
    <row r="2656" spans="1:4" ht="13.05" customHeight="1" x14ac:dyDescent="0.3">
      <c r="A2656" s="2" t="s">
        <v>352</v>
      </c>
      <c r="B2656" s="2" t="s">
        <v>985</v>
      </c>
      <c r="C2656" s="5" t="s">
        <v>4679</v>
      </c>
      <c r="D2656" s="2" t="s">
        <v>4680</v>
      </c>
    </row>
    <row r="2657" spans="1:4" ht="13.05" customHeight="1" x14ac:dyDescent="0.3">
      <c r="A2657" s="2" t="s">
        <v>352</v>
      </c>
      <c r="B2657" s="2" t="s">
        <v>985</v>
      </c>
      <c r="C2657" s="5" t="s">
        <v>4681</v>
      </c>
      <c r="D2657" s="2" t="s">
        <v>4682</v>
      </c>
    </row>
    <row r="2658" spans="1:4" ht="13.05" customHeight="1" x14ac:dyDescent="0.3">
      <c r="A2658" s="2" t="s">
        <v>352</v>
      </c>
      <c r="B2658" s="2" t="s">
        <v>985</v>
      </c>
      <c r="C2658" s="5" t="s">
        <v>4683</v>
      </c>
      <c r="D2658" s="2" t="s">
        <v>4684</v>
      </c>
    </row>
    <row r="2659" spans="1:4" ht="13.05" customHeight="1" x14ac:dyDescent="0.3">
      <c r="A2659" s="2" t="s">
        <v>352</v>
      </c>
      <c r="B2659" s="2" t="s">
        <v>985</v>
      </c>
      <c r="C2659" s="5" t="s">
        <v>4685</v>
      </c>
      <c r="D2659" s="2" t="s">
        <v>4686</v>
      </c>
    </row>
    <row r="2660" spans="1:4" ht="13.05" customHeight="1" x14ac:dyDescent="0.3">
      <c r="A2660" s="2" t="s">
        <v>352</v>
      </c>
      <c r="B2660" s="2" t="s">
        <v>985</v>
      </c>
      <c r="C2660" s="5" t="s">
        <v>4687</v>
      </c>
      <c r="D2660" s="2" t="s">
        <v>4688</v>
      </c>
    </row>
    <row r="2661" spans="1:4" ht="13.05" customHeight="1" x14ac:dyDescent="0.3">
      <c r="A2661" s="2" t="s">
        <v>352</v>
      </c>
      <c r="B2661" s="2" t="s">
        <v>985</v>
      </c>
      <c r="C2661" s="5" t="s">
        <v>4689</v>
      </c>
      <c r="D2661" s="2" t="s">
        <v>4690</v>
      </c>
    </row>
    <row r="2662" spans="1:4" ht="13.05" customHeight="1" x14ac:dyDescent="0.3">
      <c r="A2662" s="2" t="s">
        <v>352</v>
      </c>
      <c r="B2662" s="2" t="s">
        <v>985</v>
      </c>
      <c r="C2662" s="5" t="s">
        <v>4691</v>
      </c>
      <c r="D2662" s="2" t="s">
        <v>4692</v>
      </c>
    </row>
    <row r="2663" spans="1:4" ht="13.05" customHeight="1" x14ac:dyDescent="0.3">
      <c r="A2663" s="2" t="s">
        <v>352</v>
      </c>
      <c r="B2663" s="2" t="s">
        <v>985</v>
      </c>
      <c r="C2663" s="5" t="s">
        <v>4693</v>
      </c>
      <c r="D2663" s="2" t="s">
        <v>4694</v>
      </c>
    </row>
    <row r="2664" spans="1:4" ht="13.05" customHeight="1" x14ac:dyDescent="0.3">
      <c r="A2664" s="2" t="s">
        <v>352</v>
      </c>
      <c r="B2664" s="2" t="s">
        <v>985</v>
      </c>
      <c r="C2664" s="5" t="s">
        <v>4695</v>
      </c>
      <c r="D2664" s="2" t="s">
        <v>4696</v>
      </c>
    </row>
    <row r="2665" spans="1:4" ht="13.05" customHeight="1" x14ac:dyDescent="0.3">
      <c r="A2665" s="2" t="s">
        <v>352</v>
      </c>
      <c r="B2665" s="2" t="s">
        <v>985</v>
      </c>
      <c r="C2665" s="5" t="s">
        <v>4697</v>
      </c>
      <c r="D2665" s="2" t="s">
        <v>4698</v>
      </c>
    </row>
    <row r="2666" spans="1:4" ht="13.05" customHeight="1" x14ac:dyDescent="0.3">
      <c r="A2666" s="2" t="s">
        <v>352</v>
      </c>
      <c r="B2666" s="2" t="s">
        <v>985</v>
      </c>
      <c r="C2666" s="5" t="s">
        <v>4699</v>
      </c>
      <c r="D2666" s="2" t="s">
        <v>4700</v>
      </c>
    </row>
    <row r="2667" spans="1:4" ht="13.05" customHeight="1" x14ac:dyDescent="0.3">
      <c r="A2667" s="2" t="s">
        <v>352</v>
      </c>
      <c r="B2667" s="2" t="s">
        <v>985</v>
      </c>
      <c r="C2667" s="5" t="s">
        <v>4701</v>
      </c>
      <c r="D2667" s="2" t="s">
        <v>4702</v>
      </c>
    </row>
    <row r="2668" spans="1:4" ht="13.05" customHeight="1" x14ac:dyDescent="0.3">
      <c r="A2668" s="2" t="s">
        <v>352</v>
      </c>
      <c r="B2668" s="2" t="s">
        <v>985</v>
      </c>
      <c r="C2668" s="5" t="s">
        <v>4703</v>
      </c>
      <c r="D2668" s="2" t="s">
        <v>4704</v>
      </c>
    </row>
    <row r="2669" spans="1:4" ht="13.05" customHeight="1" x14ac:dyDescent="0.3">
      <c r="A2669" s="2" t="s">
        <v>352</v>
      </c>
      <c r="B2669" s="2" t="s">
        <v>985</v>
      </c>
      <c r="C2669" s="5" t="s">
        <v>4705</v>
      </c>
      <c r="D2669" s="2" t="s">
        <v>4706</v>
      </c>
    </row>
    <row r="2670" spans="1:4" ht="13.05" customHeight="1" x14ac:dyDescent="0.3">
      <c r="A2670" s="2" t="s">
        <v>352</v>
      </c>
      <c r="B2670" s="2" t="s">
        <v>985</v>
      </c>
      <c r="C2670" s="5" t="s">
        <v>4707</v>
      </c>
      <c r="D2670" s="2" t="s">
        <v>4708</v>
      </c>
    </row>
    <row r="2671" spans="1:4" ht="13.05" customHeight="1" x14ac:dyDescent="0.3">
      <c r="A2671" s="2" t="s">
        <v>352</v>
      </c>
      <c r="B2671" s="2" t="s">
        <v>985</v>
      </c>
      <c r="C2671" s="5" t="s">
        <v>4709</v>
      </c>
      <c r="D2671" s="2" t="s">
        <v>4710</v>
      </c>
    </row>
    <row r="2672" spans="1:4" ht="13.05" customHeight="1" x14ac:dyDescent="0.3">
      <c r="A2672" s="2" t="s">
        <v>352</v>
      </c>
      <c r="B2672" s="2" t="s">
        <v>985</v>
      </c>
      <c r="C2672" s="5" t="s">
        <v>4711</v>
      </c>
      <c r="D2672" s="2" t="s">
        <v>4712</v>
      </c>
    </row>
    <row r="2673" spans="1:4" ht="13.05" customHeight="1" x14ac:dyDescent="0.3">
      <c r="A2673" s="2" t="s">
        <v>352</v>
      </c>
      <c r="B2673" s="2" t="s">
        <v>985</v>
      </c>
      <c r="C2673" s="5" t="s">
        <v>4713</v>
      </c>
      <c r="D2673" s="2" t="s">
        <v>4714</v>
      </c>
    </row>
    <row r="2674" spans="1:4" ht="13.05" customHeight="1" x14ac:dyDescent="0.3">
      <c r="A2674" s="2" t="s">
        <v>352</v>
      </c>
      <c r="B2674" s="2" t="s">
        <v>985</v>
      </c>
      <c r="C2674" s="5" t="s">
        <v>4715</v>
      </c>
      <c r="D2674" s="2" t="s">
        <v>4716</v>
      </c>
    </row>
    <row r="2675" spans="1:4" ht="13.05" customHeight="1" x14ac:dyDescent="0.3">
      <c r="A2675" s="2" t="s">
        <v>352</v>
      </c>
      <c r="B2675" s="2" t="s">
        <v>985</v>
      </c>
      <c r="C2675" s="5" t="s">
        <v>4717</v>
      </c>
      <c r="D2675" s="2" t="s">
        <v>4718</v>
      </c>
    </row>
    <row r="2676" spans="1:4" ht="13.05" customHeight="1" x14ac:dyDescent="0.3">
      <c r="A2676" s="2" t="s">
        <v>352</v>
      </c>
      <c r="B2676" s="2" t="s">
        <v>985</v>
      </c>
      <c r="C2676" s="5" t="s">
        <v>4719</v>
      </c>
      <c r="D2676" s="2" t="s">
        <v>3356</v>
      </c>
    </row>
    <row r="2677" spans="1:4" ht="13.05" customHeight="1" x14ac:dyDescent="0.3">
      <c r="A2677" s="2" t="s">
        <v>352</v>
      </c>
      <c r="B2677" s="2" t="s">
        <v>985</v>
      </c>
      <c r="C2677" s="5" t="s">
        <v>4720</v>
      </c>
      <c r="D2677" s="2" t="s">
        <v>3358</v>
      </c>
    </row>
    <row r="2678" spans="1:4" ht="13.05" customHeight="1" x14ac:dyDescent="0.3">
      <c r="A2678" s="2" t="s">
        <v>352</v>
      </c>
      <c r="B2678" s="2" t="s">
        <v>985</v>
      </c>
      <c r="C2678" s="5" t="s">
        <v>4721</v>
      </c>
      <c r="D2678" s="2" t="s">
        <v>4722</v>
      </c>
    </row>
    <row r="2679" spans="1:4" ht="13.05" customHeight="1" x14ac:dyDescent="0.3">
      <c r="A2679" s="2" t="s">
        <v>352</v>
      </c>
      <c r="B2679" s="2" t="s">
        <v>985</v>
      </c>
      <c r="C2679" s="5" t="s">
        <v>4723</v>
      </c>
      <c r="D2679" s="2" t="s">
        <v>4724</v>
      </c>
    </row>
    <row r="2680" spans="1:4" ht="13.05" customHeight="1" x14ac:dyDescent="0.3">
      <c r="A2680" s="2" t="s">
        <v>352</v>
      </c>
      <c r="B2680" s="2" t="s">
        <v>985</v>
      </c>
      <c r="C2680" s="5" t="s">
        <v>4725</v>
      </c>
      <c r="D2680" s="2" t="s">
        <v>4726</v>
      </c>
    </row>
    <row r="2681" spans="1:4" ht="13.05" customHeight="1" x14ac:dyDescent="0.3">
      <c r="A2681" s="2" t="s">
        <v>352</v>
      </c>
      <c r="B2681" s="2" t="s">
        <v>985</v>
      </c>
      <c r="C2681" s="5" t="s">
        <v>4727</v>
      </c>
      <c r="D2681" s="2" t="s">
        <v>4728</v>
      </c>
    </row>
    <row r="2682" spans="1:4" ht="13.05" customHeight="1" x14ac:dyDescent="0.3">
      <c r="A2682" s="2" t="s">
        <v>352</v>
      </c>
      <c r="B2682" s="2" t="s">
        <v>985</v>
      </c>
      <c r="C2682" s="5" t="s">
        <v>4729</v>
      </c>
      <c r="D2682" s="2" t="s">
        <v>4730</v>
      </c>
    </row>
    <row r="2683" spans="1:4" ht="13.05" customHeight="1" x14ac:dyDescent="0.3">
      <c r="A2683" s="2" t="s">
        <v>352</v>
      </c>
      <c r="B2683" s="2" t="s">
        <v>985</v>
      </c>
      <c r="C2683" s="5" t="s">
        <v>4731</v>
      </c>
      <c r="D2683" s="2" t="s">
        <v>4732</v>
      </c>
    </row>
    <row r="2684" spans="1:4" ht="13.05" customHeight="1" x14ac:dyDescent="0.3">
      <c r="A2684" s="2" t="s">
        <v>352</v>
      </c>
      <c r="B2684" s="2" t="s">
        <v>985</v>
      </c>
      <c r="C2684" s="5" t="s">
        <v>4733</v>
      </c>
      <c r="D2684" s="2" t="s">
        <v>3276</v>
      </c>
    </row>
    <row r="2685" spans="1:4" ht="13.05" customHeight="1" x14ac:dyDescent="0.3">
      <c r="A2685" s="2" t="s">
        <v>352</v>
      </c>
      <c r="B2685" s="2" t="s">
        <v>985</v>
      </c>
      <c r="C2685" s="5" t="s">
        <v>4734</v>
      </c>
      <c r="D2685" s="2" t="s">
        <v>3278</v>
      </c>
    </row>
    <row r="2686" spans="1:4" ht="13.05" customHeight="1" x14ac:dyDescent="0.3">
      <c r="A2686" s="2" t="s">
        <v>352</v>
      </c>
      <c r="B2686" s="2" t="s">
        <v>985</v>
      </c>
      <c r="C2686" s="5" t="s">
        <v>4735</v>
      </c>
      <c r="D2686" s="2" t="s">
        <v>4736</v>
      </c>
    </row>
    <row r="2687" spans="1:4" ht="13.05" customHeight="1" x14ac:dyDescent="0.3">
      <c r="A2687" s="2" t="s">
        <v>352</v>
      </c>
      <c r="B2687" s="2" t="s">
        <v>985</v>
      </c>
      <c r="C2687" s="5" t="s">
        <v>4737</v>
      </c>
      <c r="D2687" s="2" t="s">
        <v>4738</v>
      </c>
    </row>
    <row r="2688" spans="1:4" ht="13.05" customHeight="1" x14ac:dyDescent="0.3">
      <c r="A2688" s="2" t="s">
        <v>352</v>
      </c>
      <c r="B2688" s="2" t="s">
        <v>985</v>
      </c>
      <c r="C2688" s="5" t="s">
        <v>4739</v>
      </c>
      <c r="D2688" s="2" t="s">
        <v>4740</v>
      </c>
    </row>
    <row r="2689" spans="1:4" ht="13.05" customHeight="1" x14ac:dyDescent="0.3">
      <c r="A2689" s="2" t="s">
        <v>352</v>
      </c>
      <c r="B2689" s="2" t="s">
        <v>985</v>
      </c>
      <c r="C2689" s="5" t="s">
        <v>4741</v>
      </c>
      <c r="D2689" s="2" t="s">
        <v>4742</v>
      </c>
    </row>
    <row r="2690" spans="1:4" ht="13.05" customHeight="1" x14ac:dyDescent="0.3">
      <c r="A2690" s="2" t="s">
        <v>352</v>
      </c>
      <c r="B2690" s="2" t="s">
        <v>985</v>
      </c>
      <c r="C2690" s="5" t="s">
        <v>4743</v>
      </c>
      <c r="D2690" s="2" t="s">
        <v>4744</v>
      </c>
    </row>
    <row r="2691" spans="1:4" ht="13.05" customHeight="1" x14ac:dyDescent="0.3">
      <c r="A2691" s="2" t="s">
        <v>352</v>
      </c>
      <c r="B2691" s="2" t="s">
        <v>985</v>
      </c>
      <c r="C2691" s="5" t="s">
        <v>4745</v>
      </c>
      <c r="D2691" s="2" t="s">
        <v>4746</v>
      </c>
    </row>
    <row r="2692" spans="1:4" ht="13.05" customHeight="1" x14ac:dyDescent="0.3">
      <c r="A2692" s="2" t="s">
        <v>352</v>
      </c>
      <c r="B2692" s="2" t="s">
        <v>985</v>
      </c>
      <c r="C2692" s="5" t="s">
        <v>4747</v>
      </c>
      <c r="D2692" s="2" t="s">
        <v>4748</v>
      </c>
    </row>
    <row r="2693" spans="1:4" ht="13.05" customHeight="1" x14ac:dyDescent="0.3">
      <c r="A2693" s="2" t="s">
        <v>352</v>
      </c>
      <c r="B2693" s="2" t="s">
        <v>985</v>
      </c>
      <c r="C2693" s="5" t="s">
        <v>4749</v>
      </c>
      <c r="D2693" s="2" t="s">
        <v>4750</v>
      </c>
    </row>
    <row r="2694" spans="1:4" ht="13.05" customHeight="1" x14ac:dyDescent="0.3">
      <c r="A2694" s="2" t="s">
        <v>352</v>
      </c>
      <c r="B2694" s="2" t="s">
        <v>985</v>
      </c>
      <c r="C2694" s="5" t="s">
        <v>4751</v>
      </c>
      <c r="D2694" s="2" t="s">
        <v>4752</v>
      </c>
    </row>
    <row r="2695" spans="1:4" ht="13.05" customHeight="1" x14ac:dyDescent="0.3">
      <c r="A2695" s="2" t="s">
        <v>352</v>
      </c>
      <c r="B2695" s="2" t="s">
        <v>985</v>
      </c>
      <c r="C2695" s="5" t="s">
        <v>4753</v>
      </c>
      <c r="D2695" s="2" t="s">
        <v>4754</v>
      </c>
    </row>
    <row r="2696" spans="1:4" ht="13.05" customHeight="1" x14ac:dyDescent="0.3">
      <c r="A2696" s="2" t="s">
        <v>352</v>
      </c>
      <c r="B2696" s="2" t="s">
        <v>985</v>
      </c>
      <c r="C2696" s="5" t="s">
        <v>4755</v>
      </c>
      <c r="D2696" s="2" t="s">
        <v>1174</v>
      </c>
    </row>
    <row r="2697" spans="1:4" ht="13.05" customHeight="1" x14ac:dyDescent="0.3">
      <c r="A2697" s="2" t="s">
        <v>352</v>
      </c>
      <c r="B2697" s="2" t="s">
        <v>985</v>
      </c>
      <c r="C2697" s="5" t="s">
        <v>4756</v>
      </c>
      <c r="D2697" s="2" t="s">
        <v>4757</v>
      </c>
    </row>
    <row r="2698" spans="1:4" ht="13.05" customHeight="1" x14ac:dyDescent="0.3">
      <c r="A2698" s="2" t="s">
        <v>352</v>
      </c>
      <c r="B2698" s="2" t="s">
        <v>985</v>
      </c>
      <c r="C2698" s="5" t="s">
        <v>4758</v>
      </c>
      <c r="D2698" s="2" t="s">
        <v>4759</v>
      </c>
    </row>
    <row r="2699" spans="1:4" ht="13.05" customHeight="1" x14ac:dyDescent="0.3">
      <c r="A2699" s="2" t="s">
        <v>352</v>
      </c>
      <c r="B2699" s="2" t="s">
        <v>985</v>
      </c>
      <c r="C2699" s="5" t="s">
        <v>4760</v>
      </c>
      <c r="D2699" s="2" t="s">
        <v>4761</v>
      </c>
    </row>
    <row r="2700" spans="1:4" ht="13.05" customHeight="1" x14ac:dyDescent="0.3">
      <c r="A2700" s="2" t="s">
        <v>352</v>
      </c>
      <c r="B2700" s="2" t="s">
        <v>985</v>
      </c>
      <c r="C2700" s="5" t="s">
        <v>4762</v>
      </c>
      <c r="D2700" s="2" t="s">
        <v>4763</v>
      </c>
    </row>
    <row r="2701" spans="1:4" ht="13.05" customHeight="1" x14ac:dyDescent="0.3">
      <c r="A2701" s="2" t="s">
        <v>352</v>
      </c>
      <c r="B2701" s="2" t="s">
        <v>985</v>
      </c>
      <c r="C2701" s="5" t="s">
        <v>4764</v>
      </c>
      <c r="D2701" s="2" t="s">
        <v>4765</v>
      </c>
    </row>
    <row r="2702" spans="1:4" ht="13.05" customHeight="1" x14ac:dyDescent="0.3">
      <c r="A2702" s="2" t="s">
        <v>352</v>
      </c>
      <c r="B2702" s="2" t="s">
        <v>985</v>
      </c>
      <c r="C2702" s="5" t="s">
        <v>4766</v>
      </c>
      <c r="D2702" s="2" t="s">
        <v>4767</v>
      </c>
    </row>
    <row r="2703" spans="1:4" ht="13.05" customHeight="1" x14ac:dyDescent="0.3">
      <c r="A2703" s="2" t="s">
        <v>352</v>
      </c>
      <c r="B2703" s="2" t="s">
        <v>985</v>
      </c>
      <c r="C2703" s="5" t="s">
        <v>4768</v>
      </c>
      <c r="D2703" s="2" t="s">
        <v>4769</v>
      </c>
    </row>
    <row r="2704" spans="1:4" ht="13.05" customHeight="1" x14ac:dyDescent="0.3">
      <c r="A2704" s="2" t="s">
        <v>352</v>
      </c>
      <c r="B2704" s="2" t="s">
        <v>985</v>
      </c>
      <c r="C2704" s="5" t="s">
        <v>4770</v>
      </c>
      <c r="D2704" s="2" t="s">
        <v>4771</v>
      </c>
    </row>
    <row r="2705" spans="1:4" ht="13.05" customHeight="1" x14ac:dyDescent="0.3">
      <c r="A2705" s="2" t="s">
        <v>352</v>
      </c>
      <c r="B2705" s="2" t="s">
        <v>985</v>
      </c>
      <c r="C2705" s="5" t="s">
        <v>4772</v>
      </c>
      <c r="D2705" s="2" t="s">
        <v>4773</v>
      </c>
    </row>
    <row r="2706" spans="1:4" ht="13.05" customHeight="1" x14ac:dyDescent="0.3">
      <c r="A2706" s="2" t="s">
        <v>352</v>
      </c>
      <c r="B2706" s="2" t="s">
        <v>985</v>
      </c>
      <c r="C2706" s="5" t="s">
        <v>4774</v>
      </c>
      <c r="D2706" s="2" t="s">
        <v>4775</v>
      </c>
    </row>
    <row r="2707" spans="1:4" ht="13.05" customHeight="1" x14ac:dyDescent="0.3">
      <c r="A2707" s="2" t="s">
        <v>352</v>
      </c>
      <c r="B2707" s="2" t="s">
        <v>985</v>
      </c>
      <c r="C2707" s="5" t="s">
        <v>4776</v>
      </c>
      <c r="D2707" s="2" t="s">
        <v>4777</v>
      </c>
    </row>
    <row r="2708" spans="1:4" ht="13.05" customHeight="1" x14ac:dyDescent="0.3">
      <c r="A2708" s="2" t="s">
        <v>352</v>
      </c>
      <c r="B2708" s="2" t="s">
        <v>985</v>
      </c>
      <c r="C2708" s="5" t="s">
        <v>4778</v>
      </c>
      <c r="D2708" s="2" t="s">
        <v>4779</v>
      </c>
    </row>
    <row r="2709" spans="1:4" ht="13.05" customHeight="1" x14ac:dyDescent="0.3">
      <c r="A2709" s="2" t="s">
        <v>352</v>
      </c>
      <c r="B2709" s="2" t="s">
        <v>985</v>
      </c>
      <c r="C2709" s="5" t="s">
        <v>4780</v>
      </c>
      <c r="D2709" s="2" t="s">
        <v>4781</v>
      </c>
    </row>
    <row r="2710" spans="1:4" ht="13.05" customHeight="1" x14ac:dyDescent="0.3">
      <c r="A2710" s="2" t="s">
        <v>352</v>
      </c>
      <c r="B2710" s="2" t="s">
        <v>985</v>
      </c>
      <c r="C2710" s="5" t="s">
        <v>4782</v>
      </c>
      <c r="D2710" s="2" t="s">
        <v>4783</v>
      </c>
    </row>
    <row r="2711" spans="1:4" ht="13.05" customHeight="1" x14ac:dyDescent="0.3">
      <c r="A2711" s="2" t="s">
        <v>352</v>
      </c>
      <c r="B2711" s="2" t="s">
        <v>985</v>
      </c>
      <c r="C2711" s="5" t="s">
        <v>4784</v>
      </c>
      <c r="D2711" s="2" t="s">
        <v>4785</v>
      </c>
    </row>
    <row r="2712" spans="1:4" ht="13.05" customHeight="1" x14ac:dyDescent="0.3">
      <c r="A2712" s="2" t="s">
        <v>352</v>
      </c>
      <c r="B2712" s="2" t="s">
        <v>985</v>
      </c>
      <c r="C2712" s="5" t="s">
        <v>4786</v>
      </c>
      <c r="D2712" s="2" t="s">
        <v>4787</v>
      </c>
    </row>
    <row r="2713" spans="1:4" ht="13.05" customHeight="1" x14ac:dyDescent="0.3">
      <c r="A2713" s="2" t="s">
        <v>352</v>
      </c>
      <c r="B2713" s="2" t="s">
        <v>985</v>
      </c>
      <c r="C2713" s="5" t="s">
        <v>4788</v>
      </c>
      <c r="D2713" s="2" t="s">
        <v>3356</v>
      </c>
    </row>
    <row r="2714" spans="1:4" ht="13.05" customHeight="1" x14ac:dyDescent="0.3">
      <c r="A2714" s="2" t="s">
        <v>352</v>
      </c>
      <c r="B2714" s="2" t="s">
        <v>985</v>
      </c>
      <c r="C2714" s="5" t="s">
        <v>4789</v>
      </c>
      <c r="D2714" s="2" t="s">
        <v>3358</v>
      </c>
    </row>
    <row r="2715" spans="1:4" ht="13.05" customHeight="1" x14ac:dyDescent="0.3">
      <c r="A2715" s="2" t="s">
        <v>352</v>
      </c>
      <c r="B2715" s="2" t="s">
        <v>985</v>
      </c>
      <c r="C2715" s="5" t="s">
        <v>4790</v>
      </c>
      <c r="D2715" s="2" t="s">
        <v>4791</v>
      </c>
    </row>
    <row r="2716" spans="1:4" ht="13.05" customHeight="1" x14ac:dyDescent="0.3">
      <c r="A2716" s="2" t="s">
        <v>352</v>
      </c>
      <c r="B2716" s="2" t="s">
        <v>985</v>
      </c>
      <c r="C2716" s="5" t="s">
        <v>4792</v>
      </c>
      <c r="D2716" s="2" t="s">
        <v>4793</v>
      </c>
    </row>
    <row r="2717" spans="1:4" ht="13.05" customHeight="1" x14ac:dyDescent="0.3">
      <c r="A2717" s="2" t="s">
        <v>352</v>
      </c>
      <c r="B2717" s="2" t="s">
        <v>985</v>
      </c>
      <c r="C2717" s="5" t="s">
        <v>4794</v>
      </c>
      <c r="D2717" s="2" t="s">
        <v>4795</v>
      </c>
    </row>
    <row r="2718" spans="1:4" ht="13.05" customHeight="1" x14ac:dyDescent="0.3">
      <c r="A2718" s="2" t="s">
        <v>352</v>
      </c>
      <c r="B2718" s="2" t="s">
        <v>985</v>
      </c>
      <c r="C2718" s="5" t="s">
        <v>4796</v>
      </c>
      <c r="D2718" s="2" t="s">
        <v>4797</v>
      </c>
    </row>
    <row r="2719" spans="1:4" ht="13.05" customHeight="1" x14ac:dyDescent="0.3">
      <c r="A2719" s="2" t="s">
        <v>352</v>
      </c>
      <c r="B2719" s="2" t="s">
        <v>985</v>
      </c>
      <c r="C2719" s="5" t="s">
        <v>4798</v>
      </c>
      <c r="D2719" s="2" t="s">
        <v>3459</v>
      </c>
    </row>
    <row r="2720" spans="1:4" ht="13.05" customHeight="1" x14ac:dyDescent="0.3">
      <c r="A2720" s="2" t="s">
        <v>352</v>
      </c>
      <c r="B2720" s="2" t="s">
        <v>985</v>
      </c>
      <c r="C2720" s="5" t="s">
        <v>4799</v>
      </c>
      <c r="D2720" s="2" t="s">
        <v>3981</v>
      </c>
    </row>
    <row r="2721" spans="1:4" ht="13.05" customHeight="1" x14ac:dyDescent="0.3">
      <c r="A2721" s="2" t="s">
        <v>352</v>
      </c>
      <c r="B2721" s="2" t="s">
        <v>985</v>
      </c>
      <c r="C2721" s="5" t="s">
        <v>4800</v>
      </c>
      <c r="D2721" s="2" t="s">
        <v>3276</v>
      </c>
    </row>
    <row r="2722" spans="1:4" ht="13.05" customHeight="1" x14ac:dyDescent="0.3">
      <c r="A2722" s="2" t="s">
        <v>352</v>
      </c>
      <c r="B2722" s="2" t="s">
        <v>985</v>
      </c>
      <c r="C2722" s="5" t="s">
        <v>4801</v>
      </c>
      <c r="D2722" s="2" t="s">
        <v>3300</v>
      </c>
    </row>
    <row r="2723" spans="1:4" ht="13.05" customHeight="1" x14ac:dyDescent="0.3">
      <c r="A2723" s="2" t="s">
        <v>352</v>
      </c>
      <c r="B2723" s="2" t="s">
        <v>985</v>
      </c>
      <c r="C2723" s="5" t="s">
        <v>4802</v>
      </c>
      <c r="D2723" s="2" t="s">
        <v>3477</v>
      </c>
    </row>
    <row r="2724" spans="1:4" ht="13.05" customHeight="1" x14ac:dyDescent="0.3">
      <c r="A2724" s="2" t="s">
        <v>352</v>
      </c>
      <c r="B2724" s="2" t="s">
        <v>985</v>
      </c>
      <c r="C2724" s="5" t="s">
        <v>4803</v>
      </c>
      <c r="D2724" s="2" t="s">
        <v>3481</v>
      </c>
    </row>
    <row r="2725" spans="1:4" ht="13.05" customHeight="1" x14ac:dyDescent="0.3">
      <c r="A2725" s="2" t="s">
        <v>352</v>
      </c>
      <c r="B2725" s="2" t="s">
        <v>985</v>
      </c>
      <c r="C2725" s="5" t="s">
        <v>4804</v>
      </c>
      <c r="D2725" s="2" t="s">
        <v>3483</v>
      </c>
    </row>
    <row r="2726" spans="1:4" ht="13.05" customHeight="1" x14ac:dyDescent="0.3">
      <c r="A2726" s="2" t="s">
        <v>352</v>
      </c>
      <c r="B2726" s="2" t="s">
        <v>985</v>
      </c>
      <c r="C2726" s="5" t="s">
        <v>4805</v>
      </c>
      <c r="D2726" s="2" t="s">
        <v>3485</v>
      </c>
    </row>
    <row r="2727" spans="1:4" ht="13.05" customHeight="1" x14ac:dyDescent="0.3">
      <c r="A2727" s="2" t="s">
        <v>352</v>
      </c>
      <c r="B2727" s="2" t="s">
        <v>985</v>
      </c>
      <c r="C2727" s="5" t="s">
        <v>4806</v>
      </c>
      <c r="D2727" s="2" t="s">
        <v>3676</v>
      </c>
    </row>
    <row r="2728" spans="1:4" ht="13.05" customHeight="1" x14ac:dyDescent="0.3">
      <c r="A2728" s="2" t="s">
        <v>352</v>
      </c>
      <c r="B2728" s="2" t="s">
        <v>985</v>
      </c>
      <c r="C2728" s="5" t="s">
        <v>4807</v>
      </c>
      <c r="D2728" s="2" t="s">
        <v>3489</v>
      </c>
    </row>
    <row r="2729" spans="1:4" ht="13.05" customHeight="1" x14ac:dyDescent="0.3">
      <c r="A2729" s="2" t="s">
        <v>352</v>
      </c>
      <c r="B2729" s="2" t="s">
        <v>985</v>
      </c>
      <c r="C2729" s="5" t="s">
        <v>4808</v>
      </c>
      <c r="D2729" s="2" t="s">
        <v>3304</v>
      </c>
    </row>
    <row r="2730" spans="1:4" ht="13.05" customHeight="1" x14ac:dyDescent="0.3">
      <c r="A2730" s="2" t="s">
        <v>352</v>
      </c>
      <c r="B2730" s="2" t="s">
        <v>985</v>
      </c>
      <c r="C2730" s="5" t="s">
        <v>4809</v>
      </c>
      <c r="D2730" s="2" t="s">
        <v>3492</v>
      </c>
    </row>
    <row r="2731" spans="1:4" ht="13.05" customHeight="1" x14ac:dyDescent="0.3">
      <c r="A2731" s="2" t="s">
        <v>352</v>
      </c>
      <c r="B2731" s="2" t="s">
        <v>985</v>
      </c>
      <c r="C2731" s="5" t="s">
        <v>4810</v>
      </c>
      <c r="D2731" s="2" t="s">
        <v>3308</v>
      </c>
    </row>
    <row r="2732" spans="1:4" ht="13.05" customHeight="1" x14ac:dyDescent="0.3">
      <c r="A2732" s="2" t="s">
        <v>352</v>
      </c>
      <c r="B2732" s="2" t="s">
        <v>985</v>
      </c>
      <c r="C2732" s="5" t="s">
        <v>4811</v>
      </c>
      <c r="D2732" s="2" t="s">
        <v>4812</v>
      </c>
    </row>
    <row r="2733" spans="1:4" ht="13.05" customHeight="1" x14ac:dyDescent="0.3">
      <c r="A2733" s="2" t="s">
        <v>352</v>
      </c>
      <c r="B2733" s="2" t="s">
        <v>985</v>
      </c>
      <c r="C2733" s="5" t="s">
        <v>4813</v>
      </c>
      <c r="D2733" s="2" t="s">
        <v>3497</v>
      </c>
    </row>
    <row r="2734" spans="1:4" ht="13.05" customHeight="1" x14ac:dyDescent="0.3">
      <c r="A2734" s="2" t="s">
        <v>352</v>
      </c>
      <c r="B2734" s="2" t="s">
        <v>985</v>
      </c>
      <c r="C2734" s="5" t="s">
        <v>4814</v>
      </c>
      <c r="D2734" s="2" t="s">
        <v>4815</v>
      </c>
    </row>
    <row r="2735" spans="1:4" ht="13.05" customHeight="1" x14ac:dyDescent="0.3">
      <c r="A2735" s="2" t="s">
        <v>352</v>
      </c>
      <c r="B2735" s="2" t="s">
        <v>985</v>
      </c>
      <c r="C2735" s="5" t="s">
        <v>4816</v>
      </c>
      <c r="D2735" s="2" t="s">
        <v>4817</v>
      </c>
    </row>
    <row r="2736" spans="1:4" ht="13.05" customHeight="1" x14ac:dyDescent="0.3">
      <c r="A2736" s="2" t="s">
        <v>352</v>
      </c>
      <c r="B2736" s="2" t="s">
        <v>985</v>
      </c>
      <c r="C2736" s="5" t="s">
        <v>4818</v>
      </c>
      <c r="D2736" s="2" t="s">
        <v>4819</v>
      </c>
    </row>
    <row r="2737" spans="1:4" ht="13.05" customHeight="1" x14ac:dyDescent="0.3">
      <c r="A2737" s="2" t="s">
        <v>352</v>
      </c>
      <c r="B2737" s="2" t="s">
        <v>985</v>
      </c>
      <c r="C2737" s="5" t="s">
        <v>4820</v>
      </c>
      <c r="D2737" s="2" t="s">
        <v>4821</v>
      </c>
    </row>
    <row r="2738" spans="1:4" ht="13.05" customHeight="1" x14ac:dyDescent="0.3">
      <c r="A2738" s="2" t="s">
        <v>352</v>
      </c>
      <c r="B2738" s="2" t="s">
        <v>985</v>
      </c>
      <c r="C2738" s="5" t="s">
        <v>4822</v>
      </c>
      <c r="D2738" s="2" t="s">
        <v>4823</v>
      </c>
    </row>
    <row r="2739" spans="1:4" ht="13.05" customHeight="1" x14ac:dyDescent="0.3">
      <c r="A2739" s="2" t="s">
        <v>352</v>
      </c>
      <c r="B2739" s="2" t="s">
        <v>985</v>
      </c>
      <c r="C2739" s="5" t="s">
        <v>4824</v>
      </c>
      <c r="D2739" s="2" t="s">
        <v>4825</v>
      </c>
    </row>
    <row r="2740" spans="1:4" ht="13.05" customHeight="1" x14ac:dyDescent="0.3">
      <c r="A2740" s="2" t="s">
        <v>352</v>
      </c>
      <c r="B2740" s="2" t="s">
        <v>985</v>
      </c>
      <c r="C2740" s="5" t="s">
        <v>4826</v>
      </c>
      <c r="D2740" s="2" t="s">
        <v>4827</v>
      </c>
    </row>
    <row r="2741" spans="1:4" ht="13.05" customHeight="1" x14ac:dyDescent="0.3">
      <c r="A2741" s="2" t="s">
        <v>352</v>
      </c>
      <c r="B2741" s="2" t="s">
        <v>985</v>
      </c>
      <c r="C2741" s="5" t="s">
        <v>4828</v>
      </c>
      <c r="D2741" s="2" t="s">
        <v>4829</v>
      </c>
    </row>
    <row r="2742" spans="1:4" ht="13.05" customHeight="1" x14ac:dyDescent="0.3">
      <c r="A2742" s="2" t="s">
        <v>352</v>
      </c>
      <c r="B2742" s="2" t="s">
        <v>985</v>
      </c>
      <c r="C2742" s="5" t="s">
        <v>4830</v>
      </c>
      <c r="D2742" s="2" t="s">
        <v>3244</v>
      </c>
    </row>
    <row r="2743" spans="1:4" ht="13.05" customHeight="1" x14ac:dyDescent="0.3">
      <c r="A2743" s="2" t="s">
        <v>352</v>
      </c>
      <c r="B2743" s="2" t="s">
        <v>985</v>
      </c>
      <c r="C2743" s="5" t="s">
        <v>4831</v>
      </c>
      <c r="D2743" s="2" t="s">
        <v>3246</v>
      </c>
    </row>
    <row r="2744" spans="1:4" ht="13.05" customHeight="1" x14ac:dyDescent="0.3">
      <c r="A2744" s="2" t="s">
        <v>352</v>
      </c>
      <c r="B2744" s="2" t="s">
        <v>985</v>
      </c>
      <c r="C2744" s="5" t="s">
        <v>4832</v>
      </c>
      <c r="D2744" s="2" t="s">
        <v>4833</v>
      </c>
    </row>
    <row r="2745" spans="1:4" ht="13.05" customHeight="1" x14ac:dyDescent="0.3">
      <c r="A2745" s="2" t="s">
        <v>352</v>
      </c>
      <c r="B2745" s="2" t="s">
        <v>985</v>
      </c>
      <c r="C2745" s="5" t="s">
        <v>4834</v>
      </c>
      <c r="D2745" s="2" t="s">
        <v>4835</v>
      </c>
    </row>
    <row r="2746" spans="1:4" ht="13.05" customHeight="1" x14ac:dyDescent="0.3">
      <c r="A2746" s="2" t="s">
        <v>352</v>
      </c>
      <c r="B2746" s="2" t="s">
        <v>985</v>
      </c>
      <c r="C2746" s="5" t="s">
        <v>4836</v>
      </c>
      <c r="D2746" s="2" t="s">
        <v>4837</v>
      </c>
    </row>
    <row r="2747" spans="1:4" ht="13.05" customHeight="1" x14ac:dyDescent="0.3">
      <c r="A2747" s="2" t="s">
        <v>352</v>
      </c>
      <c r="B2747" s="2" t="s">
        <v>985</v>
      </c>
      <c r="C2747" s="5" t="s">
        <v>4838</v>
      </c>
      <c r="D2747" s="2" t="s">
        <v>4839</v>
      </c>
    </row>
    <row r="2748" spans="1:4" ht="13.05" customHeight="1" x14ac:dyDescent="0.3">
      <c r="A2748" s="2" t="s">
        <v>352</v>
      </c>
      <c r="B2748" s="2" t="s">
        <v>985</v>
      </c>
      <c r="C2748" s="5" t="s">
        <v>4840</v>
      </c>
      <c r="D2748" s="2" t="s">
        <v>4841</v>
      </c>
    </row>
    <row r="2749" spans="1:4" ht="13.05" customHeight="1" x14ac:dyDescent="0.3">
      <c r="A2749" s="2" t="s">
        <v>352</v>
      </c>
      <c r="B2749" s="2" t="s">
        <v>985</v>
      </c>
      <c r="C2749" s="5" t="s">
        <v>4842</v>
      </c>
      <c r="D2749" s="2" t="s">
        <v>4843</v>
      </c>
    </row>
    <row r="2750" spans="1:4" ht="13.05" customHeight="1" x14ac:dyDescent="0.3">
      <c r="A2750" s="2" t="s">
        <v>352</v>
      </c>
      <c r="B2750" s="2" t="s">
        <v>985</v>
      </c>
      <c r="C2750" s="5" t="s">
        <v>4844</v>
      </c>
      <c r="D2750" s="2" t="s">
        <v>3244</v>
      </c>
    </row>
    <row r="2751" spans="1:4" ht="13.05" customHeight="1" x14ac:dyDescent="0.3">
      <c r="A2751" s="2" t="s">
        <v>352</v>
      </c>
      <c r="B2751" s="2" t="s">
        <v>985</v>
      </c>
      <c r="C2751" s="5" t="s">
        <v>4845</v>
      </c>
      <c r="D2751" s="2" t="s">
        <v>3246</v>
      </c>
    </row>
    <row r="2752" spans="1:4" ht="13.05" customHeight="1" x14ac:dyDescent="0.3">
      <c r="A2752" s="2" t="s">
        <v>352</v>
      </c>
      <c r="B2752" s="2" t="s">
        <v>985</v>
      </c>
      <c r="C2752" s="5" t="s">
        <v>4846</v>
      </c>
      <c r="D2752" s="2" t="s">
        <v>4847</v>
      </c>
    </row>
    <row r="2753" spans="1:4" ht="13.05" customHeight="1" x14ac:dyDescent="0.3">
      <c r="A2753" s="2" t="s">
        <v>352</v>
      </c>
      <c r="B2753" s="2" t="s">
        <v>985</v>
      </c>
      <c r="C2753" s="5" t="s">
        <v>4848</v>
      </c>
      <c r="D2753" s="2" t="s">
        <v>4849</v>
      </c>
    </row>
    <row r="2754" spans="1:4" ht="13.05" customHeight="1" x14ac:dyDescent="0.3">
      <c r="A2754" s="2" t="s">
        <v>352</v>
      </c>
      <c r="B2754" s="2" t="s">
        <v>985</v>
      </c>
      <c r="C2754" s="5" t="s">
        <v>4850</v>
      </c>
      <c r="D2754" s="2" t="s">
        <v>4851</v>
      </c>
    </row>
    <row r="2755" spans="1:4" ht="13.05" customHeight="1" x14ac:dyDescent="0.3">
      <c r="A2755" s="2" t="s">
        <v>352</v>
      </c>
      <c r="B2755" s="2" t="s">
        <v>985</v>
      </c>
      <c r="C2755" s="5" t="s">
        <v>4852</v>
      </c>
      <c r="D2755" s="2" t="s">
        <v>4853</v>
      </c>
    </row>
    <row r="2756" spans="1:4" ht="13.05" customHeight="1" x14ac:dyDescent="0.3">
      <c r="A2756" s="2" t="s">
        <v>352</v>
      </c>
      <c r="B2756" s="2" t="s">
        <v>985</v>
      </c>
      <c r="C2756" s="5" t="s">
        <v>4854</v>
      </c>
      <c r="D2756" s="2" t="s">
        <v>4855</v>
      </c>
    </row>
    <row r="2757" spans="1:4" ht="13.05" customHeight="1" x14ac:dyDescent="0.3">
      <c r="A2757" s="2" t="s">
        <v>352</v>
      </c>
      <c r="B2757" s="2" t="s">
        <v>985</v>
      </c>
      <c r="C2757" s="5" t="s">
        <v>4856</v>
      </c>
      <c r="D2757" s="2" t="s">
        <v>4857</v>
      </c>
    </row>
    <row r="2758" spans="1:4" ht="13.05" customHeight="1" x14ac:dyDescent="0.3">
      <c r="A2758" s="2" t="s">
        <v>352</v>
      </c>
      <c r="B2758" s="2" t="s">
        <v>985</v>
      </c>
      <c r="C2758" s="5" t="s">
        <v>4858</v>
      </c>
      <c r="D2758" s="2" t="s">
        <v>4859</v>
      </c>
    </row>
    <row r="2759" spans="1:4" ht="13.05" customHeight="1" x14ac:dyDescent="0.3">
      <c r="A2759" s="2" t="s">
        <v>352</v>
      </c>
      <c r="B2759" s="2" t="s">
        <v>985</v>
      </c>
      <c r="C2759" s="5" t="s">
        <v>4860</v>
      </c>
      <c r="D2759" s="2" t="s">
        <v>4861</v>
      </c>
    </row>
    <row r="2760" spans="1:4" ht="13.05" customHeight="1" x14ac:dyDescent="0.3">
      <c r="A2760" s="2" t="s">
        <v>352</v>
      </c>
      <c r="B2760" s="2" t="s">
        <v>985</v>
      </c>
      <c r="C2760" s="5" t="s">
        <v>4862</v>
      </c>
      <c r="D2760" s="2" t="s">
        <v>4863</v>
      </c>
    </row>
    <row r="2761" spans="1:4" ht="13.05" customHeight="1" x14ac:dyDescent="0.3">
      <c r="A2761" s="2" t="s">
        <v>352</v>
      </c>
      <c r="B2761" s="2" t="s">
        <v>985</v>
      </c>
      <c r="C2761" s="5" t="s">
        <v>4864</v>
      </c>
      <c r="D2761" s="2" t="s">
        <v>4865</v>
      </c>
    </row>
    <row r="2762" spans="1:4" ht="13.05" customHeight="1" x14ac:dyDescent="0.3">
      <c r="A2762" s="2" t="s">
        <v>352</v>
      </c>
      <c r="B2762" s="2" t="s">
        <v>985</v>
      </c>
      <c r="C2762" s="5" t="s">
        <v>4866</v>
      </c>
      <c r="D2762" s="2" t="s">
        <v>4867</v>
      </c>
    </row>
    <row r="2763" spans="1:4" ht="13.05" customHeight="1" x14ac:dyDescent="0.3">
      <c r="A2763" s="2" t="s">
        <v>352</v>
      </c>
      <c r="B2763" s="2" t="s">
        <v>985</v>
      </c>
      <c r="C2763" s="5" t="s">
        <v>4868</v>
      </c>
      <c r="D2763" s="2" t="s">
        <v>4869</v>
      </c>
    </row>
    <row r="2764" spans="1:4" ht="13.05" customHeight="1" x14ac:dyDescent="0.3">
      <c r="A2764" s="2" t="s">
        <v>352</v>
      </c>
      <c r="B2764" s="2" t="s">
        <v>985</v>
      </c>
      <c r="C2764" s="5" t="s">
        <v>4870</v>
      </c>
      <c r="D2764" s="2" t="s">
        <v>4871</v>
      </c>
    </row>
    <row r="2765" spans="1:4" ht="13.05" customHeight="1" x14ac:dyDescent="0.3">
      <c r="A2765" s="2" t="s">
        <v>352</v>
      </c>
      <c r="B2765" s="2" t="s">
        <v>985</v>
      </c>
      <c r="C2765" s="5" t="s">
        <v>4872</v>
      </c>
      <c r="D2765" s="2" t="s">
        <v>4873</v>
      </c>
    </row>
    <row r="2766" spans="1:4" ht="13.05" customHeight="1" x14ac:dyDescent="0.3">
      <c r="A2766" s="2" t="s">
        <v>352</v>
      </c>
      <c r="B2766" s="2" t="s">
        <v>985</v>
      </c>
      <c r="C2766" s="5" t="s">
        <v>4874</v>
      </c>
      <c r="D2766" s="2" t="s">
        <v>4875</v>
      </c>
    </row>
    <row r="2767" spans="1:4" ht="13.05" customHeight="1" x14ac:dyDescent="0.3">
      <c r="A2767" s="2" t="s">
        <v>352</v>
      </c>
      <c r="B2767" s="2" t="s">
        <v>985</v>
      </c>
      <c r="C2767" s="5" t="s">
        <v>4876</v>
      </c>
      <c r="D2767" s="2" t="s">
        <v>4877</v>
      </c>
    </row>
    <row r="2768" spans="1:4" ht="13.05" customHeight="1" x14ac:dyDescent="0.3">
      <c r="A2768" s="2" t="s">
        <v>352</v>
      </c>
      <c r="B2768" s="2" t="s">
        <v>985</v>
      </c>
      <c r="C2768" s="5" t="s">
        <v>4878</v>
      </c>
      <c r="D2768" s="2" t="s">
        <v>4879</v>
      </c>
    </row>
    <row r="2769" spans="1:4" ht="13.05" customHeight="1" x14ac:dyDescent="0.3">
      <c r="A2769" s="2" t="s">
        <v>352</v>
      </c>
      <c r="B2769" s="2" t="s">
        <v>985</v>
      </c>
      <c r="C2769" s="5" t="s">
        <v>4880</v>
      </c>
      <c r="D2769" s="2" t="s">
        <v>3244</v>
      </c>
    </row>
    <row r="2770" spans="1:4" ht="13.05" customHeight="1" x14ac:dyDescent="0.3">
      <c r="A2770" s="2" t="s">
        <v>352</v>
      </c>
      <c r="B2770" s="2" t="s">
        <v>985</v>
      </c>
      <c r="C2770" s="5" t="s">
        <v>4881</v>
      </c>
      <c r="D2770" s="2" t="s">
        <v>3358</v>
      </c>
    </row>
    <row r="2771" spans="1:4" ht="13.05" customHeight="1" x14ac:dyDescent="0.3">
      <c r="A2771" s="2" t="s">
        <v>352</v>
      </c>
      <c r="B2771" s="2" t="s">
        <v>985</v>
      </c>
      <c r="C2771" s="5" t="s">
        <v>4882</v>
      </c>
      <c r="D2771" s="2" t="s">
        <v>4883</v>
      </c>
    </row>
    <row r="2772" spans="1:4" ht="13.05" customHeight="1" x14ac:dyDescent="0.3">
      <c r="A2772" s="2" t="s">
        <v>352</v>
      </c>
      <c r="B2772" s="2" t="s">
        <v>985</v>
      </c>
      <c r="C2772" s="5" t="s">
        <v>4884</v>
      </c>
      <c r="D2772" s="2" t="s">
        <v>4885</v>
      </c>
    </row>
    <row r="2773" spans="1:4" ht="13.05" customHeight="1" x14ac:dyDescent="0.3">
      <c r="A2773" s="2" t="s">
        <v>352</v>
      </c>
      <c r="B2773" s="2" t="s">
        <v>985</v>
      </c>
      <c r="C2773" s="5" t="s">
        <v>4886</v>
      </c>
      <c r="D2773" s="2" t="s">
        <v>4169</v>
      </c>
    </row>
    <row r="2774" spans="1:4" ht="13.05" customHeight="1" x14ac:dyDescent="0.3">
      <c r="A2774" s="2" t="s">
        <v>352</v>
      </c>
      <c r="B2774" s="2" t="s">
        <v>985</v>
      </c>
      <c r="C2774" s="5" t="s">
        <v>4887</v>
      </c>
      <c r="D2774" s="2" t="s">
        <v>4888</v>
      </c>
    </row>
    <row r="2775" spans="1:4" ht="13.05" customHeight="1" x14ac:dyDescent="0.3">
      <c r="A2775" s="2" t="s">
        <v>352</v>
      </c>
      <c r="B2775" s="2" t="s">
        <v>985</v>
      </c>
      <c r="C2775" s="5" t="s">
        <v>4889</v>
      </c>
      <c r="D2775" s="2" t="s">
        <v>4890</v>
      </c>
    </row>
    <row r="2776" spans="1:4" ht="13.05" customHeight="1" x14ac:dyDescent="0.3">
      <c r="A2776" s="2" t="s">
        <v>352</v>
      </c>
      <c r="B2776" s="2" t="s">
        <v>985</v>
      </c>
      <c r="C2776" s="5" t="s">
        <v>4891</v>
      </c>
      <c r="D2776" s="2" t="s">
        <v>4892</v>
      </c>
    </row>
    <row r="2777" spans="1:4" ht="13.05" customHeight="1" x14ac:dyDescent="0.3">
      <c r="A2777" s="2" t="s">
        <v>352</v>
      </c>
      <c r="B2777" s="2" t="s">
        <v>985</v>
      </c>
      <c r="C2777" s="5" t="s">
        <v>4893</v>
      </c>
      <c r="D2777" s="2" t="s">
        <v>999</v>
      </c>
    </row>
    <row r="2778" spans="1:4" ht="13.05" customHeight="1" x14ac:dyDescent="0.3">
      <c r="A2778" s="2" t="s">
        <v>352</v>
      </c>
      <c r="B2778" s="2" t="s">
        <v>985</v>
      </c>
      <c r="C2778" s="5" t="s">
        <v>4894</v>
      </c>
      <c r="D2778" s="2" t="s">
        <v>1005</v>
      </c>
    </row>
    <row r="2779" spans="1:4" ht="13.05" customHeight="1" x14ac:dyDescent="0.3">
      <c r="A2779" s="2" t="s">
        <v>352</v>
      </c>
      <c r="B2779" s="2" t="s">
        <v>985</v>
      </c>
      <c r="C2779" s="5" t="s">
        <v>4895</v>
      </c>
      <c r="D2779" s="2" t="s">
        <v>1007</v>
      </c>
    </row>
    <row r="2780" spans="1:4" ht="13.05" customHeight="1" x14ac:dyDescent="0.3">
      <c r="A2780" s="2" t="s">
        <v>352</v>
      </c>
      <c r="B2780" s="2" t="s">
        <v>985</v>
      </c>
      <c r="C2780" s="5" t="s">
        <v>4896</v>
      </c>
      <c r="D2780" s="2" t="s">
        <v>1009</v>
      </c>
    </row>
    <row r="2781" spans="1:4" ht="13.05" customHeight="1" x14ac:dyDescent="0.3">
      <c r="A2781" s="2" t="s">
        <v>352</v>
      </c>
      <c r="B2781" s="2" t="s">
        <v>985</v>
      </c>
      <c r="C2781" s="5" t="s">
        <v>4897</v>
      </c>
      <c r="D2781" s="2" t="s">
        <v>4898</v>
      </c>
    </row>
    <row r="2782" spans="1:4" ht="13.05" customHeight="1" x14ac:dyDescent="0.3">
      <c r="A2782" s="2" t="s">
        <v>352</v>
      </c>
      <c r="B2782" s="2" t="s">
        <v>985</v>
      </c>
      <c r="C2782" s="5" t="s">
        <v>4899</v>
      </c>
      <c r="D2782" s="2" t="s">
        <v>4900</v>
      </c>
    </row>
    <row r="2783" spans="1:4" ht="13.05" customHeight="1" x14ac:dyDescent="0.3">
      <c r="A2783" s="2" t="s">
        <v>352</v>
      </c>
      <c r="B2783" s="2" t="s">
        <v>985</v>
      </c>
      <c r="C2783" s="5" t="s">
        <v>4901</v>
      </c>
      <c r="D2783" s="2" t="s">
        <v>4902</v>
      </c>
    </row>
    <row r="2784" spans="1:4" ht="13.05" customHeight="1" x14ac:dyDescent="0.3">
      <c r="A2784" s="2" t="s">
        <v>352</v>
      </c>
      <c r="B2784" s="2" t="s">
        <v>985</v>
      </c>
      <c r="C2784" s="5" t="s">
        <v>4903</v>
      </c>
      <c r="D2784" s="2" t="s">
        <v>4904</v>
      </c>
    </row>
    <row r="2785" spans="1:4" ht="13.05" customHeight="1" x14ac:dyDescent="0.3">
      <c r="A2785" s="2" t="s">
        <v>352</v>
      </c>
      <c r="B2785" s="2" t="s">
        <v>985</v>
      </c>
      <c r="C2785" s="5" t="s">
        <v>4905</v>
      </c>
      <c r="D2785" s="2" t="s">
        <v>3567</v>
      </c>
    </row>
    <row r="2786" spans="1:4" ht="13.05" customHeight="1" x14ac:dyDescent="0.3">
      <c r="A2786" s="2" t="s">
        <v>352</v>
      </c>
      <c r="B2786" s="2" t="s">
        <v>985</v>
      </c>
      <c r="C2786" s="5" t="s">
        <v>4906</v>
      </c>
      <c r="D2786" s="2" t="s">
        <v>3563</v>
      </c>
    </row>
    <row r="2787" spans="1:4" ht="13.05" customHeight="1" x14ac:dyDescent="0.3">
      <c r="A2787" s="2" t="s">
        <v>352</v>
      </c>
      <c r="B2787" s="2" t="s">
        <v>985</v>
      </c>
      <c r="C2787" s="5" t="s">
        <v>4907</v>
      </c>
      <c r="D2787" s="2" t="s">
        <v>3244</v>
      </c>
    </row>
    <row r="2788" spans="1:4" ht="13.05" customHeight="1" x14ac:dyDescent="0.3">
      <c r="A2788" s="2" t="s">
        <v>352</v>
      </c>
      <c r="B2788" s="2" t="s">
        <v>985</v>
      </c>
      <c r="C2788" s="5" t="s">
        <v>4908</v>
      </c>
      <c r="D2788" s="2" t="s">
        <v>3358</v>
      </c>
    </row>
    <row r="2789" spans="1:4" ht="13.05" customHeight="1" x14ac:dyDescent="0.3">
      <c r="A2789" s="2" t="s">
        <v>352</v>
      </c>
      <c r="B2789" s="2" t="s">
        <v>985</v>
      </c>
      <c r="C2789" s="5" t="s">
        <v>4909</v>
      </c>
      <c r="D2789" s="2" t="s">
        <v>4910</v>
      </c>
    </row>
    <row r="2790" spans="1:4" ht="13.05" customHeight="1" x14ac:dyDescent="0.3">
      <c r="A2790" s="2" t="s">
        <v>352</v>
      </c>
      <c r="B2790" s="2" t="s">
        <v>985</v>
      </c>
      <c r="C2790" s="5" t="s">
        <v>4911</v>
      </c>
      <c r="D2790" s="2" t="s">
        <v>4912</v>
      </c>
    </row>
    <row r="2791" spans="1:4" ht="13.05" customHeight="1" x14ac:dyDescent="0.3">
      <c r="A2791" s="2" t="s">
        <v>352</v>
      </c>
      <c r="B2791" s="2" t="s">
        <v>985</v>
      </c>
      <c r="C2791" s="5" t="s">
        <v>4913</v>
      </c>
      <c r="D2791" s="2" t="s">
        <v>4914</v>
      </c>
    </row>
    <row r="2792" spans="1:4" ht="13.05" customHeight="1" x14ac:dyDescent="0.3">
      <c r="A2792" s="2" t="s">
        <v>352</v>
      </c>
      <c r="B2792" s="2" t="s">
        <v>985</v>
      </c>
      <c r="C2792" s="5" t="s">
        <v>4915</v>
      </c>
      <c r="D2792" s="2" t="s">
        <v>4916</v>
      </c>
    </row>
    <row r="2793" spans="1:4" ht="13.05" customHeight="1" x14ac:dyDescent="0.3">
      <c r="A2793" s="2" t="s">
        <v>352</v>
      </c>
      <c r="B2793" s="2" t="s">
        <v>985</v>
      </c>
      <c r="C2793" s="5" t="s">
        <v>4917</v>
      </c>
      <c r="D2793" s="2" t="s">
        <v>4918</v>
      </c>
    </row>
    <row r="2794" spans="1:4" ht="13.05" customHeight="1" x14ac:dyDescent="0.3">
      <c r="A2794" s="2" t="s">
        <v>352</v>
      </c>
      <c r="B2794" s="2" t="s">
        <v>985</v>
      </c>
      <c r="C2794" s="5" t="s">
        <v>4919</v>
      </c>
      <c r="D2794" s="2" t="s">
        <v>4920</v>
      </c>
    </row>
    <row r="2795" spans="1:4" ht="13.05" customHeight="1" x14ac:dyDescent="0.3">
      <c r="A2795" s="2" t="s">
        <v>352</v>
      </c>
      <c r="B2795" s="2" t="s">
        <v>985</v>
      </c>
      <c r="C2795" s="5" t="s">
        <v>4921</v>
      </c>
      <c r="D2795" s="2" t="s">
        <v>4922</v>
      </c>
    </row>
    <row r="2796" spans="1:4" ht="13.05" customHeight="1" x14ac:dyDescent="0.3">
      <c r="A2796" s="2" t="s">
        <v>352</v>
      </c>
      <c r="B2796" s="2" t="s">
        <v>985</v>
      </c>
      <c r="C2796" s="5" t="s">
        <v>4923</v>
      </c>
      <c r="D2796" s="2" t="s">
        <v>4924</v>
      </c>
    </row>
    <row r="2797" spans="1:4" ht="13.05" customHeight="1" x14ac:dyDescent="0.3">
      <c r="A2797" s="2" t="s">
        <v>352</v>
      </c>
      <c r="B2797" s="2" t="s">
        <v>985</v>
      </c>
      <c r="C2797" s="5" t="s">
        <v>4925</v>
      </c>
      <c r="D2797" s="2" t="s">
        <v>3244</v>
      </c>
    </row>
    <row r="2798" spans="1:4" ht="13.05" customHeight="1" x14ac:dyDescent="0.3">
      <c r="A2798" s="2" t="s">
        <v>352</v>
      </c>
      <c r="B2798" s="2" t="s">
        <v>985</v>
      </c>
      <c r="C2798" s="5" t="s">
        <v>4926</v>
      </c>
      <c r="D2798" s="2" t="s">
        <v>3358</v>
      </c>
    </row>
    <row r="2799" spans="1:4" ht="13.05" customHeight="1" x14ac:dyDescent="0.3">
      <c r="A2799" s="2" t="s">
        <v>352</v>
      </c>
      <c r="B2799" s="2" t="s">
        <v>985</v>
      </c>
      <c r="C2799" s="5" t="s">
        <v>4927</v>
      </c>
      <c r="D2799" s="2" t="s">
        <v>4928</v>
      </c>
    </row>
    <row r="2800" spans="1:4" ht="13.05" customHeight="1" x14ac:dyDescent="0.3">
      <c r="A2800" s="2" t="s">
        <v>352</v>
      </c>
      <c r="B2800" s="2" t="s">
        <v>985</v>
      </c>
      <c r="C2800" s="5" t="s">
        <v>4929</v>
      </c>
      <c r="D2800" s="2" t="s">
        <v>4930</v>
      </c>
    </row>
    <row r="2801" spans="1:4" ht="13.05" customHeight="1" x14ac:dyDescent="0.3">
      <c r="A2801" s="2" t="s">
        <v>352</v>
      </c>
      <c r="B2801" s="2" t="s">
        <v>985</v>
      </c>
      <c r="C2801" s="5" t="s">
        <v>4931</v>
      </c>
      <c r="D2801" s="2" t="s">
        <v>4932</v>
      </c>
    </row>
    <row r="2802" spans="1:4" ht="13.05" customHeight="1" x14ac:dyDescent="0.3">
      <c r="A2802" s="2" t="s">
        <v>352</v>
      </c>
      <c r="B2802" s="2" t="s">
        <v>985</v>
      </c>
      <c r="C2802" s="5" t="s">
        <v>4933</v>
      </c>
      <c r="D2802" s="2" t="s">
        <v>4934</v>
      </c>
    </row>
    <row r="2803" spans="1:4" ht="13.05" customHeight="1" x14ac:dyDescent="0.3">
      <c r="A2803" s="2" t="s">
        <v>352</v>
      </c>
      <c r="B2803" s="2" t="s">
        <v>985</v>
      </c>
      <c r="C2803" s="5" t="s">
        <v>4935</v>
      </c>
      <c r="D2803" s="2" t="s">
        <v>4936</v>
      </c>
    </row>
    <row r="2804" spans="1:4" ht="13.05" customHeight="1" x14ac:dyDescent="0.3">
      <c r="A2804" s="2" t="s">
        <v>352</v>
      </c>
      <c r="B2804" s="2" t="s">
        <v>985</v>
      </c>
      <c r="C2804" s="5" t="s">
        <v>4937</v>
      </c>
      <c r="D2804" s="2" t="s">
        <v>4938</v>
      </c>
    </row>
    <row r="2805" spans="1:4" ht="13.05" customHeight="1" x14ac:dyDescent="0.3">
      <c r="A2805" s="2" t="s">
        <v>352</v>
      </c>
      <c r="B2805" s="2" t="s">
        <v>985</v>
      </c>
      <c r="C2805" s="5" t="s">
        <v>4939</v>
      </c>
      <c r="D2805" s="2" t="s">
        <v>4940</v>
      </c>
    </row>
    <row r="2806" spans="1:4" ht="13.05" customHeight="1" x14ac:dyDescent="0.3">
      <c r="A2806" s="2" t="s">
        <v>352</v>
      </c>
      <c r="B2806" s="2" t="s">
        <v>985</v>
      </c>
      <c r="C2806" s="5" t="s">
        <v>4941</v>
      </c>
      <c r="D2806" s="2" t="s">
        <v>4942</v>
      </c>
    </row>
    <row r="2807" spans="1:4" ht="13.05" customHeight="1" x14ac:dyDescent="0.3">
      <c r="A2807" s="2" t="s">
        <v>352</v>
      </c>
      <c r="B2807" s="2" t="s">
        <v>985</v>
      </c>
      <c r="C2807" s="5" t="s">
        <v>4943</v>
      </c>
      <c r="D2807" s="2" t="s">
        <v>4944</v>
      </c>
    </row>
    <row r="2808" spans="1:4" ht="13.05" customHeight="1" x14ac:dyDescent="0.3">
      <c r="A2808" s="2" t="s">
        <v>352</v>
      </c>
      <c r="B2808" s="2" t="s">
        <v>985</v>
      </c>
      <c r="C2808" s="5" t="s">
        <v>4945</v>
      </c>
      <c r="D2808" s="2" t="s">
        <v>4946</v>
      </c>
    </row>
    <row r="2809" spans="1:4" ht="13.05" customHeight="1" x14ac:dyDescent="0.3">
      <c r="A2809" s="2" t="s">
        <v>352</v>
      </c>
      <c r="B2809" s="2" t="s">
        <v>985</v>
      </c>
      <c r="C2809" s="5" t="s">
        <v>4947</v>
      </c>
      <c r="D2809" s="2" t="s">
        <v>4948</v>
      </c>
    </row>
    <row r="2810" spans="1:4" ht="13.05" customHeight="1" x14ac:dyDescent="0.3">
      <c r="A2810" s="2" t="s">
        <v>352</v>
      </c>
      <c r="B2810" s="2" t="s">
        <v>985</v>
      </c>
      <c r="C2810" s="5" t="s">
        <v>4949</v>
      </c>
      <c r="D2810" s="2" t="s">
        <v>4950</v>
      </c>
    </row>
    <row r="2811" spans="1:4" ht="13.05" customHeight="1" x14ac:dyDescent="0.3">
      <c r="A2811" s="2" t="s">
        <v>352</v>
      </c>
      <c r="B2811" s="2" t="s">
        <v>985</v>
      </c>
      <c r="C2811" s="5" t="s">
        <v>4951</v>
      </c>
      <c r="D2811" s="2" t="s">
        <v>4952</v>
      </c>
    </row>
    <row r="2812" spans="1:4" ht="13.05" customHeight="1" x14ac:dyDescent="0.3">
      <c r="A2812" s="2" t="s">
        <v>352</v>
      </c>
      <c r="B2812" s="2" t="s">
        <v>985</v>
      </c>
      <c r="C2812" s="5" t="s">
        <v>4953</v>
      </c>
      <c r="D2812" s="2" t="s">
        <v>4954</v>
      </c>
    </row>
    <row r="2813" spans="1:4" ht="13.05" customHeight="1" x14ac:dyDescent="0.3">
      <c r="A2813" s="2" t="s">
        <v>352</v>
      </c>
      <c r="B2813" s="2" t="s">
        <v>985</v>
      </c>
      <c r="C2813" s="5" t="s">
        <v>4955</v>
      </c>
      <c r="D2813" s="2" t="s">
        <v>4956</v>
      </c>
    </row>
    <row r="2814" spans="1:4" ht="13.05" customHeight="1" x14ac:dyDescent="0.3">
      <c r="A2814" s="2" t="s">
        <v>352</v>
      </c>
      <c r="B2814" s="2" t="s">
        <v>985</v>
      </c>
      <c r="C2814" s="5" t="s">
        <v>4957</v>
      </c>
      <c r="D2814" s="2" t="s">
        <v>4958</v>
      </c>
    </row>
    <row r="2815" spans="1:4" ht="13.05" customHeight="1" x14ac:dyDescent="0.3">
      <c r="A2815" s="2" t="s">
        <v>352</v>
      </c>
      <c r="B2815" s="2" t="s">
        <v>985</v>
      </c>
      <c r="C2815" s="5" t="s">
        <v>4959</v>
      </c>
      <c r="D2815" s="2" t="s">
        <v>3356</v>
      </c>
    </row>
    <row r="2816" spans="1:4" ht="13.05" customHeight="1" x14ac:dyDescent="0.3">
      <c r="A2816" s="2" t="s">
        <v>352</v>
      </c>
      <c r="B2816" s="2" t="s">
        <v>985</v>
      </c>
      <c r="C2816" s="5" t="s">
        <v>4960</v>
      </c>
      <c r="D2816" s="2" t="s">
        <v>3358</v>
      </c>
    </row>
    <row r="2817" spans="1:4" ht="13.05" customHeight="1" x14ac:dyDescent="0.3">
      <c r="A2817" s="2" t="s">
        <v>352</v>
      </c>
      <c r="B2817" s="2" t="s">
        <v>985</v>
      </c>
      <c r="C2817" s="5" t="s">
        <v>4961</v>
      </c>
      <c r="D2817" s="2" t="s">
        <v>4962</v>
      </c>
    </row>
    <row r="2818" spans="1:4" ht="13.05" customHeight="1" x14ac:dyDescent="0.3">
      <c r="A2818" s="2" t="s">
        <v>352</v>
      </c>
      <c r="B2818" s="2" t="s">
        <v>985</v>
      </c>
      <c r="C2818" s="5" t="s">
        <v>4963</v>
      </c>
      <c r="D2818" s="2" t="s">
        <v>4964</v>
      </c>
    </row>
    <row r="2819" spans="1:4" ht="13.05" customHeight="1" x14ac:dyDescent="0.3">
      <c r="A2819" s="2" t="s">
        <v>352</v>
      </c>
      <c r="B2819" s="2" t="s">
        <v>985</v>
      </c>
      <c r="C2819" s="5" t="s">
        <v>4965</v>
      </c>
      <c r="D2819" s="2" t="s">
        <v>4966</v>
      </c>
    </row>
    <row r="2820" spans="1:4" ht="13.05" customHeight="1" x14ac:dyDescent="0.3">
      <c r="A2820" s="2" t="s">
        <v>352</v>
      </c>
      <c r="B2820" s="2" t="s">
        <v>985</v>
      </c>
      <c r="C2820" s="5" t="s">
        <v>4967</v>
      </c>
      <c r="D2820" s="2" t="s">
        <v>3278</v>
      </c>
    </row>
    <row r="2821" spans="1:4" ht="13.05" customHeight="1" x14ac:dyDescent="0.3">
      <c r="A2821" s="2" t="s">
        <v>352</v>
      </c>
      <c r="B2821" s="2" t="s">
        <v>985</v>
      </c>
      <c r="C2821" s="5" t="s">
        <v>4968</v>
      </c>
      <c r="D2821" s="2" t="s">
        <v>4969</v>
      </c>
    </row>
    <row r="2822" spans="1:4" ht="13.05" customHeight="1" x14ac:dyDescent="0.3">
      <c r="A2822" s="2" t="s">
        <v>352</v>
      </c>
      <c r="B2822" s="2" t="s">
        <v>985</v>
      </c>
      <c r="C2822" s="5" t="s">
        <v>4970</v>
      </c>
      <c r="D2822" s="2" t="s">
        <v>4971</v>
      </c>
    </row>
    <row r="2823" spans="1:4" ht="13.05" customHeight="1" x14ac:dyDescent="0.3">
      <c r="A2823" s="2" t="s">
        <v>352</v>
      </c>
      <c r="B2823" s="2" t="s">
        <v>985</v>
      </c>
      <c r="C2823" s="5" t="s">
        <v>4972</v>
      </c>
      <c r="D2823" s="2" t="s">
        <v>4973</v>
      </c>
    </row>
    <row r="2824" spans="1:4" ht="13.05" customHeight="1" x14ac:dyDescent="0.3">
      <c r="A2824" s="2" t="s">
        <v>352</v>
      </c>
      <c r="B2824" s="2" t="s">
        <v>985</v>
      </c>
      <c r="C2824" s="5" t="s">
        <v>4974</v>
      </c>
      <c r="D2824" s="2" t="s">
        <v>4975</v>
      </c>
    </row>
    <row r="2825" spans="1:4" ht="13.05" customHeight="1" x14ac:dyDescent="0.3">
      <c r="A2825" s="2" t="s">
        <v>352</v>
      </c>
      <c r="B2825" s="2" t="s">
        <v>985</v>
      </c>
      <c r="C2825" s="5" t="s">
        <v>4976</v>
      </c>
      <c r="D2825" s="2" t="s">
        <v>4977</v>
      </c>
    </row>
    <row r="2826" spans="1:4" ht="13.05" customHeight="1" x14ac:dyDescent="0.3">
      <c r="A2826" s="2" t="s">
        <v>352</v>
      </c>
      <c r="B2826" s="2" t="s">
        <v>985</v>
      </c>
      <c r="C2826" s="5" t="s">
        <v>4978</v>
      </c>
      <c r="D2826" s="2" t="s">
        <v>4979</v>
      </c>
    </row>
    <row r="2827" spans="1:4" ht="13.05" customHeight="1" x14ac:dyDescent="0.3">
      <c r="A2827" s="2" t="s">
        <v>352</v>
      </c>
      <c r="B2827" s="2" t="s">
        <v>985</v>
      </c>
      <c r="C2827" s="5" t="s">
        <v>4980</v>
      </c>
      <c r="D2827" s="2" t="s">
        <v>4981</v>
      </c>
    </row>
    <row r="2828" spans="1:4" ht="13.05" customHeight="1" x14ac:dyDescent="0.3">
      <c r="A2828" s="2" t="s">
        <v>352</v>
      </c>
      <c r="B2828" s="2" t="s">
        <v>985</v>
      </c>
      <c r="C2828" s="5" t="s">
        <v>4982</v>
      </c>
      <c r="D2828" s="2" t="s">
        <v>4983</v>
      </c>
    </row>
    <row r="2829" spans="1:4" ht="13.05" customHeight="1" x14ac:dyDescent="0.3">
      <c r="A2829" s="2" t="s">
        <v>352</v>
      </c>
      <c r="B2829" s="2" t="s">
        <v>985</v>
      </c>
      <c r="C2829" s="5" t="s">
        <v>4984</v>
      </c>
      <c r="D2829" s="2" t="s">
        <v>4985</v>
      </c>
    </row>
    <row r="2830" spans="1:4" ht="13.05" customHeight="1" x14ac:dyDescent="0.3">
      <c r="A2830" s="2" t="s">
        <v>352</v>
      </c>
      <c r="B2830" s="2" t="s">
        <v>985</v>
      </c>
      <c r="C2830" s="5" t="s">
        <v>4986</v>
      </c>
      <c r="D2830" s="2" t="s">
        <v>4987</v>
      </c>
    </row>
    <row r="2831" spans="1:4" ht="13.05" customHeight="1" x14ac:dyDescent="0.3">
      <c r="A2831" s="2" t="s">
        <v>352</v>
      </c>
      <c r="B2831" s="2" t="s">
        <v>985</v>
      </c>
      <c r="C2831" s="5" t="s">
        <v>4988</v>
      </c>
      <c r="D2831" s="2" t="s">
        <v>4989</v>
      </c>
    </row>
    <row r="2832" spans="1:4" ht="13.05" customHeight="1" x14ac:dyDescent="0.3">
      <c r="A2832" s="2" t="s">
        <v>352</v>
      </c>
      <c r="B2832" s="2" t="s">
        <v>985</v>
      </c>
      <c r="C2832" s="5" t="s">
        <v>4990</v>
      </c>
      <c r="D2832" s="2" t="s">
        <v>4991</v>
      </c>
    </row>
    <row r="2833" spans="1:4" ht="13.05" customHeight="1" x14ac:dyDescent="0.3">
      <c r="A2833" s="2" t="s">
        <v>352</v>
      </c>
      <c r="B2833" s="2" t="s">
        <v>985</v>
      </c>
      <c r="C2833" s="5" t="s">
        <v>4992</v>
      </c>
      <c r="D2833" s="2" t="s">
        <v>4993</v>
      </c>
    </row>
    <row r="2834" spans="1:4" ht="13.05" customHeight="1" x14ac:dyDescent="0.3">
      <c r="A2834" s="2" t="s">
        <v>352</v>
      </c>
      <c r="B2834" s="2" t="s">
        <v>985</v>
      </c>
      <c r="C2834" s="5" t="s">
        <v>4994</v>
      </c>
      <c r="D2834" s="2" t="s">
        <v>4995</v>
      </c>
    </row>
    <row r="2835" spans="1:4" ht="13.05" customHeight="1" x14ac:dyDescent="0.3">
      <c r="A2835" s="2" t="s">
        <v>352</v>
      </c>
      <c r="B2835" s="2" t="s">
        <v>985</v>
      </c>
      <c r="C2835" s="5" t="s">
        <v>4996</v>
      </c>
      <c r="D2835" s="2" t="s">
        <v>4997</v>
      </c>
    </row>
    <row r="2836" spans="1:4" ht="13.05" customHeight="1" x14ac:dyDescent="0.3">
      <c r="A2836" s="2" t="s">
        <v>352</v>
      </c>
      <c r="B2836" s="2" t="s">
        <v>985</v>
      </c>
      <c r="C2836" s="5" t="s">
        <v>4998</v>
      </c>
      <c r="D2836" s="2" t="s">
        <v>4999</v>
      </c>
    </row>
    <row r="2837" spans="1:4" ht="13.05" customHeight="1" x14ac:dyDescent="0.3">
      <c r="A2837" s="2" t="s">
        <v>352</v>
      </c>
      <c r="B2837" s="2" t="s">
        <v>985</v>
      </c>
      <c r="C2837" s="5" t="s">
        <v>5000</v>
      </c>
      <c r="D2837" s="2" t="s">
        <v>5001</v>
      </c>
    </row>
    <row r="2838" spans="1:4" ht="13.05" customHeight="1" x14ac:dyDescent="0.3">
      <c r="A2838" s="2" t="s">
        <v>352</v>
      </c>
      <c r="B2838" s="2" t="s">
        <v>985</v>
      </c>
      <c r="C2838" s="5" t="s">
        <v>5002</v>
      </c>
      <c r="D2838" s="2" t="s">
        <v>5003</v>
      </c>
    </row>
    <row r="2839" spans="1:4" ht="13.05" customHeight="1" x14ac:dyDescent="0.3">
      <c r="A2839" s="2" t="s">
        <v>352</v>
      </c>
      <c r="B2839" s="2" t="s">
        <v>985</v>
      </c>
      <c r="C2839" s="5" t="s">
        <v>5004</v>
      </c>
      <c r="D2839" s="2" t="s">
        <v>5005</v>
      </c>
    </row>
    <row r="2840" spans="1:4" ht="13.05" customHeight="1" x14ac:dyDescent="0.3">
      <c r="A2840" s="2" t="s">
        <v>352</v>
      </c>
      <c r="B2840" s="2" t="s">
        <v>985</v>
      </c>
      <c r="C2840" s="5" t="s">
        <v>5006</v>
      </c>
      <c r="D2840" s="2" t="s">
        <v>5007</v>
      </c>
    </row>
    <row r="2841" spans="1:4" ht="13.05" customHeight="1" x14ac:dyDescent="0.3">
      <c r="A2841" s="2" t="s">
        <v>352</v>
      </c>
      <c r="B2841" s="2" t="s">
        <v>985</v>
      </c>
      <c r="C2841" s="5" t="s">
        <v>5008</v>
      </c>
      <c r="D2841" s="2" t="s">
        <v>5009</v>
      </c>
    </row>
    <row r="2842" spans="1:4" ht="13.05" customHeight="1" x14ac:dyDescent="0.3">
      <c r="A2842" s="2" t="s">
        <v>352</v>
      </c>
      <c r="B2842" s="2" t="s">
        <v>985</v>
      </c>
      <c r="C2842" s="5" t="s">
        <v>5010</v>
      </c>
      <c r="D2842" s="2" t="s">
        <v>5011</v>
      </c>
    </row>
    <row r="2843" spans="1:4" ht="13.05" customHeight="1" x14ac:dyDescent="0.3">
      <c r="A2843" s="2" t="s">
        <v>352</v>
      </c>
      <c r="B2843" s="2" t="s">
        <v>985</v>
      </c>
      <c r="C2843" s="5" t="s">
        <v>5012</v>
      </c>
      <c r="D2843" s="2" t="s">
        <v>5013</v>
      </c>
    </row>
    <row r="2844" spans="1:4" ht="13.05" customHeight="1" x14ac:dyDescent="0.3">
      <c r="A2844" s="2" t="s">
        <v>352</v>
      </c>
      <c r="B2844" s="2" t="s">
        <v>985</v>
      </c>
      <c r="C2844" s="5" t="s">
        <v>5014</v>
      </c>
      <c r="D2844" s="2" t="s">
        <v>5015</v>
      </c>
    </row>
    <row r="2845" spans="1:4" ht="13.05" customHeight="1" x14ac:dyDescent="0.3">
      <c r="A2845" s="2" t="s">
        <v>352</v>
      </c>
      <c r="B2845" s="2" t="s">
        <v>985</v>
      </c>
      <c r="C2845" s="5" t="s">
        <v>5016</v>
      </c>
      <c r="D2845" s="2" t="s">
        <v>5017</v>
      </c>
    </row>
    <row r="2846" spans="1:4" ht="13.05" customHeight="1" x14ac:dyDescent="0.3">
      <c r="A2846" s="2" t="s">
        <v>352</v>
      </c>
      <c r="B2846" s="2" t="s">
        <v>985</v>
      </c>
      <c r="C2846" s="5" t="s">
        <v>5018</v>
      </c>
      <c r="D2846" s="2" t="s">
        <v>5019</v>
      </c>
    </row>
    <row r="2847" spans="1:4" ht="13.05" customHeight="1" x14ac:dyDescent="0.3">
      <c r="A2847" s="2" t="s">
        <v>352</v>
      </c>
      <c r="B2847" s="2" t="s">
        <v>985</v>
      </c>
      <c r="C2847" s="5" t="s">
        <v>5020</v>
      </c>
      <c r="D2847" s="2" t="s">
        <v>3244</v>
      </c>
    </row>
    <row r="2848" spans="1:4" ht="13.05" customHeight="1" x14ac:dyDescent="0.3">
      <c r="A2848" s="2" t="s">
        <v>352</v>
      </c>
      <c r="B2848" s="2" t="s">
        <v>985</v>
      </c>
      <c r="C2848" s="5" t="s">
        <v>5021</v>
      </c>
      <c r="D2848" s="2" t="s">
        <v>3358</v>
      </c>
    </row>
    <row r="2849" spans="1:4" ht="13.05" customHeight="1" x14ac:dyDescent="0.3">
      <c r="A2849" s="2" t="s">
        <v>352</v>
      </c>
      <c r="B2849" s="2" t="s">
        <v>985</v>
      </c>
      <c r="C2849" s="5" t="s">
        <v>5022</v>
      </c>
      <c r="D2849" s="2" t="s">
        <v>5023</v>
      </c>
    </row>
    <row r="2850" spans="1:4" ht="13.05" customHeight="1" x14ac:dyDescent="0.3">
      <c r="A2850" s="2" t="s">
        <v>352</v>
      </c>
      <c r="B2850" s="2" t="s">
        <v>985</v>
      </c>
      <c r="C2850" s="5" t="s">
        <v>5024</v>
      </c>
      <c r="D2850" s="2" t="s">
        <v>5025</v>
      </c>
    </row>
    <row r="2851" spans="1:4" ht="13.05" customHeight="1" x14ac:dyDescent="0.3">
      <c r="A2851" s="2" t="s">
        <v>352</v>
      </c>
      <c r="B2851" s="2" t="s">
        <v>985</v>
      </c>
      <c r="C2851" s="5" t="s">
        <v>5026</v>
      </c>
      <c r="D2851" s="2" t="s">
        <v>5027</v>
      </c>
    </row>
    <row r="2852" spans="1:4" ht="13.05" customHeight="1" x14ac:dyDescent="0.3">
      <c r="A2852" s="2" t="s">
        <v>352</v>
      </c>
      <c r="B2852" s="2" t="s">
        <v>985</v>
      </c>
      <c r="C2852" s="5" t="s">
        <v>5028</v>
      </c>
      <c r="D2852" s="2" t="s">
        <v>5029</v>
      </c>
    </row>
    <row r="2853" spans="1:4" ht="13.05" customHeight="1" x14ac:dyDescent="0.3">
      <c r="A2853" s="2" t="s">
        <v>352</v>
      </c>
      <c r="B2853" s="2" t="s">
        <v>985</v>
      </c>
      <c r="C2853" s="5" t="s">
        <v>5030</v>
      </c>
      <c r="D2853" s="2" t="s">
        <v>5031</v>
      </c>
    </row>
    <row r="2854" spans="1:4" ht="13.05" customHeight="1" x14ac:dyDescent="0.3">
      <c r="A2854" s="2" t="s">
        <v>352</v>
      </c>
      <c r="B2854" s="2" t="s">
        <v>985</v>
      </c>
      <c r="C2854" s="5" t="s">
        <v>5032</v>
      </c>
      <c r="D2854" s="2" t="s">
        <v>5033</v>
      </c>
    </row>
    <row r="2855" spans="1:4" ht="13.05" customHeight="1" x14ac:dyDescent="0.3">
      <c r="A2855" s="2" t="s">
        <v>352</v>
      </c>
      <c r="B2855" s="2" t="s">
        <v>985</v>
      </c>
      <c r="C2855" s="5" t="s">
        <v>5034</v>
      </c>
      <c r="D2855" s="2" t="s">
        <v>5035</v>
      </c>
    </row>
    <row r="2856" spans="1:4" ht="13.05" customHeight="1" x14ac:dyDescent="0.3">
      <c r="A2856" s="2" t="s">
        <v>352</v>
      </c>
      <c r="B2856" s="2" t="s">
        <v>985</v>
      </c>
      <c r="C2856" s="5" t="s">
        <v>5036</v>
      </c>
      <c r="D2856" s="2" t="s">
        <v>5037</v>
      </c>
    </row>
    <row r="2857" spans="1:4" ht="13.05" customHeight="1" x14ac:dyDescent="0.3">
      <c r="A2857" s="2" t="s">
        <v>352</v>
      </c>
      <c r="B2857" s="2" t="s">
        <v>985</v>
      </c>
      <c r="C2857" s="5" t="s">
        <v>5038</v>
      </c>
      <c r="D2857" s="2" t="s">
        <v>5039</v>
      </c>
    </row>
    <row r="2858" spans="1:4" ht="13.05" customHeight="1" x14ac:dyDescent="0.3">
      <c r="A2858" s="2" t="s">
        <v>352</v>
      </c>
      <c r="B2858" s="2" t="s">
        <v>985</v>
      </c>
      <c r="C2858" s="5" t="s">
        <v>5040</v>
      </c>
      <c r="D2858" s="2" t="s">
        <v>5041</v>
      </c>
    </row>
    <row r="2859" spans="1:4" ht="13.05" customHeight="1" x14ac:dyDescent="0.3">
      <c r="A2859" s="2" t="s">
        <v>352</v>
      </c>
      <c r="B2859" s="2" t="s">
        <v>985</v>
      </c>
      <c r="C2859" s="5" t="s">
        <v>5042</v>
      </c>
      <c r="D2859" s="2" t="s">
        <v>5043</v>
      </c>
    </row>
    <row r="2860" spans="1:4" ht="13.05" customHeight="1" x14ac:dyDescent="0.3">
      <c r="A2860" s="2" t="s">
        <v>352</v>
      </c>
      <c r="B2860" s="2" t="s">
        <v>985</v>
      </c>
      <c r="C2860" s="5" t="s">
        <v>5044</v>
      </c>
      <c r="D2860" s="2" t="s">
        <v>5045</v>
      </c>
    </row>
    <row r="2861" spans="1:4" ht="13.05" customHeight="1" x14ac:dyDescent="0.3">
      <c r="A2861" s="2" t="s">
        <v>352</v>
      </c>
      <c r="B2861" s="2" t="s">
        <v>985</v>
      </c>
      <c r="C2861" s="5" t="s">
        <v>5046</v>
      </c>
      <c r="D2861" s="2" t="s">
        <v>3276</v>
      </c>
    </row>
    <row r="2862" spans="1:4" ht="13.05" customHeight="1" x14ac:dyDescent="0.3">
      <c r="A2862" s="2" t="s">
        <v>352</v>
      </c>
      <c r="B2862" s="2" t="s">
        <v>985</v>
      </c>
      <c r="C2862" s="5" t="s">
        <v>5047</v>
      </c>
      <c r="D2862" s="2" t="s">
        <v>3278</v>
      </c>
    </row>
    <row r="2863" spans="1:4" ht="13.05" customHeight="1" x14ac:dyDescent="0.3">
      <c r="A2863" s="2" t="s">
        <v>352</v>
      </c>
      <c r="B2863" s="2" t="s">
        <v>985</v>
      </c>
      <c r="C2863" s="5" t="s">
        <v>5048</v>
      </c>
      <c r="D2863" s="2" t="s">
        <v>5049</v>
      </c>
    </row>
    <row r="2864" spans="1:4" ht="13.05" customHeight="1" x14ac:dyDescent="0.3">
      <c r="A2864" s="2" t="s">
        <v>352</v>
      </c>
      <c r="B2864" s="2" t="s">
        <v>985</v>
      </c>
      <c r="C2864" s="5" t="s">
        <v>5050</v>
      </c>
      <c r="D2864" s="2" t="s">
        <v>5051</v>
      </c>
    </row>
    <row r="2865" spans="1:4" ht="13.05" customHeight="1" x14ac:dyDescent="0.3">
      <c r="A2865" s="2" t="s">
        <v>352</v>
      </c>
      <c r="B2865" s="2" t="s">
        <v>985</v>
      </c>
      <c r="C2865" s="5" t="s">
        <v>5052</v>
      </c>
      <c r="D2865" s="2" t="s">
        <v>5053</v>
      </c>
    </row>
    <row r="2866" spans="1:4" ht="13.05" customHeight="1" x14ac:dyDescent="0.3">
      <c r="A2866" s="2" t="s">
        <v>352</v>
      </c>
      <c r="B2866" s="2" t="s">
        <v>985</v>
      </c>
      <c r="C2866" s="5" t="s">
        <v>5054</v>
      </c>
      <c r="D2866" s="2" t="s">
        <v>5055</v>
      </c>
    </row>
    <row r="2867" spans="1:4" ht="13.05" customHeight="1" x14ac:dyDescent="0.3">
      <c r="A2867" s="2" t="s">
        <v>352</v>
      </c>
      <c r="B2867" s="2" t="s">
        <v>985</v>
      </c>
      <c r="C2867" s="5" t="s">
        <v>5056</v>
      </c>
      <c r="D2867" s="2" t="s">
        <v>5057</v>
      </c>
    </row>
    <row r="2868" spans="1:4" ht="13.05" customHeight="1" x14ac:dyDescent="0.3">
      <c r="A2868" s="2" t="s">
        <v>352</v>
      </c>
      <c r="B2868" s="2" t="s">
        <v>985</v>
      </c>
      <c r="C2868" s="5" t="s">
        <v>5058</v>
      </c>
      <c r="D2868" s="2" t="s">
        <v>5059</v>
      </c>
    </row>
    <row r="2869" spans="1:4" ht="13.05" customHeight="1" x14ac:dyDescent="0.3">
      <c r="A2869" s="2" t="s">
        <v>352</v>
      </c>
      <c r="B2869" s="2" t="s">
        <v>985</v>
      </c>
      <c r="C2869" s="5" t="s">
        <v>5060</v>
      </c>
      <c r="D2869" s="2" t="s">
        <v>5061</v>
      </c>
    </row>
    <row r="2870" spans="1:4" ht="13.05" customHeight="1" x14ac:dyDescent="0.3">
      <c r="A2870" s="2" t="s">
        <v>352</v>
      </c>
      <c r="B2870" s="2" t="s">
        <v>985</v>
      </c>
      <c r="C2870" s="5" t="s">
        <v>5062</v>
      </c>
      <c r="D2870" s="2" t="s">
        <v>5063</v>
      </c>
    </row>
    <row r="2871" spans="1:4" ht="13.05" customHeight="1" x14ac:dyDescent="0.3">
      <c r="A2871" s="2" t="s">
        <v>352</v>
      </c>
      <c r="B2871" s="2" t="s">
        <v>985</v>
      </c>
      <c r="C2871" s="5" t="s">
        <v>5064</v>
      </c>
      <c r="D2871" s="2" t="s">
        <v>3244</v>
      </c>
    </row>
    <row r="2872" spans="1:4" ht="13.05" customHeight="1" x14ac:dyDescent="0.3">
      <c r="A2872" s="2" t="s">
        <v>352</v>
      </c>
      <c r="B2872" s="2" t="s">
        <v>985</v>
      </c>
      <c r="C2872" s="5" t="s">
        <v>5065</v>
      </c>
      <c r="D2872" s="2" t="s">
        <v>3246</v>
      </c>
    </row>
    <row r="2873" spans="1:4" ht="13.05" customHeight="1" x14ac:dyDescent="0.3">
      <c r="A2873" s="2" t="s">
        <v>352</v>
      </c>
      <c r="B2873" s="2" t="s">
        <v>985</v>
      </c>
      <c r="C2873" s="5" t="s">
        <v>5066</v>
      </c>
      <c r="D2873" s="2" t="s">
        <v>5067</v>
      </c>
    </row>
    <row r="2874" spans="1:4" ht="13.05" customHeight="1" x14ac:dyDescent="0.3">
      <c r="A2874" s="2" t="s">
        <v>352</v>
      </c>
      <c r="B2874" s="2" t="s">
        <v>985</v>
      </c>
      <c r="C2874" s="5" t="s">
        <v>5068</v>
      </c>
      <c r="D2874" s="2" t="s">
        <v>4849</v>
      </c>
    </row>
    <row r="2875" spans="1:4" ht="13.05" customHeight="1" x14ac:dyDescent="0.3">
      <c r="A2875" s="2" t="s">
        <v>352</v>
      </c>
      <c r="B2875" s="2" t="s">
        <v>985</v>
      </c>
      <c r="C2875" s="5" t="s">
        <v>5069</v>
      </c>
      <c r="D2875" s="2" t="s">
        <v>4411</v>
      </c>
    </row>
    <row r="2876" spans="1:4" ht="13.05" customHeight="1" x14ac:dyDescent="0.3">
      <c r="A2876" s="2" t="s">
        <v>352</v>
      </c>
      <c r="B2876" s="2" t="s">
        <v>985</v>
      </c>
      <c r="C2876" s="5" t="s">
        <v>5070</v>
      </c>
      <c r="D2876" s="2" t="s">
        <v>5071</v>
      </c>
    </row>
    <row r="2877" spans="1:4" ht="13.05" customHeight="1" x14ac:dyDescent="0.3">
      <c r="A2877" s="2" t="s">
        <v>352</v>
      </c>
      <c r="B2877" s="2" t="s">
        <v>985</v>
      </c>
      <c r="C2877" s="5" t="s">
        <v>5072</v>
      </c>
      <c r="D2877" s="2" t="s">
        <v>4413</v>
      </c>
    </row>
    <row r="2878" spans="1:4" ht="13.05" customHeight="1" x14ac:dyDescent="0.3">
      <c r="A2878" s="2" t="s">
        <v>352</v>
      </c>
      <c r="B2878" s="2" t="s">
        <v>985</v>
      </c>
      <c r="C2878" s="5" t="s">
        <v>5073</v>
      </c>
      <c r="D2878" s="2" t="s">
        <v>5074</v>
      </c>
    </row>
    <row r="2879" spans="1:4" ht="13.05" customHeight="1" x14ac:dyDescent="0.3">
      <c r="A2879" s="2" t="s">
        <v>352</v>
      </c>
      <c r="B2879" s="2" t="s">
        <v>985</v>
      </c>
      <c r="C2879" s="5" t="s">
        <v>5075</v>
      </c>
      <c r="D2879" s="2" t="s">
        <v>4417</v>
      </c>
    </row>
    <row r="2880" spans="1:4" ht="13.05" customHeight="1" x14ac:dyDescent="0.3">
      <c r="A2880" s="2" t="s">
        <v>352</v>
      </c>
      <c r="B2880" s="2" t="s">
        <v>985</v>
      </c>
      <c r="C2880" s="5" t="s">
        <v>5076</v>
      </c>
      <c r="D2880" s="2" t="s">
        <v>5077</v>
      </c>
    </row>
    <row r="2881" spans="1:4" ht="13.05" customHeight="1" x14ac:dyDescent="0.3">
      <c r="A2881" s="2" t="s">
        <v>352</v>
      </c>
      <c r="B2881" s="2" t="s">
        <v>985</v>
      </c>
      <c r="C2881" s="5" t="s">
        <v>5078</v>
      </c>
      <c r="D2881" s="2" t="s">
        <v>5079</v>
      </c>
    </row>
    <row r="2882" spans="1:4" ht="13.05" customHeight="1" x14ac:dyDescent="0.3">
      <c r="A2882" s="2" t="s">
        <v>352</v>
      </c>
      <c r="B2882" s="2" t="s">
        <v>985</v>
      </c>
      <c r="C2882" s="5" t="s">
        <v>5080</v>
      </c>
      <c r="D2882" s="2" t="s">
        <v>5081</v>
      </c>
    </row>
    <row r="2883" spans="1:4" ht="13.05" customHeight="1" x14ac:dyDescent="0.3">
      <c r="A2883" s="2" t="s">
        <v>352</v>
      </c>
      <c r="B2883" s="2" t="s">
        <v>985</v>
      </c>
      <c r="C2883" s="5" t="s">
        <v>5082</v>
      </c>
      <c r="D2883" s="2" t="s">
        <v>5083</v>
      </c>
    </row>
    <row r="2884" spans="1:4" ht="13.05" customHeight="1" x14ac:dyDescent="0.3">
      <c r="A2884" s="2" t="s">
        <v>352</v>
      </c>
      <c r="B2884" s="2" t="s">
        <v>985</v>
      </c>
      <c r="C2884" s="5" t="s">
        <v>5084</v>
      </c>
      <c r="D2884" s="2" t="s">
        <v>5085</v>
      </c>
    </row>
    <row r="2885" spans="1:4" ht="13.05" customHeight="1" x14ac:dyDescent="0.3">
      <c r="A2885" s="2" t="s">
        <v>352</v>
      </c>
      <c r="B2885" s="2" t="s">
        <v>985</v>
      </c>
      <c r="C2885" s="5" t="s">
        <v>5086</v>
      </c>
      <c r="D2885" s="2" t="s">
        <v>5087</v>
      </c>
    </row>
    <row r="2886" spans="1:4" ht="13.05" customHeight="1" x14ac:dyDescent="0.3">
      <c r="A2886" s="2" t="s">
        <v>352</v>
      </c>
      <c r="B2886" s="2" t="s">
        <v>985</v>
      </c>
      <c r="C2886" s="5" t="s">
        <v>5088</v>
      </c>
      <c r="D2886" s="2" t="s">
        <v>5089</v>
      </c>
    </row>
    <row r="2887" spans="1:4" ht="13.05" customHeight="1" x14ac:dyDescent="0.3">
      <c r="A2887" s="2" t="s">
        <v>352</v>
      </c>
      <c r="B2887" s="2" t="s">
        <v>985</v>
      </c>
      <c r="C2887" s="5" t="s">
        <v>5090</v>
      </c>
      <c r="D2887" s="2" t="s">
        <v>4692</v>
      </c>
    </row>
    <row r="2888" spans="1:4" ht="13.05" customHeight="1" x14ac:dyDescent="0.3">
      <c r="A2888" s="2" t="s">
        <v>352</v>
      </c>
      <c r="B2888" s="2" t="s">
        <v>985</v>
      </c>
      <c r="C2888" s="5" t="s">
        <v>5091</v>
      </c>
      <c r="D2888" s="2" t="s">
        <v>5092</v>
      </c>
    </row>
    <row r="2889" spans="1:4" ht="13.05" customHeight="1" x14ac:dyDescent="0.3">
      <c r="A2889" s="2" t="s">
        <v>352</v>
      </c>
      <c r="B2889" s="2" t="s">
        <v>985</v>
      </c>
      <c r="C2889" s="5" t="s">
        <v>5093</v>
      </c>
      <c r="D2889" s="2" t="s">
        <v>5094</v>
      </c>
    </row>
    <row r="2890" spans="1:4" ht="13.05" customHeight="1" x14ac:dyDescent="0.3">
      <c r="A2890" s="2" t="s">
        <v>352</v>
      </c>
      <c r="B2890" s="2" t="s">
        <v>985</v>
      </c>
      <c r="C2890" s="5" t="s">
        <v>5095</v>
      </c>
      <c r="D2890" s="2" t="s">
        <v>5096</v>
      </c>
    </row>
    <row r="2891" spans="1:4" ht="13.05" customHeight="1" x14ac:dyDescent="0.3">
      <c r="A2891" s="2" t="s">
        <v>352</v>
      </c>
      <c r="B2891" s="2" t="s">
        <v>985</v>
      </c>
      <c r="C2891" s="5" t="s">
        <v>5097</v>
      </c>
      <c r="D2891" s="2" t="s">
        <v>5098</v>
      </c>
    </row>
    <row r="2892" spans="1:4" ht="13.05" customHeight="1" x14ac:dyDescent="0.3">
      <c r="A2892" s="2" t="s">
        <v>352</v>
      </c>
      <c r="B2892" s="2" t="s">
        <v>985</v>
      </c>
      <c r="C2892" s="5" t="s">
        <v>5099</v>
      </c>
      <c r="D2892" s="2" t="s">
        <v>5100</v>
      </c>
    </row>
    <row r="2893" spans="1:4" ht="13.05" customHeight="1" x14ac:dyDescent="0.3">
      <c r="A2893" s="2" t="s">
        <v>352</v>
      </c>
      <c r="B2893" s="2" t="s">
        <v>985</v>
      </c>
      <c r="C2893" s="5" t="s">
        <v>5101</v>
      </c>
      <c r="D2893" s="2" t="s">
        <v>5102</v>
      </c>
    </row>
    <row r="2894" spans="1:4" ht="13.05" customHeight="1" x14ac:dyDescent="0.3">
      <c r="A2894" s="2" t="s">
        <v>352</v>
      </c>
      <c r="B2894" s="2" t="s">
        <v>985</v>
      </c>
      <c r="C2894" s="5" t="s">
        <v>5103</v>
      </c>
      <c r="D2894" s="2" t="s">
        <v>5104</v>
      </c>
    </row>
    <row r="2895" spans="1:4" ht="13.05" customHeight="1" x14ac:dyDescent="0.3">
      <c r="A2895" s="2" t="s">
        <v>352</v>
      </c>
      <c r="B2895" s="2" t="s">
        <v>985</v>
      </c>
      <c r="C2895" s="5" t="s">
        <v>5105</v>
      </c>
      <c r="D2895" s="2" t="s">
        <v>5106</v>
      </c>
    </row>
    <row r="2896" spans="1:4" ht="13.05" customHeight="1" x14ac:dyDescent="0.3">
      <c r="A2896" s="2" t="s">
        <v>352</v>
      </c>
      <c r="B2896" s="2" t="s">
        <v>985</v>
      </c>
      <c r="C2896" s="5" t="s">
        <v>5107</v>
      </c>
      <c r="D2896" s="2" t="s">
        <v>5108</v>
      </c>
    </row>
    <row r="2897" spans="1:4" ht="13.05" customHeight="1" x14ac:dyDescent="0.3">
      <c r="A2897" s="2" t="s">
        <v>352</v>
      </c>
      <c r="B2897" s="2" t="s">
        <v>985</v>
      </c>
      <c r="C2897" s="5" t="s">
        <v>5109</v>
      </c>
      <c r="D2897" s="2" t="s">
        <v>5110</v>
      </c>
    </row>
    <row r="2898" spans="1:4" ht="13.05" customHeight="1" x14ac:dyDescent="0.3">
      <c r="A2898" s="2" t="s">
        <v>352</v>
      </c>
      <c r="B2898" s="2" t="s">
        <v>985</v>
      </c>
      <c r="C2898" s="5" t="s">
        <v>5111</v>
      </c>
      <c r="D2898" s="2" t="s">
        <v>5112</v>
      </c>
    </row>
    <row r="2899" spans="1:4" ht="13.05" customHeight="1" x14ac:dyDescent="0.3">
      <c r="A2899" s="2" t="s">
        <v>352</v>
      </c>
      <c r="B2899" s="2" t="s">
        <v>985</v>
      </c>
      <c r="C2899" s="5" t="s">
        <v>5113</v>
      </c>
      <c r="D2899" s="2" t="s">
        <v>5114</v>
      </c>
    </row>
    <row r="2900" spans="1:4" ht="13.05" customHeight="1" x14ac:dyDescent="0.3">
      <c r="A2900" s="2" t="s">
        <v>352</v>
      </c>
      <c r="B2900" s="2" t="s">
        <v>985</v>
      </c>
      <c r="C2900" s="5" t="s">
        <v>5115</v>
      </c>
      <c r="D2900" s="2" t="s">
        <v>5116</v>
      </c>
    </row>
    <row r="2901" spans="1:4" ht="13.05" customHeight="1" x14ac:dyDescent="0.3">
      <c r="A2901" s="2" t="s">
        <v>352</v>
      </c>
      <c r="B2901" s="2" t="s">
        <v>985</v>
      </c>
      <c r="C2901" s="5" t="s">
        <v>5117</v>
      </c>
      <c r="D2901" s="2" t="s">
        <v>5118</v>
      </c>
    </row>
    <row r="2902" spans="1:4" ht="13.05" customHeight="1" x14ac:dyDescent="0.3">
      <c r="A2902" s="2" t="s">
        <v>352</v>
      </c>
      <c r="B2902" s="2" t="s">
        <v>985</v>
      </c>
      <c r="C2902" s="5" t="s">
        <v>5119</v>
      </c>
      <c r="D2902" s="2" t="s">
        <v>5120</v>
      </c>
    </row>
    <row r="2903" spans="1:4" ht="13.05" customHeight="1" x14ac:dyDescent="0.3">
      <c r="A2903" s="2" t="s">
        <v>352</v>
      </c>
      <c r="B2903" s="2" t="s">
        <v>985</v>
      </c>
      <c r="C2903" s="5" t="s">
        <v>5121</v>
      </c>
      <c r="D2903" s="2" t="s">
        <v>3356</v>
      </c>
    </row>
    <row r="2904" spans="1:4" ht="13.05" customHeight="1" x14ac:dyDescent="0.3">
      <c r="A2904" s="2" t="s">
        <v>352</v>
      </c>
      <c r="B2904" s="2" t="s">
        <v>985</v>
      </c>
      <c r="C2904" s="5" t="s">
        <v>5122</v>
      </c>
      <c r="D2904" s="2" t="s">
        <v>3358</v>
      </c>
    </row>
    <row r="2905" spans="1:4" ht="13.05" customHeight="1" x14ac:dyDescent="0.3">
      <c r="A2905" s="2" t="s">
        <v>352</v>
      </c>
      <c r="B2905" s="2" t="s">
        <v>985</v>
      </c>
      <c r="C2905" s="5" t="s">
        <v>5123</v>
      </c>
      <c r="D2905" s="2" t="s">
        <v>5124</v>
      </c>
    </row>
    <row r="2906" spans="1:4" ht="13.05" customHeight="1" x14ac:dyDescent="0.3">
      <c r="A2906" s="2" t="s">
        <v>352</v>
      </c>
      <c r="B2906" s="2" t="s">
        <v>985</v>
      </c>
      <c r="C2906" s="5" t="s">
        <v>5125</v>
      </c>
      <c r="D2906" s="2" t="s">
        <v>5126</v>
      </c>
    </row>
    <row r="2907" spans="1:4" ht="13.05" customHeight="1" x14ac:dyDescent="0.3">
      <c r="A2907" s="2" t="s">
        <v>352</v>
      </c>
      <c r="B2907" s="2" t="s">
        <v>985</v>
      </c>
      <c r="C2907" s="5" t="s">
        <v>5127</v>
      </c>
      <c r="D2907" s="2" t="s">
        <v>4169</v>
      </c>
    </row>
    <row r="2908" spans="1:4" ht="13.05" customHeight="1" x14ac:dyDescent="0.3">
      <c r="A2908" s="2" t="s">
        <v>352</v>
      </c>
      <c r="B2908" s="2" t="s">
        <v>985</v>
      </c>
      <c r="C2908" s="5" t="s">
        <v>5128</v>
      </c>
      <c r="D2908" s="2" t="s">
        <v>3481</v>
      </c>
    </row>
    <row r="2909" spans="1:4" ht="13.05" customHeight="1" x14ac:dyDescent="0.3">
      <c r="A2909" s="2" t="s">
        <v>352</v>
      </c>
      <c r="B2909" s="2" t="s">
        <v>985</v>
      </c>
      <c r="C2909" s="5" t="s">
        <v>5129</v>
      </c>
      <c r="D2909" s="2" t="s">
        <v>3483</v>
      </c>
    </row>
    <row r="2910" spans="1:4" ht="13.05" customHeight="1" x14ac:dyDescent="0.3">
      <c r="A2910" s="2" t="s">
        <v>352</v>
      </c>
      <c r="B2910" s="2" t="s">
        <v>985</v>
      </c>
      <c r="C2910" s="5" t="s">
        <v>5130</v>
      </c>
      <c r="D2910" s="2" t="s">
        <v>3485</v>
      </c>
    </row>
    <row r="2911" spans="1:4" ht="13.05" customHeight="1" x14ac:dyDescent="0.3">
      <c r="A2911" s="2" t="s">
        <v>352</v>
      </c>
      <c r="B2911" s="2" t="s">
        <v>985</v>
      </c>
      <c r="C2911" s="5" t="s">
        <v>5131</v>
      </c>
      <c r="D2911" s="2" t="s">
        <v>3676</v>
      </c>
    </row>
    <row r="2912" spans="1:4" ht="13.05" customHeight="1" x14ac:dyDescent="0.3">
      <c r="A2912" s="2" t="s">
        <v>352</v>
      </c>
      <c r="B2912" s="2" t="s">
        <v>985</v>
      </c>
      <c r="C2912" s="5" t="s">
        <v>5132</v>
      </c>
      <c r="D2912" s="2" t="s">
        <v>3489</v>
      </c>
    </row>
    <row r="2913" spans="1:4" ht="13.05" customHeight="1" x14ac:dyDescent="0.3">
      <c r="A2913" s="2" t="s">
        <v>352</v>
      </c>
      <c r="B2913" s="2" t="s">
        <v>985</v>
      </c>
      <c r="C2913" s="5" t="s">
        <v>5133</v>
      </c>
      <c r="D2913" s="2" t="s">
        <v>3304</v>
      </c>
    </row>
    <row r="2914" spans="1:4" ht="13.05" customHeight="1" x14ac:dyDescent="0.3">
      <c r="A2914" s="2" t="s">
        <v>352</v>
      </c>
      <c r="B2914" s="2" t="s">
        <v>985</v>
      </c>
      <c r="C2914" s="5" t="s">
        <v>5134</v>
      </c>
      <c r="D2914" s="2" t="s">
        <v>3492</v>
      </c>
    </row>
    <row r="2915" spans="1:4" ht="13.05" customHeight="1" x14ac:dyDescent="0.3">
      <c r="A2915" s="2" t="s">
        <v>352</v>
      </c>
      <c r="B2915" s="2" t="s">
        <v>985</v>
      </c>
      <c r="C2915" s="5" t="s">
        <v>5135</v>
      </c>
      <c r="D2915" s="2" t="s">
        <v>3306</v>
      </c>
    </row>
    <row r="2916" spans="1:4" ht="13.05" customHeight="1" x14ac:dyDescent="0.3">
      <c r="A2916" s="2" t="s">
        <v>352</v>
      </c>
      <c r="B2916" s="2" t="s">
        <v>985</v>
      </c>
      <c r="C2916" s="5" t="s">
        <v>5136</v>
      </c>
      <c r="D2916" s="2" t="s">
        <v>3681</v>
      </c>
    </row>
    <row r="2917" spans="1:4" ht="13.05" customHeight="1" x14ac:dyDescent="0.3">
      <c r="A2917" s="2" t="s">
        <v>352</v>
      </c>
      <c r="B2917" s="2" t="s">
        <v>985</v>
      </c>
      <c r="C2917" s="5" t="s">
        <v>5137</v>
      </c>
      <c r="D2917" s="2" t="s">
        <v>4640</v>
      </c>
    </row>
    <row r="2918" spans="1:4" ht="13.05" customHeight="1" x14ac:dyDescent="0.3">
      <c r="A2918" s="2" t="s">
        <v>352</v>
      </c>
      <c r="B2918" s="2" t="s">
        <v>985</v>
      </c>
      <c r="C2918" s="5" t="s">
        <v>5138</v>
      </c>
      <c r="D2918" s="2" t="s">
        <v>5139</v>
      </c>
    </row>
    <row r="2919" spans="1:4" ht="13.05" customHeight="1" x14ac:dyDescent="0.3">
      <c r="A2919" s="2" t="s">
        <v>352</v>
      </c>
      <c r="B2919" s="2" t="s">
        <v>985</v>
      </c>
      <c r="C2919" s="5" t="s">
        <v>5140</v>
      </c>
      <c r="D2919" s="2" t="s">
        <v>5141</v>
      </c>
    </row>
    <row r="2920" spans="1:4" ht="13.05" customHeight="1" x14ac:dyDescent="0.3">
      <c r="A2920" s="2" t="s">
        <v>352</v>
      </c>
      <c r="B2920" s="2" t="s">
        <v>985</v>
      </c>
      <c r="C2920" s="5" t="s">
        <v>5142</v>
      </c>
      <c r="D2920" s="2" t="s">
        <v>5143</v>
      </c>
    </row>
    <row r="2921" spans="1:4" ht="13.05" customHeight="1" x14ac:dyDescent="0.3">
      <c r="A2921" s="2" t="s">
        <v>352</v>
      </c>
      <c r="B2921" s="2" t="s">
        <v>985</v>
      </c>
      <c r="C2921" s="5" t="s">
        <v>5144</v>
      </c>
      <c r="D2921" s="2" t="s">
        <v>5145</v>
      </c>
    </row>
    <row r="2922" spans="1:4" ht="13.05" customHeight="1" x14ac:dyDescent="0.3">
      <c r="A2922" s="2" t="s">
        <v>352</v>
      </c>
      <c r="B2922" s="2" t="s">
        <v>985</v>
      </c>
      <c r="C2922" s="5" t="s">
        <v>5146</v>
      </c>
      <c r="D2922" s="2" t="s">
        <v>5147</v>
      </c>
    </row>
    <row r="2923" spans="1:4" ht="13.05" customHeight="1" x14ac:dyDescent="0.3">
      <c r="A2923" s="2" t="s">
        <v>352</v>
      </c>
      <c r="B2923" s="2" t="s">
        <v>985</v>
      </c>
      <c r="C2923" s="5" t="s">
        <v>5148</v>
      </c>
      <c r="D2923" s="2" t="s">
        <v>5149</v>
      </c>
    </row>
    <row r="2924" spans="1:4" ht="13.05" customHeight="1" x14ac:dyDescent="0.3">
      <c r="A2924" s="2" t="s">
        <v>352</v>
      </c>
      <c r="B2924" s="2" t="s">
        <v>985</v>
      </c>
      <c r="C2924" s="5" t="s">
        <v>5150</v>
      </c>
      <c r="D2924" s="2" t="s">
        <v>5151</v>
      </c>
    </row>
    <row r="2925" spans="1:4" ht="13.05" customHeight="1" x14ac:dyDescent="0.3">
      <c r="A2925" s="2" t="s">
        <v>352</v>
      </c>
      <c r="B2925" s="2" t="s">
        <v>985</v>
      </c>
      <c r="C2925" s="5" t="s">
        <v>5152</v>
      </c>
      <c r="D2925" s="2" t="s">
        <v>5153</v>
      </c>
    </row>
    <row r="2926" spans="1:4" ht="13.05" customHeight="1" x14ac:dyDescent="0.3">
      <c r="A2926" s="2" t="s">
        <v>352</v>
      </c>
      <c r="B2926" s="2" t="s">
        <v>985</v>
      </c>
      <c r="C2926" s="5" t="s">
        <v>5154</v>
      </c>
      <c r="D2926" s="2" t="s">
        <v>5155</v>
      </c>
    </row>
    <row r="2927" spans="1:4" ht="13.05" customHeight="1" x14ac:dyDescent="0.3">
      <c r="A2927" s="2" t="s">
        <v>352</v>
      </c>
      <c r="B2927" s="2" t="s">
        <v>985</v>
      </c>
      <c r="C2927" s="5" t="s">
        <v>5156</v>
      </c>
      <c r="D2927" s="2" t="s">
        <v>5157</v>
      </c>
    </row>
    <row r="2928" spans="1:4" ht="13.05" customHeight="1" x14ac:dyDescent="0.3">
      <c r="A2928" s="2" t="s">
        <v>352</v>
      </c>
      <c r="B2928" s="2" t="s">
        <v>985</v>
      </c>
      <c r="C2928" s="5" t="s">
        <v>5158</v>
      </c>
      <c r="D2928" s="2" t="s">
        <v>5159</v>
      </c>
    </row>
    <row r="2929" spans="1:4" ht="13.05" customHeight="1" x14ac:dyDescent="0.3">
      <c r="A2929" s="2" t="s">
        <v>352</v>
      </c>
      <c r="B2929" s="2" t="s">
        <v>985</v>
      </c>
      <c r="C2929" s="5" t="s">
        <v>5160</v>
      </c>
      <c r="D2929" s="2" t="s">
        <v>5161</v>
      </c>
    </row>
    <row r="2930" spans="1:4" ht="13.05" customHeight="1" x14ac:dyDescent="0.3">
      <c r="A2930" s="2" t="s">
        <v>352</v>
      </c>
      <c r="B2930" s="2" t="s">
        <v>985</v>
      </c>
      <c r="C2930" s="5" t="s">
        <v>5162</v>
      </c>
      <c r="D2930" s="2" t="s">
        <v>5163</v>
      </c>
    </row>
    <row r="2931" spans="1:4" ht="13.05" customHeight="1" x14ac:dyDescent="0.3">
      <c r="A2931" s="2" t="s">
        <v>352</v>
      </c>
      <c r="B2931" s="2" t="s">
        <v>985</v>
      </c>
      <c r="C2931" s="5" t="s">
        <v>5164</v>
      </c>
      <c r="D2931" s="2" t="s">
        <v>5165</v>
      </c>
    </row>
    <row r="2932" spans="1:4" ht="13.05" customHeight="1" x14ac:dyDescent="0.3">
      <c r="A2932" s="2" t="s">
        <v>352</v>
      </c>
      <c r="B2932" s="2" t="s">
        <v>985</v>
      </c>
      <c r="C2932" s="5" t="s">
        <v>5166</v>
      </c>
      <c r="D2932" s="2" t="s">
        <v>5167</v>
      </c>
    </row>
    <row r="2933" spans="1:4" ht="13.05" customHeight="1" x14ac:dyDescent="0.3">
      <c r="A2933" s="2" t="s">
        <v>352</v>
      </c>
      <c r="B2933" s="2" t="s">
        <v>985</v>
      </c>
      <c r="C2933" s="5" t="s">
        <v>5168</v>
      </c>
      <c r="D2933" s="2" t="s">
        <v>5169</v>
      </c>
    </row>
    <row r="2934" spans="1:4" ht="13.05" customHeight="1" x14ac:dyDescent="0.3">
      <c r="A2934" s="2" t="s">
        <v>352</v>
      </c>
      <c r="B2934" s="2" t="s">
        <v>985</v>
      </c>
      <c r="C2934" s="5" t="s">
        <v>5170</v>
      </c>
      <c r="D2934" s="2" t="s">
        <v>5171</v>
      </c>
    </row>
    <row r="2935" spans="1:4" ht="13.05" customHeight="1" x14ac:dyDescent="0.3">
      <c r="A2935" s="2" t="s">
        <v>352</v>
      </c>
      <c r="B2935" s="2" t="s">
        <v>985</v>
      </c>
      <c r="C2935" s="5" t="s">
        <v>5172</v>
      </c>
      <c r="D2935" s="2" t="s">
        <v>3244</v>
      </c>
    </row>
    <row r="2936" spans="1:4" ht="13.05" customHeight="1" x14ac:dyDescent="0.3">
      <c r="A2936" s="2" t="s">
        <v>352</v>
      </c>
      <c r="B2936" s="2" t="s">
        <v>985</v>
      </c>
      <c r="C2936" s="5" t="s">
        <v>5173</v>
      </c>
      <c r="D2936" s="2" t="s">
        <v>3358</v>
      </c>
    </row>
    <row r="2937" spans="1:4" ht="13.05" customHeight="1" x14ac:dyDescent="0.3">
      <c r="A2937" s="2" t="s">
        <v>352</v>
      </c>
      <c r="B2937" s="2" t="s">
        <v>985</v>
      </c>
      <c r="C2937" s="5" t="s">
        <v>5174</v>
      </c>
      <c r="D2937" s="2" t="s">
        <v>5175</v>
      </c>
    </row>
    <row r="2938" spans="1:4" ht="13.05" customHeight="1" x14ac:dyDescent="0.3">
      <c r="A2938" s="2" t="s">
        <v>352</v>
      </c>
      <c r="B2938" s="2" t="s">
        <v>985</v>
      </c>
      <c r="C2938" s="5" t="s">
        <v>5176</v>
      </c>
      <c r="D2938" s="2" t="s">
        <v>5177</v>
      </c>
    </row>
    <row r="2939" spans="1:4" ht="13.05" customHeight="1" x14ac:dyDescent="0.3">
      <c r="A2939" s="2" t="s">
        <v>352</v>
      </c>
      <c r="B2939" s="2" t="s">
        <v>985</v>
      </c>
      <c r="C2939" s="5" t="s">
        <v>5178</v>
      </c>
      <c r="D2939" s="2" t="s">
        <v>5179</v>
      </c>
    </row>
    <row r="2940" spans="1:4" ht="13.05" customHeight="1" x14ac:dyDescent="0.3">
      <c r="A2940" s="2" t="s">
        <v>352</v>
      </c>
      <c r="B2940" s="2" t="s">
        <v>985</v>
      </c>
      <c r="C2940" s="5" t="s">
        <v>5180</v>
      </c>
      <c r="D2940" s="2" t="s">
        <v>5039</v>
      </c>
    </row>
    <row r="2941" spans="1:4" ht="13.05" customHeight="1" x14ac:dyDescent="0.3">
      <c r="A2941" s="2" t="s">
        <v>352</v>
      </c>
      <c r="B2941" s="2" t="s">
        <v>985</v>
      </c>
      <c r="C2941" s="5" t="s">
        <v>5181</v>
      </c>
      <c r="D2941" s="2" t="s">
        <v>5182</v>
      </c>
    </row>
    <row r="2942" spans="1:4" ht="13.05" customHeight="1" x14ac:dyDescent="0.3">
      <c r="A2942" s="2" t="s">
        <v>352</v>
      </c>
      <c r="B2942" s="2" t="s">
        <v>985</v>
      </c>
      <c r="C2942" s="5" t="s">
        <v>5183</v>
      </c>
      <c r="D2942" s="2" t="s">
        <v>3276</v>
      </c>
    </row>
    <row r="2943" spans="1:4" ht="13.05" customHeight="1" x14ac:dyDescent="0.3">
      <c r="A2943" s="2" t="s">
        <v>352</v>
      </c>
      <c r="B2943" s="2" t="s">
        <v>985</v>
      </c>
      <c r="C2943" s="5" t="s">
        <v>5184</v>
      </c>
      <c r="D2943" s="2" t="s">
        <v>3278</v>
      </c>
    </row>
    <row r="2944" spans="1:4" ht="13.05" customHeight="1" x14ac:dyDescent="0.3">
      <c r="A2944" s="2" t="s">
        <v>352</v>
      </c>
      <c r="B2944" s="2" t="s">
        <v>985</v>
      </c>
      <c r="C2944" s="5" t="s">
        <v>5185</v>
      </c>
      <c r="D2944" s="2" t="s">
        <v>3483</v>
      </c>
    </row>
    <row r="2945" spans="1:4" ht="13.05" customHeight="1" x14ac:dyDescent="0.3">
      <c r="A2945" s="2" t="s">
        <v>352</v>
      </c>
      <c r="B2945" s="2" t="s">
        <v>985</v>
      </c>
      <c r="C2945" s="5" t="s">
        <v>5186</v>
      </c>
      <c r="D2945" s="2" t="s">
        <v>3304</v>
      </c>
    </row>
    <row r="2946" spans="1:4" ht="13.05" customHeight="1" x14ac:dyDescent="0.3">
      <c r="A2946" s="2" t="s">
        <v>352</v>
      </c>
      <c r="B2946" s="2" t="s">
        <v>985</v>
      </c>
      <c r="C2946" s="5" t="s">
        <v>5187</v>
      </c>
      <c r="D2946" s="2" t="s">
        <v>3492</v>
      </c>
    </row>
    <row r="2947" spans="1:4" ht="13.05" customHeight="1" x14ac:dyDescent="0.3">
      <c r="A2947" s="2" t="s">
        <v>352</v>
      </c>
      <c r="B2947" s="2" t="s">
        <v>985</v>
      </c>
      <c r="C2947" s="5" t="s">
        <v>5188</v>
      </c>
      <c r="D2947" s="2" t="s">
        <v>4635</v>
      </c>
    </row>
    <row r="2948" spans="1:4" ht="13.05" customHeight="1" x14ac:dyDescent="0.3">
      <c r="A2948" s="2" t="s">
        <v>352</v>
      </c>
      <c r="B2948" s="2" t="s">
        <v>985</v>
      </c>
      <c r="C2948" s="5" t="s">
        <v>5189</v>
      </c>
      <c r="D2948" s="2" t="s">
        <v>3306</v>
      </c>
    </row>
    <row r="2949" spans="1:4" ht="13.05" customHeight="1" x14ac:dyDescent="0.3">
      <c r="A2949" s="2" t="s">
        <v>352</v>
      </c>
      <c r="B2949" s="2" t="s">
        <v>985</v>
      </c>
      <c r="C2949" s="5" t="s">
        <v>5190</v>
      </c>
      <c r="D2949" s="2" t="s">
        <v>3681</v>
      </c>
    </row>
    <row r="2950" spans="1:4" ht="13.05" customHeight="1" x14ac:dyDescent="0.3">
      <c r="A2950" s="2" t="s">
        <v>352</v>
      </c>
      <c r="B2950" s="2" t="s">
        <v>985</v>
      </c>
      <c r="C2950" s="5" t="s">
        <v>5191</v>
      </c>
      <c r="D2950" s="2" t="s">
        <v>4640</v>
      </c>
    </row>
    <row r="2951" spans="1:4" ht="13.05" customHeight="1" x14ac:dyDescent="0.3">
      <c r="A2951" s="2" t="s">
        <v>352</v>
      </c>
      <c r="B2951" s="2" t="s">
        <v>985</v>
      </c>
      <c r="C2951" s="5" t="s">
        <v>5192</v>
      </c>
      <c r="D2951" s="2" t="s">
        <v>5193</v>
      </c>
    </row>
    <row r="2952" spans="1:4" ht="13.05" customHeight="1" x14ac:dyDescent="0.3">
      <c r="A2952" s="2" t="s">
        <v>352</v>
      </c>
      <c r="B2952" s="2" t="s">
        <v>985</v>
      </c>
      <c r="C2952" s="5" t="s">
        <v>5194</v>
      </c>
      <c r="D2952" s="2" t="s">
        <v>5195</v>
      </c>
    </row>
    <row r="2953" spans="1:4" ht="13.05" customHeight="1" x14ac:dyDescent="0.3">
      <c r="A2953" s="2" t="s">
        <v>352</v>
      </c>
      <c r="B2953" s="2" t="s">
        <v>985</v>
      </c>
      <c r="C2953" s="5" t="s">
        <v>5196</v>
      </c>
      <c r="D2953" s="2" t="s">
        <v>5197</v>
      </c>
    </row>
    <row r="2954" spans="1:4" ht="13.05" customHeight="1" x14ac:dyDescent="0.3">
      <c r="A2954" s="2" t="s">
        <v>352</v>
      </c>
      <c r="B2954" s="2" t="s">
        <v>985</v>
      </c>
      <c r="C2954" s="5" t="s">
        <v>5198</v>
      </c>
      <c r="D2954" s="2" t="s">
        <v>5199</v>
      </c>
    </row>
    <row r="2955" spans="1:4" ht="13.05" customHeight="1" x14ac:dyDescent="0.3">
      <c r="A2955" s="2" t="s">
        <v>352</v>
      </c>
      <c r="B2955" s="2" t="s">
        <v>985</v>
      </c>
      <c r="C2955" s="5" t="s">
        <v>5200</v>
      </c>
      <c r="D2955" s="2" t="s">
        <v>5201</v>
      </c>
    </row>
    <row r="2956" spans="1:4" ht="13.05" customHeight="1" x14ac:dyDescent="0.3">
      <c r="A2956" s="2" t="s">
        <v>352</v>
      </c>
      <c r="B2956" s="2" t="s">
        <v>985</v>
      </c>
      <c r="C2956" s="5" t="s">
        <v>5202</v>
      </c>
      <c r="D2956" s="2" t="s">
        <v>5203</v>
      </c>
    </row>
    <row r="2957" spans="1:4" ht="13.05" customHeight="1" x14ac:dyDescent="0.3">
      <c r="A2957" s="2" t="s">
        <v>352</v>
      </c>
      <c r="B2957" s="2" t="s">
        <v>985</v>
      </c>
      <c r="C2957" s="5" t="s">
        <v>5204</v>
      </c>
      <c r="D2957" s="2" t="s">
        <v>5205</v>
      </c>
    </row>
    <row r="2958" spans="1:4" ht="13.05" customHeight="1" x14ac:dyDescent="0.3">
      <c r="A2958" s="2" t="s">
        <v>352</v>
      </c>
      <c r="B2958" s="2" t="s">
        <v>985</v>
      </c>
      <c r="C2958" s="5" t="s">
        <v>5206</v>
      </c>
      <c r="D2958" s="2" t="s">
        <v>5207</v>
      </c>
    </row>
    <row r="2959" spans="1:4" ht="13.05" customHeight="1" x14ac:dyDescent="0.3">
      <c r="A2959" s="2" t="s">
        <v>352</v>
      </c>
      <c r="B2959" s="2" t="s">
        <v>985</v>
      </c>
      <c r="C2959" s="5" t="s">
        <v>5208</v>
      </c>
      <c r="D2959" s="2" t="s">
        <v>5209</v>
      </c>
    </row>
    <row r="2960" spans="1:4" ht="13.05" customHeight="1" x14ac:dyDescent="0.3">
      <c r="A2960" s="2" t="s">
        <v>352</v>
      </c>
      <c r="B2960" s="2" t="s">
        <v>985</v>
      </c>
      <c r="C2960" s="5" t="s">
        <v>5210</v>
      </c>
      <c r="D2960" s="2" t="s">
        <v>3356</v>
      </c>
    </row>
    <row r="2961" spans="1:4" ht="13.05" customHeight="1" x14ac:dyDescent="0.3">
      <c r="A2961" s="2" t="s">
        <v>352</v>
      </c>
      <c r="B2961" s="2" t="s">
        <v>985</v>
      </c>
      <c r="C2961" s="5" t="s">
        <v>5211</v>
      </c>
      <c r="D2961" s="2" t="s">
        <v>3358</v>
      </c>
    </row>
    <row r="2962" spans="1:4" ht="13.05" customHeight="1" x14ac:dyDescent="0.3">
      <c r="A2962" s="2" t="s">
        <v>352</v>
      </c>
      <c r="B2962" s="2" t="s">
        <v>985</v>
      </c>
      <c r="C2962" s="5" t="s">
        <v>5212</v>
      </c>
      <c r="D2962" s="2" t="s">
        <v>5213</v>
      </c>
    </row>
    <row r="2963" spans="1:4" ht="13.05" customHeight="1" x14ac:dyDescent="0.3">
      <c r="A2963" s="2" t="s">
        <v>352</v>
      </c>
      <c r="B2963" s="2" t="s">
        <v>985</v>
      </c>
      <c r="C2963" s="5" t="s">
        <v>5214</v>
      </c>
      <c r="D2963" s="2" t="s">
        <v>5215</v>
      </c>
    </row>
    <row r="2964" spans="1:4" ht="13.05" customHeight="1" x14ac:dyDescent="0.3">
      <c r="A2964" s="2" t="s">
        <v>352</v>
      </c>
      <c r="B2964" s="2" t="s">
        <v>985</v>
      </c>
      <c r="C2964" s="5" t="s">
        <v>5216</v>
      </c>
      <c r="D2964" s="2" t="s">
        <v>5217</v>
      </c>
    </row>
    <row r="2965" spans="1:4" ht="13.05" customHeight="1" x14ac:dyDescent="0.3">
      <c r="A2965" s="2" t="s">
        <v>352</v>
      </c>
      <c r="B2965" s="2" t="s">
        <v>985</v>
      </c>
      <c r="C2965" s="5" t="s">
        <v>5218</v>
      </c>
      <c r="D2965" s="2" t="s">
        <v>5219</v>
      </c>
    </row>
    <row r="2966" spans="1:4" ht="13.05" customHeight="1" x14ac:dyDescent="0.3">
      <c r="A2966" s="2" t="s">
        <v>352</v>
      </c>
      <c r="B2966" s="2" t="s">
        <v>985</v>
      </c>
      <c r="C2966" s="5" t="s">
        <v>5220</v>
      </c>
      <c r="D2966" s="2" t="s">
        <v>5221</v>
      </c>
    </row>
    <row r="2967" spans="1:4" ht="13.05" customHeight="1" x14ac:dyDescent="0.3">
      <c r="A2967" s="2" t="s">
        <v>352</v>
      </c>
      <c r="B2967" s="2" t="s">
        <v>985</v>
      </c>
      <c r="C2967" s="5" t="s">
        <v>5222</v>
      </c>
      <c r="D2967" s="2" t="s">
        <v>5223</v>
      </c>
    </row>
    <row r="2968" spans="1:4" ht="13.05" customHeight="1" x14ac:dyDescent="0.3">
      <c r="A2968" s="2" t="s">
        <v>352</v>
      </c>
      <c r="B2968" s="2" t="s">
        <v>985</v>
      </c>
      <c r="C2968" s="5" t="s">
        <v>5224</v>
      </c>
      <c r="D2968" s="2" t="s">
        <v>5225</v>
      </c>
    </row>
    <row r="2969" spans="1:4" ht="13.05" customHeight="1" x14ac:dyDescent="0.3">
      <c r="A2969" s="2" t="s">
        <v>352</v>
      </c>
      <c r="B2969" s="2" t="s">
        <v>985</v>
      </c>
      <c r="C2969" s="5" t="s">
        <v>5226</v>
      </c>
      <c r="D2969" s="2" t="s">
        <v>3300</v>
      </c>
    </row>
    <row r="2970" spans="1:4" ht="13.05" customHeight="1" x14ac:dyDescent="0.3">
      <c r="A2970" s="2" t="s">
        <v>352</v>
      </c>
      <c r="B2970" s="2" t="s">
        <v>985</v>
      </c>
      <c r="C2970" s="5" t="s">
        <v>5227</v>
      </c>
      <c r="D2970" s="2" t="s">
        <v>5228</v>
      </c>
    </row>
    <row r="2971" spans="1:4" ht="13.05" customHeight="1" x14ac:dyDescent="0.3">
      <c r="A2971" s="2" t="s">
        <v>352</v>
      </c>
      <c r="B2971" s="2" t="s">
        <v>985</v>
      </c>
      <c r="C2971" s="5" t="s">
        <v>5229</v>
      </c>
      <c r="D2971" s="2" t="s">
        <v>5230</v>
      </c>
    </row>
    <row r="2972" spans="1:4" ht="13.05" customHeight="1" x14ac:dyDescent="0.3">
      <c r="A2972" s="2" t="s">
        <v>352</v>
      </c>
      <c r="B2972" s="2" t="s">
        <v>985</v>
      </c>
      <c r="C2972" s="5" t="s">
        <v>5231</v>
      </c>
      <c r="D2972" s="2" t="s">
        <v>5232</v>
      </c>
    </row>
    <row r="2973" spans="1:4" ht="13.05" customHeight="1" x14ac:dyDescent="0.3">
      <c r="A2973" s="2" t="s">
        <v>352</v>
      </c>
      <c r="B2973" s="2" t="s">
        <v>985</v>
      </c>
      <c r="C2973" s="5" t="s">
        <v>5233</v>
      </c>
      <c r="D2973" s="2" t="s">
        <v>5234</v>
      </c>
    </row>
    <row r="2974" spans="1:4" ht="13.05" customHeight="1" x14ac:dyDescent="0.3">
      <c r="A2974" s="2" t="s">
        <v>352</v>
      </c>
      <c r="B2974" s="2" t="s">
        <v>985</v>
      </c>
      <c r="C2974" s="5" t="s">
        <v>5235</v>
      </c>
      <c r="D2974" s="2" t="s">
        <v>5236</v>
      </c>
    </row>
    <row r="2975" spans="1:4" ht="13.05" customHeight="1" x14ac:dyDescent="0.3">
      <c r="A2975" s="2" t="s">
        <v>352</v>
      </c>
      <c r="B2975" s="2" t="s">
        <v>985</v>
      </c>
      <c r="C2975" s="5" t="s">
        <v>5237</v>
      </c>
      <c r="D2975" s="2" t="s">
        <v>5238</v>
      </c>
    </row>
    <row r="2976" spans="1:4" ht="13.05" customHeight="1" x14ac:dyDescent="0.3">
      <c r="A2976" s="2" t="s">
        <v>352</v>
      </c>
      <c r="B2976" s="2" t="s">
        <v>985</v>
      </c>
      <c r="C2976" s="5" t="s">
        <v>5239</v>
      </c>
      <c r="D2976" s="2" t="s">
        <v>5240</v>
      </c>
    </row>
    <row r="2977" spans="1:4" ht="13.05" customHeight="1" x14ac:dyDescent="0.3">
      <c r="A2977" s="2" t="s">
        <v>352</v>
      </c>
      <c r="B2977" s="2" t="s">
        <v>985</v>
      </c>
      <c r="C2977" s="5" t="s">
        <v>5241</v>
      </c>
      <c r="D2977" s="2" t="s">
        <v>5242</v>
      </c>
    </row>
    <row r="2978" spans="1:4" ht="13.05" customHeight="1" x14ac:dyDescent="0.3">
      <c r="A2978" s="2" t="s">
        <v>352</v>
      </c>
      <c r="B2978" s="2" t="s">
        <v>985</v>
      </c>
      <c r="C2978" s="5" t="s">
        <v>5243</v>
      </c>
      <c r="D2978" s="2" t="s">
        <v>4585</v>
      </c>
    </row>
    <row r="2979" spans="1:4" ht="13.05" customHeight="1" x14ac:dyDescent="0.3">
      <c r="A2979" s="2" t="s">
        <v>352</v>
      </c>
      <c r="B2979" s="2" t="s">
        <v>985</v>
      </c>
      <c r="C2979" s="5" t="s">
        <v>5244</v>
      </c>
      <c r="D2979" s="2" t="s">
        <v>4587</v>
      </c>
    </row>
    <row r="2980" spans="1:4" ht="13.05" customHeight="1" x14ac:dyDescent="0.3">
      <c r="A2980" s="2" t="s">
        <v>352</v>
      </c>
      <c r="B2980" s="2" t="s">
        <v>985</v>
      </c>
      <c r="C2980" s="5" t="s">
        <v>5245</v>
      </c>
      <c r="D2980" s="2" t="s">
        <v>4589</v>
      </c>
    </row>
    <row r="2981" spans="1:4" ht="13.05" customHeight="1" x14ac:dyDescent="0.3">
      <c r="A2981" s="2" t="s">
        <v>352</v>
      </c>
      <c r="B2981" s="2" t="s">
        <v>985</v>
      </c>
      <c r="C2981" s="5" t="s">
        <v>5246</v>
      </c>
      <c r="D2981" s="2" t="s">
        <v>4851</v>
      </c>
    </row>
    <row r="2982" spans="1:4" ht="13.05" customHeight="1" x14ac:dyDescent="0.3">
      <c r="A2982" s="2" t="s">
        <v>352</v>
      </c>
      <c r="B2982" s="2" t="s">
        <v>985</v>
      </c>
      <c r="C2982" s="5" t="s">
        <v>5247</v>
      </c>
      <c r="D2982" s="2" t="s">
        <v>5248</v>
      </c>
    </row>
    <row r="2983" spans="1:4" ht="13.05" customHeight="1" x14ac:dyDescent="0.3">
      <c r="A2983" s="2" t="s">
        <v>352</v>
      </c>
      <c r="B2983" s="2" t="s">
        <v>985</v>
      </c>
      <c r="C2983" s="5" t="s">
        <v>5249</v>
      </c>
      <c r="D2983" s="2" t="s">
        <v>5250</v>
      </c>
    </row>
    <row r="2984" spans="1:4" ht="13.05" customHeight="1" x14ac:dyDescent="0.3">
      <c r="A2984" s="2" t="s">
        <v>352</v>
      </c>
      <c r="B2984" s="2" t="s">
        <v>985</v>
      </c>
      <c r="C2984" s="5" t="s">
        <v>5251</v>
      </c>
      <c r="D2984" s="2" t="s">
        <v>5252</v>
      </c>
    </row>
    <row r="2985" spans="1:4" ht="13.05" customHeight="1" x14ac:dyDescent="0.3">
      <c r="A2985" s="2" t="s">
        <v>352</v>
      </c>
      <c r="B2985" s="2" t="s">
        <v>985</v>
      </c>
      <c r="C2985" s="5" t="s">
        <v>5253</v>
      </c>
      <c r="D2985" s="2" t="s">
        <v>5254</v>
      </c>
    </row>
    <row r="2986" spans="1:4" ht="13.05" customHeight="1" x14ac:dyDescent="0.3">
      <c r="A2986" s="2" t="s">
        <v>352</v>
      </c>
      <c r="B2986" s="2" t="s">
        <v>985</v>
      </c>
      <c r="C2986" s="5" t="s">
        <v>5255</v>
      </c>
      <c r="D2986" s="2" t="s">
        <v>5256</v>
      </c>
    </row>
    <row r="2987" spans="1:4" ht="13.05" customHeight="1" x14ac:dyDescent="0.3">
      <c r="A2987" s="2" t="s">
        <v>352</v>
      </c>
      <c r="B2987" s="2" t="s">
        <v>985</v>
      </c>
      <c r="C2987" s="5" t="s">
        <v>5257</v>
      </c>
      <c r="D2987" s="2" t="s">
        <v>5258</v>
      </c>
    </row>
    <row r="2988" spans="1:4" ht="13.05" customHeight="1" x14ac:dyDescent="0.3">
      <c r="A2988" s="2" t="s">
        <v>352</v>
      </c>
      <c r="B2988" s="2" t="s">
        <v>985</v>
      </c>
      <c r="C2988" s="5" t="s">
        <v>5259</v>
      </c>
      <c r="D2988" s="2" t="s">
        <v>5260</v>
      </c>
    </row>
    <row r="2989" spans="1:4" ht="13.05" customHeight="1" x14ac:dyDescent="0.3">
      <c r="A2989" s="2" t="s">
        <v>352</v>
      </c>
      <c r="B2989" s="2" t="s">
        <v>985</v>
      </c>
      <c r="C2989" s="5" t="s">
        <v>5261</v>
      </c>
      <c r="D2989" s="2" t="s">
        <v>5262</v>
      </c>
    </row>
    <row r="2990" spans="1:4" ht="13.05" customHeight="1" x14ac:dyDescent="0.3">
      <c r="A2990" s="2" t="s">
        <v>352</v>
      </c>
      <c r="B2990" s="2" t="s">
        <v>985</v>
      </c>
      <c r="C2990" s="5" t="s">
        <v>5263</v>
      </c>
      <c r="D2990" s="2" t="s">
        <v>5264</v>
      </c>
    </row>
    <row r="2991" spans="1:4" ht="13.05" customHeight="1" x14ac:dyDescent="0.3">
      <c r="A2991" s="2" t="s">
        <v>352</v>
      </c>
      <c r="B2991" s="2" t="s">
        <v>985</v>
      </c>
      <c r="C2991" s="5" t="s">
        <v>5265</v>
      </c>
      <c r="D2991" s="2" t="s">
        <v>5266</v>
      </c>
    </row>
    <row r="2992" spans="1:4" ht="13.05" customHeight="1" x14ac:dyDescent="0.3">
      <c r="A2992" s="2" t="s">
        <v>352</v>
      </c>
      <c r="B2992" s="2" t="s">
        <v>985</v>
      </c>
      <c r="C2992" s="5" t="s">
        <v>5267</v>
      </c>
      <c r="D2992" s="2" t="s">
        <v>5268</v>
      </c>
    </row>
    <row r="2993" spans="1:4" ht="13.05" customHeight="1" x14ac:dyDescent="0.3">
      <c r="A2993" s="2" t="s">
        <v>352</v>
      </c>
      <c r="B2993" s="2" t="s">
        <v>985</v>
      </c>
      <c r="C2993" s="5" t="s">
        <v>5269</v>
      </c>
      <c r="D2993" s="2" t="s">
        <v>5270</v>
      </c>
    </row>
    <row r="2994" spans="1:4" ht="13.05" customHeight="1" x14ac:dyDescent="0.3">
      <c r="A2994" s="2" t="s">
        <v>352</v>
      </c>
      <c r="B2994" s="2" t="s">
        <v>985</v>
      </c>
      <c r="C2994" s="5" t="s">
        <v>5271</v>
      </c>
      <c r="D2994" s="2" t="s">
        <v>5272</v>
      </c>
    </row>
    <row r="2995" spans="1:4" ht="13.05" customHeight="1" x14ac:dyDescent="0.3">
      <c r="A2995" s="2" t="s">
        <v>352</v>
      </c>
      <c r="B2995" s="2" t="s">
        <v>985</v>
      </c>
      <c r="C2995" s="5" t="s">
        <v>5273</v>
      </c>
      <c r="D2995" s="2" t="s">
        <v>5274</v>
      </c>
    </row>
    <row r="2996" spans="1:4" ht="13.05" customHeight="1" x14ac:dyDescent="0.3">
      <c r="A2996" s="2" t="s">
        <v>352</v>
      </c>
      <c r="B2996" s="2" t="s">
        <v>985</v>
      </c>
      <c r="C2996" s="5" t="s">
        <v>5275</v>
      </c>
      <c r="D2996" s="2" t="s">
        <v>3356</v>
      </c>
    </row>
    <row r="2997" spans="1:4" ht="13.05" customHeight="1" x14ac:dyDescent="0.3">
      <c r="A2997" s="2" t="s">
        <v>352</v>
      </c>
      <c r="B2997" s="2" t="s">
        <v>985</v>
      </c>
      <c r="C2997" s="5" t="s">
        <v>5276</v>
      </c>
      <c r="D2997" s="2" t="s">
        <v>3358</v>
      </c>
    </row>
    <row r="2998" spans="1:4" ht="13.05" customHeight="1" x14ac:dyDescent="0.3">
      <c r="A2998" s="2" t="s">
        <v>352</v>
      </c>
      <c r="B2998" s="2" t="s">
        <v>985</v>
      </c>
      <c r="C2998" s="5" t="s">
        <v>5277</v>
      </c>
      <c r="D2998" s="2" t="s">
        <v>5278</v>
      </c>
    </row>
    <row r="2999" spans="1:4" ht="13.05" customHeight="1" x14ac:dyDescent="0.3">
      <c r="A2999" s="2" t="s">
        <v>352</v>
      </c>
      <c r="B2999" s="2" t="s">
        <v>985</v>
      </c>
      <c r="C2999" s="5" t="s">
        <v>5279</v>
      </c>
      <c r="D2999" s="2" t="s">
        <v>5280</v>
      </c>
    </row>
    <row r="3000" spans="1:4" ht="13.05" customHeight="1" x14ac:dyDescent="0.3">
      <c r="A3000" s="2" t="s">
        <v>352</v>
      </c>
      <c r="B3000" s="2" t="s">
        <v>985</v>
      </c>
      <c r="C3000" s="5" t="s">
        <v>5281</v>
      </c>
      <c r="D3000" s="2" t="s">
        <v>5282</v>
      </c>
    </row>
    <row r="3001" spans="1:4" ht="13.05" customHeight="1" x14ac:dyDescent="0.3">
      <c r="A3001" s="2" t="s">
        <v>352</v>
      </c>
      <c r="B3001" s="2" t="s">
        <v>985</v>
      </c>
      <c r="C3001" s="5" t="s">
        <v>5283</v>
      </c>
      <c r="D3001" s="2" t="s">
        <v>3278</v>
      </c>
    </row>
    <row r="3002" spans="1:4" ht="13.05" customHeight="1" x14ac:dyDescent="0.3">
      <c r="A3002" s="2" t="s">
        <v>352</v>
      </c>
      <c r="B3002" s="2" t="s">
        <v>985</v>
      </c>
      <c r="C3002" s="5" t="s">
        <v>5284</v>
      </c>
      <c r="D3002" s="2" t="s">
        <v>5285</v>
      </c>
    </row>
    <row r="3003" spans="1:4" ht="13.05" customHeight="1" x14ac:dyDescent="0.3">
      <c r="A3003" s="2" t="s">
        <v>352</v>
      </c>
      <c r="B3003" s="2" t="s">
        <v>985</v>
      </c>
      <c r="C3003" s="5" t="s">
        <v>5286</v>
      </c>
      <c r="D3003" s="2" t="s">
        <v>5287</v>
      </c>
    </row>
    <row r="3004" spans="1:4" ht="13.05" customHeight="1" x14ac:dyDescent="0.3">
      <c r="A3004" s="2" t="s">
        <v>352</v>
      </c>
      <c r="B3004" s="2" t="s">
        <v>985</v>
      </c>
      <c r="C3004" s="5" t="s">
        <v>5288</v>
      </c>
      <c r="D3004" s="2" t="s">
        <v>5289</v>
      </c>
    </row>
    <row r="3005" spans="1:4" ht="13.05" customHeight="1" x14ac:dyDescent="0.3">
      <c r="A3005" s="2" t="s">
        <v>352</v>
      </c>
      <c r="B3005" s="2" t="s">
        <v>985</v>
      </c>
      <c r="C3005" s="5" t="s">
        <v>5290</v>
      </c>
      <c r="D3005" s="2" t="s">
        <v>5291</v>
      </c>
    </row>
    <row r="3006" spans="1:4" ht="13.05" customHeight="1" x14ac:dyDescent="0.3">
      <c r="A3006" s="2" t="s">
        <v>352</v>
      </c>
      <c r="B3006" s="2" t="s">
        <v>985</v>
      </c>
      <c r="C3006" s="5" t="s">
        <v>5292</v>
      </c>
      <c r="D3006" s="2" t="s">
        <v>5293</v>
      </c>
    </row>
    <row r="3007" spans="1:4" ht="13.05" customHeight="1" x14ac:dyDescent="0.3">
      <c r="A3007" s="2" t="s">
        <v>352</v>
      </c>
      <c r="B3007" s="2" t="s">
        <v>985</v>
      </c>
      <c r="C3007" s="5" t="s">
        <v>5294</v>
      </c>
      <c r="D3007" s="2" t="s">
        <v>5295</v>
      </c>
    </row>
    <row r="3008" spans="1:4" ht="13.05" customHeight="1" x14ac:dyDescent="0.3">
      <c r="A3008" s="2" t="s">
        <v>352</v>
      </c>
      <c r="B3008" s="2" t="s">
        <v>985</v>
      </c>
      <c r="C3008" s="5" t="s">
        <v>5296</v>
      </c>
      <c r="D3008" s="2" t="s">
        <v>5297</v>
      </c>
    </row>
    <row r="3009" spans="1:4" ht="13.05" customHeight="1" x14ac:dyDescent="0.3">
      <c r="A3009" s="2" t="s">
        <v>352</v>
      </c>
      <c r="B3009" s="2" t="s">
        <v>985</v>
      </c>
      <c r="C3009" s="5" t="s">
        <v>5298</v>
      </c>
      <c r="D3009" s="2" t="s">
        <v>5299</v>
      </c>
    </row>
    <row r="3010" spans="1:4" ht="13.05" customHeight="1" x14ac:dyDescent="0.3">
      <c r="A3010" s="2" t="s">
        <v>352</v>
      </c>
      <c r="B3010" s="2" t="s">
        <v>985</v>
      </c>
      <c r="C3010" s="5" t="s">
        <v>5300</v>
      </c>
      <c r="D3010" s="2" t="s">
        <v>5301</v>
      </c>
    </row>
    <row r="3011" spans="1:4" ht="13.05" customHeight="1" x14ac:dyDescent="0.3">
      <c r="A3011" s="2" t="s">
        <v>352</v>
      </c>
      <c r="B3011" s="2" t="s">
        <v>985</v>
      </c>
      <c r="C3011" s="5" t="s">
        <v>5302</v>
      </c>
      <c r="D3011" s="2" t="s">
        <v>5303</v>
      </c>
    </row>
    <row r="3012" spans="1:4" ht="13.05" customHeight="1" x14ac:dyDescent="0.3">
      <c r="A3012" s="2" t="s">
        <v>352</v>
      </c>
      <c r="B3012" s="2" t="s">
        <v>985</v>
      </c>
      <c r="C3012" s="5" t="s">
        <v>5304</v>
      </c>
      <c r="D3012" s="2" t="s">
        <v>5305</v>
      </c>
    </row>
    <row r="3013" spans="1:4" ht="13.05" customHeight="1" x14ac:dyDescent="0.3">
      <c r="A3013" s="2" t="s">
        <v>352</v>
      </c>
      <c r="B3013" s="2" t="s">
        <v>985</v>
      </c>
      <c r="C3013" s="5" t="s">
        <v>5306</v>
      </c>
      <c r="D3013" s="2" t="s">
        <v>5307</v>
      </c>
    </row>
    <row r="3014" spans="1:4" ht="13.05" customHeight="1" x14ac:dyDescent="0.3">
      <c r="A3014" s="2" t="s">
        <v>352</v>
      </c>
      <c r="B3014" s="2" t="s">
        <v>985</v>
      </c>
      <c r="C3014" s="5" t="s">
        <v>5308</v>
      </c>
      <c r="D3014" s="2" t="s">
        <v>5309</v>
      </c>
    </row>
    <row r="3015" spans="1:4" ht="13.05" customHeight="1" x14ac:dyDescent="0.3">
      <c r="A3015" s="2" t="s">
        <v>352</v>
      </c>
      <c r="B3015" s="2" t="s">
        <v>985</v>
      </c>
      <c r="C3015" s="5" t="s">
        <v>5310</v>
      </c>
      <c r="D3015" s="2" t="s">
        <v>3356</v>
      </c>
    </row>
    <row r="3016" spans="1:4" ht="13.05" customHeight="1" x14ac:dyDescent="0.3">
      <c r="A3016" s="2" t="s">
        <v>352</v>
      </c>
      <c r="B3016" s="2" t="s">
        <v>985</v>
      </c>
      <c r="C3016" s="5" t="s">
        <v>5311</v>
      </c>
      <c r="D3016" s="2" t="s">
        <v>3358</v>
      </c>
    </row>
    <row r="3017" spans="1:4" ht="13.05" customHeight="1" x14ac:dyDescent="0.3">
      <c r="A3017" s="2" t="s">
        <v>352</v>
      </c>
      <c r="B3017" s="2" t="s">
        <v>985</v>
      </c>
      <c r="C3017" s="5" t="s">
        <v>5312</v>
      </c>
      <c r="D3017" s="2" t="s">
        <v>5313</v>
      </c>
    </row>
    <row r="3018" spans="1:4" ht="13.05" customHeight="1" x14ac:dyDescent="0.3">
      <c r="A3018" s="2" t="s">
        <v>352</v>
      </c>
      <c r="B3018" s="2" t="s">
        <v>985</v>
      </c>
      <c r="C3018" s="5" t="s">
        <v>5314</v>
      </c>
      <c r="D3018" s="2" t="s">
        <v>5315</v>
      </c>
    </row>
    <row r="3019" spans="1:4" ht="13.05" customHeight="1" x14ac:dyDescent="0.3">
      <c r="A3019" s="2" t="s">
        <v>352</v>
      </c>
      <c r="B3019" s="2" t="s">
        <v>985</v>
      </c>
      <c r="C3019" s="5" t="s">
        <v>5316</v>
      </c>
      <c r="D3019" s="2" t="s">
        <v>5317</v>
      </c>
    </row>
    <row r="3020" spans="1:4" ht="13.05" customHeight="1" x14ac:dyDescent="0.3">
      <c r="A3020" s="2" t="s">
        <v>352</v>
      </c>
      <c r="B3020" s="2" t="s">
        <v>985</v>
      </c>
      <c r="C3020" s="5" t="s">
        <v>5318</v>
      </c>
      <c r="D3020" s="2" t="s">
        <v>5319</v>
      </c>
    </row>
    <row r="3021" spans="1:4" ht="13.05" customHeight="1" x14ac:dyDescent="0.3">
      <c r="A3021" s="2" t="s">
        <v>352</v>
      </c>
      <c r="B3021" s="2" t="s">
        <v>985</v>
      </c>
      <c r="C3021" s="5" t="s">
        <v>5320</v>
      </c>
      <c r="D3021" s="2" t="s">
        <v>5321</v>
      </c>
    </row>
    <row r="3022" spans="1:4" ht="13.05" customHeight="1" x14ac:dyDescent="0.3">
      <c r="A3022" s="2" t="s">
        <v>352</v>
      </c>
      <c r="B3022" s="2" t="s">
        <v>985</v>
      </c>
      <c r="C3022" s="5" t="s">
        <v>5322</v>
      </c>
      <c r="D3022" s="2" t="s">
        <v>4169</v>
      </c>
    </row>
    <row r="3023" spans="1:4" ht="13.05" customHeight="1" x14ac:dyDescent="0.3">
      <c r="A3023" s="2" t="s">
        <v>352</v>
      </c>
      <c r="B3023" s="2" t="s">
        <v>985</v>
      </c>
      <c r="C3023" s="5" t="s">
        <v>5323</v>
      </c>
      <c r="D3023" s="2" t="s">
        <v>5324</v>
      </c>
    </row>
    <row r="3024" spans="1:4" ht="13.05" customHeight="1" x14ac:dyDescent="0.3">
      <c r="A3024" s="2" t="s">
        <v>352</v>
      </c>
      <c r="B3024" s="2" t="s">
        <v>985</v>
      </c>
      <c r="C3024" s="5" t="s">
        <v>5325</v>
      </c>
      <c r="D3024" s="2" t="s">
        <v>5326</v>
      </c>
    </row>
    <row r="3025" spans="1:4" ht="13.05" customHeight="1" x14ac:dyDescent="0.3">
      <c r="A3025" s="2" t="s">
        <v>352</v>
      </c>
      <c r="B3025" s="2" t="s">
        <v>985</v>
      </c>
      <c r="C3025" s="5" t="s">
        <v>5327</v>
      </c>
      <c r="D3025" s="2" t="s">
        <v>5328</v>
      </c>
    </row>
    <row r="3026" spans="1:4" ht="13.05" customHeight="1" x14ac:dyDescent="0.3">
      <c r="A3026" s="2" t="s">
        <v>352</v>
      </c>
      <c r="B3026" s="2" t="s">
        <v>985</v>
      </c>
      <c r="C3026" s="5" t="s">
        <v>5329</v>
      </c>
      <c r="D3026" s="2" t="s">
        <v>3244</v>
      </c>
    </row>
    <row r="3027" spans="1:4" ht="13.05" customHeight="1" x14ac:dyDescent="0.3">
      <c r="A3027" s="2" t="s">
        <v>352</v>
      </c>
      <c r="B3027" s="2" t="s">
        <v>985</v>
      </c>
      <c r="C3027" s="5" t="s">
        <v>5330</v>
      </c>
      <c r="D3027" s="2" t="s">
        <v>3246</v>
      </c>
    </row>
    <row r="3028" spans="1:4" ht="13.05" customHeight="1" x14ac:dyDescent="0.3">
      <c r="A3028" s="2" t="s">
        <v>352</v>
      </c>
      <c r="B3028" s="2" t="s">
        <v>985</v>
      </c>
      <c r="C3028" s="5" t="s">
        <v>5331</v>
      </c>
      <c r="D3028" s="2" t="s">
        <v>5332</v>
      </c>
    </row>
    <row r="3029" spans="1:4" ht="13.05" customHeight="1" x14ac:dyDescent="0.3">
      <c r="A3029" s="2" t="s">
        <v>352</v>
      </c>
      <c r="B3029" s="2" t="s">
        <v>985</v>
      </c>
      <c r="C3029" s="5" t="s">
        <v>5333</v>
      </c>
      <c r="D3029" s="2" t="s">
        <v>5334</v>
      </c>
    </row>
    <row r="3030" spans="1:4" ht="13.05" customHeight="1" x14ac:dyDescent="0.3">
      <c r="A3030" s="2" t="s">
        <v>352</v>
      </c>
      <c r="B3030" s="2" t="s">
        <v>985</v>
      </c>
      <c r="C3030" s="5" t="s">
        <v>5335</v>
      </c>
      <c r="D3030" s="2" t="s">
        <v>5336</v>
      </c>
    </row>
    <row r="3031" spans="1:4" ht="13.05" customHeight="1" x14ac:dyDescent="0.3">
      <c r="A3031" s="2" t="s">
        <v>352</v>
      </c>
      <c r="B3031" s="2" t="s">
        <v>985</v>
      </c>
      <c r="C3031" s="5" t="s">
        <v>5337</v>
      </c>
      <c r="D3031" s="2" t="s">
        <v>5338</v>
      </c>
    </row>
    <row r="3032" spans="1:4" ht="13.05" customHeight="1" x14ac:dyDescent="0.3">
      <c r="A3032" s="2" t="s">
        <v>352</v>
      </c>
      <c r="B3032" s="2" t="s">
        <v>985</v>
      </c>
      <c r="C3032" s="5" t="s">
        <v>5339</v>
      </c>
      <c r="D3032" s="2" t="s">
        <v>5340</v>
      </c>
    </row>
    <row r="3033" spans="1:4" ht="13.05" customHeight="1" x14ac:dyDescent="0.3">
      <c r="A3033" s="2" t="s">
        <v>352</v>
      </c>
      <c r="B3033" s="2" t="s">
        <v>985</v>
      </c>
      <c r="C3033" s="5" t="s">
        <v>5341</v>
      </c>
      <c r="D3033" s="2" t="s">
        <v>5342</v>
      </c>
    </row>
    <row r="3034" spans="1:4" ht="13.05" customHeight="1" x14ac:dyDescent="0.3">
      <c r="A3034" s="2" t="s">
        <v>352</v>
      </c>
      <c r="B3034" s="2" t="s">
        <v>985</v>
      </c>
      <c r="C3034" s="5" t="s">
        <v>5343</v>
      </c>
      <c r="D3034" s="2" t="s">
        <v>5344</v>
      </c>
    </row>
    <row r="3035" spans="1:4" ht="13.05" customHeight="1" x14ac:dyDescent="0.3">
      <c r="A3035" s="2" t="s">
        <v>352</v>
      </c>
      <c r="B3035" s="2" t="s">
        <v>985</v>
      </c>
      <c r="C3035" s="5" t="s">
        <v>5345</v>
      </c>
      <c r="D3035" s="2" t="s">
        <v>5346</v>
      </c>
    </row>
    <row r="3036" spans="1:4" ht="13.05" customHeight="1" x14ac:dyDescent="0.3">
      <c r="A3036" s="2" t="s">
        <v>352</v>
      </c>
      <c r="B3036" s="2" t="s">
        <v>985</v>
      </c>
      <c r="C3036" s="5" t="s">
        <v>5347</v>
      </c>
      <c r="D3036" s="2" t="s">
        <v>5348</v>
      </c>
    </row>
    <row r="3037" spans="1:4" ht="13.05" customHeight="1" x14ac:dyDescent="0.3">
      <c r="A3037" s="2" t="s">
        <v>352</v>
      </c>
      <c r="B3037" s="2" t="s">
        <v>985</v>
      </c>
      <c r="C3037" s="5" t="s">
        <v>5349</v>
      </c>
      <c r="D3037" s="2" t="s">
        <v>5350</v>
      </c>
    </row>
    <row r="3038" spans="1:4" ht="13.05" customHeight="1" x14ac:dyDescent="0.3">
      <c r="A3038" s="2" t="s">
        <v>352</v>
      </c>
      <c r="B3038" s="2" t="s">
        <v>985</v>
      </c>
      <c r="C3038" s="5" t="s">
        <v>5351</v>
      </c>
      <c r="D3038" s="2" t="s">
        <v>5352</v>
      </c>
    </row>
    <row r="3039" spans="1:4" ht="13.05" customHeight="1" x14ac:dyDescent="0.3">
      <c r="A3039" s="2" t="s">
        <v>352</v>
      </c>
      <c r="B3039" s="2" t="s">
        <v>985</v>
      </c>
      <c r="C3039" s="5" t="s">
        <v>5353</v>
      </c>
      <c r="D3039" s="2" t="s">
        <v>5354</v>
      </c>
    </row>
    <row r="3040" spans="1:4" ht="13.05" customHeight="1" x14ac:dyDescent="0.3">
      <c r="A3040" s="2" t="s">
        <v>352</v>
      </c>
      <c r="B3040" s="2" t="s">
        <v>985</v>
      </c>
      <c r="C3040" s="5" t="s">
        <v>5355</v>
      </c>
      <c r="D3040" s="2" t="s">
        <v>5356</v>
      </c>
    </row>
    <row r="3041" spans="1:4" ht="13.05" customHeight="1" x14ac:dyDescent="0.3">
      <c r="A3041" s="2" t="s">
        <v>352</v>
      </c>
      <c r="B3041" s="2" t="s">
        <v>985</v>
      </c>
      <c r="C3041" s="5" t="s">
        <v>5357</v>
      </c>
      <c r="D3041" s="2" t="s">
        <v>5358</v>
      </c>
    </row>
    <row r="3042" spans="1:4" ht="13.05" customHeight="1" x14ac:dyDescent="0.3">
      <c r="A3042" s="2" t="s">
        <v>352</v>
      </c>
      <c r="B3042" s="2" t="s">
        <v>985</v>
      </c>
      <c r="C3042" s="5" t="s">
        <v>5359</v>
      </c>
      <c r="D3042" s="2" t="s">
        <v>5360</v>
      </c>
    </row>
    <row r="3043" spans="1:4" ht="13.05" customHeight="1" x14ac:dyDescent="0.3">
      <c r="A3043" s="2" t="s">
        <v>352</v>
      </c>
      <c r="B3043" s="2" t="s">
        <v>985</v>
      </c>
      <c r="C3043" s="5" t="s">
        <v>5361</v>
      </c>
      <c r="D3043" s="2" t="s">
        <v>5362</v>
      </c>
    </row>
    <row r="3044" spans="1:4" ht="13.05" customHeight="1" x14ac:dyDescent="0.3">
      <c r="A3044" s="2" t="s">
        <v>352</v>
      </c>
      <c r="B3044" s="2" t="s">
        <v>985</v>
      </c>
      <c r="C3044" s="5" t="s">
        <v>5363</v>
      </c>
      <c r="D3044" s="2" t="s">
        <v>3356</v>
      </c>
    </row>
    <row r="3045" spans="1:4" ht="13.05" customHeight="1" x14ac:dyDescent="0.3">
      <c r="A3045" s="2" t="s">
        <v>352</v>
      </c>
      <c r="B3045" s="2" t="s">
        <v>985</v>
      </c>
      <c r="C3045" s="5" t="s">
        <v>5364</v>
      </c>
      <c r="D3045" s="2" t="s">
        <v>3358</v>
      </c>
    </row>
    <row r="3046" spans="1:4" ht="13.05" customHeight="1" x14ac:dyDescent="0.3">
      <c r="A3046" s="2" t="s">
        <v>352</v>
      </c>
      <c r="B3046" s="2" t="s">
        <v>985</v>
      </c>
      <c r="C3046" s="5" t="s">
        <v>5365</v>
      </c>
      <c r="D3046" s="2" t="s">
        <v>5366</v>
      </c>
    </row>
    <row r="3047" spans="1:4" ht="13.05" customHeight="1" x14ac:dyDescent="0.3">
      <c r="A3047" s="2" t="s">
        <v>352</v>
      </c>
      <c r="B3047" s="2" t="s">
        <v>985</v>
      </c>
      <c r="C3047" s="5" t="s">
        <v>5367</v>
      </c>
      <c r="D3047" s="2" t="s">
        <v>5368</v>
      </c>
    </row>
    <row r="3048" spans="1:4" ht="13.05" customHeight="1" x14ac:dyDescent="0.3">
      <c r="A3048" s="2" t="s">
        <v>352</v>
      </c>
      <c r="B3048" s="2" t="s">
        <v>985</v>
      </c>
      <c r="C3048" s="5" t="s">
        <v>5369</v>
      </c>
      <c r="D3048" s="2" t="s">
        <v>5370</v>
      </c>
    </row>
    <row r="3049" spans="1:4" ht="13.05" customHeight="1" x14ac:dyDescent="0.3">
      <c r="A3049" s="2" t="s">
        <v>352</v>
      </c>
      <c r="B3049" s="2" t="s">
        <v>985</v>
      </c>
      <c r="C3049" s="5" t="s">
        <v>5371</v>
      </c>
      <c r="D3049" s="2" t="s">
        <v>5372</v>
      </c>
    </row>
    <row r="3050" spans="1:4" ht="13.05" customHeight="1" x14ac:dyDescent="0.3">
      <c r="A3050" s="2" t="s">
        <v>352</v>
      </c>
      <c r="B3050" s="2" t="s">
        <v>985</v>
      </c>
      <c r="C3050" s="5" t="s">
        <v>5373</v>
      </c>
      <c r="D3050" s="2" t="s">
        <v>5374</v>
      </c>
    </row>
    <row r="3051" spans="1:4" ht="13.05" customHeight="1" x14ac:dyDescent="0.3">
      <c r="A3051" s="2" t="s">
        <v>352</v>
      </c>
      <c r="B3051" s="2" t="s">
        <v>985</v>
      </c>
      <c r="C3051" s="5" t="s">
        <v>5375</v>
      </c>
      <c r="D3051" s="2" t="s">
        <v>5376</v>
      </c>
    </row>
    <row r="3052" spans="1:4" ht="13.05" customHeight="1" x14ac:dyDescent="0.3">
      <c r="A3052" s="2" t="s">
        <v>352</v>
      </c>
      <c r="B3052" s="2" t="s">
        <v>985</v>
      </c>
      <c r="C3052" s="5" t="s">
        <v>5377</v>
      </c>
      <c r="D3052" s="2" t="s">
        <v>3278</v>
      </c>
    </row>
    <row r="3053" spans="1:4" ht="13.05" customHeight="1" x14ac:dyDescent="0.3">
      <c r="A3053" s="2" t="s">
        <v>352</v>
      </c>
      <c r="B3053" s="2" t="s">
        <v>985</v>
      </c>
      <c r="C3053" s="5" t="s">
        <v>5378</v>
      </c>
      <c r="D3053" s="2" t="s">
        <v>5379</v>
      </c>
    </row>
    <row r="3054" spans="1:4" ht="13.05" customHeight="1" x14ac:dyDescent="0.3">
      <c r="A3054" s="2" t="s">
        <v>352</v>
      </c>
      <c r="B3054" s="2" t="s">
        <v>985</v>
      </c>
      <c r="C3054" s="5" t="s">
        <v>5380</v>
      </c>
      <c r="D3054" s="2" t="s">
        <v>5381</v>
      </c>
    </row>
    <row r="3055" spans="1:4" ht="13.05" customHeight="1" x14ac:dyDescent="0.3">
      <c r="A3055" s="2" t="s">
        <v>352</v>
      </c>
      <c r="B3055" s="2" t="s">
        <v>985</v>
      </c>
      <c r="C3055" s="5" t="s">
        <v>5382</v>
      </c>
      <c r="D3055" s="2" t="s">
        <v>5383</v>
      </c>
    </row>
    <row r="3056" spans="1:4" ht="13.05" customHeight="1" x14ac:dyDescent="0.3">
      <c r="A3056" s="2" t="s">
        <v>352</v>
      </c>
      <c r="B3056" s="2" t="s">
        <v>985</v>
      </c>
      <c r="C3056" s="5" t="s">
        <v>5384</v>
      </c>
      <c r="D3056" s="2" t="s">
        <v>5385</v>
      </c>
    </row>
    <row r="3057" spans="1:4" ht="13.05" customHeight="1" x14ac:dyDescent="0.3">
      <c r="A3057" s="2" t="s">
        <v>352</v>
      </c>
      <c r="B3057" s="2" t="s">
        <v>985</v>
      </c>
      <c r="C3057" s="5" t="s">
        <v>5386</v>
      </c>
      <c r="D3057" s="2" t="s">
        <v>5387</v>
      </c>
    </row>
    <row r="3058" spans="1:4" ht="13.05" customHeight="1" x14ac:dyDescent="0.3">
      <c r="A3058" s="2" t="s">
        <v>352</v>
      </c>
      <c r="B3058" s="2" t="s">
        <v>985</v>
      </c>
      <c r="C3058" s="5" t="s">
        <v>5388</v>
      </c>
      <c r="D3058" s="2" t="s">
        <v>5389</v>
      </c>
    </row>
    <row r="3059" spans="1:4" ht="13.05" customHeight="1" x14ac:dyDescent="0.3">
      <c r="A3059" s="2" t="s">
        <v>352</v>
      </c>
      <c r="B3059" s="2" t="s">
        <v>985</v>
      </c>
      <c r="C3059" s="5" t="s">
        <v>5390</v>
      </c>
      <c r="D3059" s="2" t="s">
        <v>5391</v>
      </c>
    </row>
    <row r="3060" spans="1:4" ht="13.05" customHeight="1" x14ac:dyDescent="0.3">
      <c r="A3060" s="2" t="s">
        <v>352</v>
      </c>
      <c r="B3060" s="2" t="s">
        <v>985</v>
      </c>
      <c r="C3060" s="5" t="s">
        <v>5392</v>
      </c>
      <c r="D3060" s="2" t="s">
        <v>5393</v>
      </c>
    </row>
    <row r="3061" spans="1:4" ht="13.05" customHeight="1" x14ac:dyDescent="0.3">
      <c r="A3061" s="2" t="s">
        <v>352</v>
      </c>
      <c r="B3061" s="2" t="s">
        <v>985</v>
      </c>
      <c r="C3061" s="5" t="s">
        <v>5394</v>
      </c>
      <c r="D3061" s="2" t="s">
        <v>5395</v>
      </c>
    </row>
    <row r="3062" spans="1:4" ht="13.05" customHeight="1" x14ac:dyDescent="0.3">
      <c r="A3062" s="2" t="s">
        <v>352</v>
      </c>
      <c r="B3062" s="2" t="s">
        <v>985</v>
      </c>
      <c r="C3062" s="5" t="s">
        <v>5396</v>
      </c>
      <c r="D3062" s="2" t="s">
        <v>5397</v>
      </c>
    </row>
    <row r="3063" spans="1:4" ht="13.05" customHeight="1" x14ac:dyDescent="0.3">
      <c r="A3063" s="2" t="s">
        <v>352</v>
      </c>
      <c r="B3063" s="2" t="s">
        <v>985</v>
      </c>
      <c r="C3063" s="5" t="s">
        <v>5398</v>
      </c>
      <c r="D3063" s="2" t="s">
        <v>5399</v>
      </c>
    </row>
    <row r="3064" spans="1:4" ht="13.05" customHeight="1" x14ac:dyDescent="0.3">
      <c r="A3064" s="2" t="s">
        <v>352</v>
      </c>
      <c r="B3064" s="2" t="s">
        <v>985</v>
      </c>
      <c r="C3064" s="5" t="s">
        <v>5400</v>
      </c>
      <c r="D3064" s="2" t="s">
        <v>3356</v>
      </c>
    </row>
    <row r="3065" spans="1:4" ht="13.05" customHeight="1" x14ac:dyDescent="0.3">
      <c r="A3065" s="2" t="s">
        <v>352</v>
      </c>
      <c r="B3065" s="2" t="s">
        <v>985</v>
      </c>
      <c r="C3065" s="5" t="s">
        <v>5401</v>
      </c>
      <c r="D3065" s="2" t="s">
        <v>3358</v>
      </c>
    </row>
    <row r="3066" spans="1:4" ht="13.05" customHeight="1" x14ac:dyDescent="0.3">
      <c r="A3066" s="2" t="s">
        <v>352</v>
      </c>
      <c r="B3066" s="2" t="s">
        <v>985</v>
      </c>
      <c r="C3066" s="5" t="s">
        <v>5402</v>
      </c>
      <c r="D3066" s="2" t="s">
        <v>5403</v>
      </c>
    </row>
    <row r="3067" spans="1:4" ht="13.05" customHeight="1" x14ac:dyDescent="0.3">
      <c r="A3067" s="2" t="s">
        <v>352</v>
      </c>
      <c r="B3067" s="2" t="s">
        <v>985</v>
      </c>
      <c r="C3067" s="5" t="s">
        <v>5404</v>
      </c>
      <c r="D3067" s="2" t="s">
        <v>5405</v>
      </c>
    </row>
    <row r="3068" spans="1:4" ht="13.05" customHeight="1" x14ac:dyDescent="0.3">
      <c r="A3068" s="2" t="s">
        <v>352</v>
      </c>
      <c r="B3068" s="2" t="s">
        <v>985</v>
      </c>
      <c r="C3068" s="5" t="s">
        <v>5406</v>
      </c>
      <c r="D3068" s="2" t="s">
        <v>5407</v>
      </c>
    </row>
    <row r="3069" spans="1:4" ht="13.05" customHeight="1" x14ac:dyDescent="0.3">
      <c r="A3069" s="2" t="s">
        <v>352</v>
      </c>
      <c r="B3069" s="2" t="s">
        <v>985</v>
      </c>
      <c r="C3069" s="5" t="s">
        <v>5408</v>
      </c>
      <c r="D3069" s="2" t="s">
        <v>5409</v>
      </c>
    </row>
    <row r="3070" spans="1:4" ht="13.05" customHeight="1" x14ac:dyDescent="0.3">
      <c r="A3070" s="2" t="s">
        <v>352</v>
      </c>
      <c r="B3070" s="2" t="s">
        <v>985</v>
      </c>
      <c r="C3070" s="5" t="s">
        <v>5410</v>
      </c>
      <c r="D3070" s="2" t="s">
        <v>5411</v>
      </c>
    </row>
    <row r="3071" spans="1:4" ht="13.05" customHeight="1" x14ac:dyDescent="0.3">
      <c r="A3071" s="2" t="s">
        <v>352</v>
      </c>
      <c r="B3071" s="2" t="s">
        <v>985</v>
      </c>
      <c r="C3071" s="5" t="s">
        <v>5412</v>
      </c>
      <c r="D3071" s="2" t="s">
        <v>5413</v>
      </c>
    </row>
    <row r="3072" spans="1:4" ht="13.05" customHeight="1" x14ac:dyDescent="0.3">
      <c r="A3072" s="2" t="s">
        <v>352</v>
      </c>
      <c r="B3072" s="2" t="s">
        <v>985</v>
      </c>
      <c r="C3072" s="5" t="s">
        <v>5414</v>
      </c>
      <c r="D3072" s="2" t="s">
        <v>3278</v>
      </c>
    </row>
    <row r="3073" spans="1:4" ht="13.05" customHeight="1" x14ac:dyDescent="0.3">
      <c r="A3073" s="2" t="s">
        <v>352</v>
      </c>
      <c r="B3073" s="2" t="s">
        <v>985</v>
      </c>
      <c r="C3073" s="5" t="s">
        <v>5415</v>
      </c>
      <c r="D3073" s="2" t="s">
        <v>5416</v>
      </c>
    </row>
    <row r="3074" spans="1:4" ht="13.05" customHeight="1" x14ac:dyDescent="0.3">
      <c r="A3074" s="2" t="s">
        <v>352</v>
      </c>
      <c r="B3074" s="2" t="s">
        <v>985</v>
      </c>
      <c r="C3074" s="5" t="s">
        <v>5417</v>
      </c>
      <c r="D3074" s="2" t="s">
        <v>5418</v>
      </c>
    </row>
    <row r="3075" spans="1:4" ht="13.05" customHeight="1" x14ac:dyDescent="0.3">
      <c r="A3075" s="2" t="s">
        <v>352</v>
      </c>
      <c r="B3075" s="2" t="s">
        <v>985</v>
      </c>
      <c r="C3075" s="5" t="s">
        <v>5419</v>
      </c>
      <c r="D3075" s="2" t="s">
        <v>5420</v>
      </c>
    </row>
    <row r="3076" spans="1:4" ht="13.05" customHeight="1" x14ac:dyDescent="0.3">
      <c r="A3076" s="2" t="s">
        <v>352</v>
      </c>
      <c r="B3076" s="2" t="s">
        <v>985</v>
      </c>
      <c r="C3076" s="5" t="s">
        <v>5421</v>
      </c>
      <c r="D3076" s="2" t="s">
        <v>5422</v>
      </c>
    </row>
    <row r="3077" spans="1:4" ht="13.05" customHeight="1" x14ac:dyDescent="0.3">
      <c r="A3077" s="2" t="s">
        <v>352</v>
      </c>
      <c r="B3077" s="2" t="s">
        <v>985</v>
      </c>
      <c r="C3077" s="5" t="s">
        <v>5423</v>
      </c>
      <c r="D3077" s="2" t="s">
        <v>5424</v>
      </c>
    </row>
    <row r="3078" spans="1:4" ht="13.05" customHeight="1" x14ac:dyDescent="0.3">
      <c r="A3078" s="2" t="s">
        <v>352</v>
      </c>
      <c r="B3078" s="2" t="s">
        <v>985</v>
      </c>
      <c r="C3078" s="5" t="s">
        <v>5425</v>
      </c>
      <c r="D3078" s="2" t="s">
        <v>3244</v>
      </c>
    </row>
    <row r="3079" spans="1:4" ht="13.05" customHeight="1" x14ac:dyDescent="0.3">
      <c r="A3079" s="2" t="s">
        <v>352</v>
      </c>
      <c r="B3079" s="2" t="s">
        <v>985</v>
      </c>
      <c r="C3079" s="5" t="s">
        <v>5426</v>
      </c>
      <c r="D3079" s="2" t="s">
        <v>3246</v>
      </c>
    </row>
    <row r="3080" spans="1:4" ht="13.05" customHeight="1" x14ac:dyDescent="0.3">
      <c r="A3080" s="2" t="s">
        <v>352</v>
      </c>
      <c r="B3080" s="2" t="s">
        <v>985</v>
      </c>
      <c r="C3080" s="5" t="s">
        <v>5427</v>
      </c>
      <c r="D3080" s="2" t="s">
        <v>5428</v>
      </c>
    </row>
    <row r="3081" spans="1:4" ht="13.05" customHeight="1" x14ac:dyDescent="0.3">
      <c r="A3081" s="2" t="s">
        <v>352</v>
      </c>
      <c r="B3081" s="2" t="s">
        <v>985</v>
      </c>
      <c r="C3081" s="5" t="s">
        <v>5429</v>
      </c>
      <c r="D3081" s="2" t="s">
        <v>5430</v>
      </c>
    </row>
    <row r="3082" spans="1:4" ht="13.05" customHeight="1" x14ac:dyDescent="0.3">
      <c r="A3082" s="2" t="s">
        <v>352</v>
      </c>
      <c r="B3082" s="2" t="s">
        <v>985</v>
      </c>
      <c r="C3082" s="5" t="s">
        <v>5431</v>
      </c>
      <c r="D3082" s="2" t="s">
        <v>5432</v>
      </c>
    </row>
    <row r="3083" spans="1:4" ht="13.05" customHeight="1" x14ac:dyDescent="0.3">
      <c r="A3083" s="2" t="s">
        <v>352</v>
      </c>
      <c r="B3083" s="2" t="s">
        <v>985</v>
      </c>
      <c r="C3083" s="5" t="s">
        <v>5433</v>
      </c>
      <c r="D3083" s="2" t="s">
        <v>5434</v>
      </c>
    </row>
    <row r="3084" spans="1:4" ht="13.05" customHeight="1" x14ac:dyDescent="0.3">
      <c r="A3084" s="2" t="s">
        <v>352</v>
      </c>
      <c r="B3084" s="2" t="s">
        <v>985</v>
      </c>
      <c r="C3084" s="5" t="s">
        <v>5435</v>
      </c>
      <c r="D3084" s="2" t="s">
        <v>5436</v>
      </c>
    </row>
    <row r="3085" spans="1:4" ht="13.05" customHeight="1" x14ac:dyDescent="0.3">
      <c r="A3085" s="2" t="s">
        <v>352</v>
      </c>
      <c r="B3085" s="2" t="s">
        <v>985</v>
      </c>
      <c r="C3085" s="5" t="s">
        <v>5437</v>
      </c>
      <c r="D3085" s="2" t="s">
        <v>5438</v>
      </c>
    </row>
    <row r="3086" spans="1:4" ht="13.05" customHeight="1" x14ac:dyDescent="0.3">
      <c r="A3086" s="2" t="s">
        <v>352</v>
      </c>
      <c r="B3086" s="2" t="s">
        <v>985</v>
      </c>
      <c r="C3086" s="5" t="s">
        <v>5439</v>
      </c>
      <c r="D3086" s="2" t="s">
        <v>5440</v>
      </c>
    </row>
    <row r="3087" spans="1:4" ht="13.05" customHeight="1" x14ac:dyDescent="0.3">
      <c r="A3087" s="2" t="s">
        <v>352</v>
      </c>
      <c r="B3087" s="2" t="s">
        <v>985</v>
      </c>
      <c r="C3087" s="5" t="s">
        <v>5441</v>
      </c>
      <c r="D3087" s="2" t="s">
        <v>5442</v>
      </c>
    </row>
    <row r="3088" spans="1:4" ht="13.05" customHeight="1" x14ac:dyDescent="0.3">
      <c r="A3088" s="2" t="s">
        <v>352</v>
      </c>
      <c r="B3088" s="2" t="s">
        <v>985</v>
      </c>
      <c r="C3088" s="5" t="s">
        <v>5443</v>
      </c>
      <c r="D3088" s="2" t="s">
        <v>5444</v>
      </c>
    </row>
    <row r="3089" spans="1:4" ht="13.05" customHeight="1" x14ac:dyDescent="0.3">
      <c r="A3089" s="2" t="s">
        <v>352</v>
      </c>
      <c r="B3089" s="2" t="s">
        <v>985</v>
      </c>
      <c r="C3089" s="5" t="s">
        <v>5445</v>
      </c>
      <c r="D3089" s="2" t="s">
        <v>5225</v>
      </c>
    </row>
    <row r="3090" spans="1:4" ht="13.05" customHeight="1" x14ac:dyDescent="0.3">
      <c r="A3090" s="2" t="s">
        <v>352</v>
      </c>
      <c r="B3090" s="2" t="s">
        <v>985</v>
      </c>
      <c r="C3090" s="5" t="s">
        <v>5446</v>
      </c>
      <c r="D3090" s="2" t="s">
        <v>3278</v>
      </c>
    </row>
    <row r="3091" spans="1:4" ht="13.05" customHeight="1" x14ac:dyDescent="0.3">
      <c r="A3091" s="2" t="s">
        <v>352</v>
      </c>
      <c r="B3091" s="2" t="s">
        <v>985</v>
      </c>
      <c r="C3091" s="5" t="s">
        <v>5447</v>
      </c>
      <c r="D3091" s="2" t="s">
        <v>5448</v>
      </c>
    </row>
    <row r="3092" spans="1:4" ht="13.05" customHeight="1" x14ac:dyDescent="0.3">
      <c r="A3092" s="2" t="s">
        <v>352</v>
      </c>
      <c r="B3092" s="2" t="s">
        <v>985</v>
      </c>
      <c r="C3092" s="5" t="s">
        <v>5449</v>
      </c>
      <c r="D3092" s="2" t="s">
        <v>5450</v>
      </c>
    </row>
    <row r="3093" spans="1:4" ht="13.05" customHeight="1" x14ac:dyDescent="0.3">
      <c r="A3093" s="2" t="s">
        <v>352</v>
      </c>
      <c r="B3093" s="2" t="s">
        <v>985</v>
      </c>
      <c r="C3093" s="5" t="s">
        <v>5451</v>
      </c>
      <c r="D3093" s="2" t="s">
        <v>5452</v>
      </c>
    </row>
    <row r="3094" spans="1:4" ht="13.05" customHeight="1" x14ac:dyDescent="0.3">
      <c r="A3094" s="2" t="s">
        <v>352</v>
      </c>
      <c r="B3094" s="2" t="s">
        <v>985</v>
      </c>
      <c r="C3094" s="5" t="s">
        <v>5453</v>
      </c>
      <c r="D3094" s="2" t="s">
        <v>5454</v>
      </c>
    </row>
    <row r="3095" spans="1:4" ht="13.05" customHeight="1" x14ac:dyDescent="0.3">
      <c r="A3095" s="2" t="s">
        <v>352</v>
      </c>
      <c r="B3095" s="2" t="s">
        <v>985</v>
      </c>
      <c r="C3095" s="5" t="s">
        <v>5455</v>
      </c>
      <c r="D3095" s="2" t="s">
        <v>5456</v>
      </c>
    </row>
    <row r="3096" spans="1:4" ht="13.05" customHeight="1" x14ac:dyDescent="0.3">
      <c r="A3096" s="2" t="s">
        <v>352</v>
      </c>
      <c r="B3096" s="2" t="s">
        <v>985</v>
      </c>
      <c r="C3096" s="5" t="s">
        <v>5457</v>
      </c>
      <c r="D3096" s="2" t="s">
        <v>5458</v>
      </c>
    </row>
    <row r="3097" spans="1:4" ht="13.05" customHeight="1" x14ac:dyDescent="0.3">
      <c r="A3097" s="2" t="s">
        <v>352</v>
      </c>
      <c r="B3097" s="2" t="s">
        <v>985</v>
      </c>
      <c r="C3097" s="5" t="s">
        <v>5459</v>
      </c>
      <c r="D3097" s="2" t="s">
        <v>5460</v>
      </c>
    </row>
    <row r="3098" spans="1:4" ht="13.05" customHeight="1" x14ac:dyDescent="0.3">
      <c r="A3098" s="2" t="s">
        <v>352</v>
      </c>
      <c r="B3098" s="2" t="s">
        <v>985</v>
      </c>
      <c r="C3098" s="5" t="s">
        <v>5461</v>
      </c>
      <c r="D3098" s="2" t="s">
        <v>5462</v>
      </c>
    </row>
    <row r="3099" spans="1:4" ht="13.05" customHeight="1" x14ac:dyDescent="0.3">
      <c r="A3099" s="2" t="s">
        <v>352</v>
      </c>
      <c r="B3099" s="2" t="s">
        <v>985</v>
      </c>
      <c r="C3099" s="5" t="s">
        <v>5463</v>
      </c>
      <c r="D3099" s="2" t="s">
        <v>5464</v>
      </c>
    </row>
    <row r="3100" spans="1:4" ht="13.05" customHeight="1" x14ac:dyDescent="0.3">
      <c r="A3100" s="2" t="s">
        <v>352</v>
      </c>
      <c r="B3100" s="2" t="s">
        <v>985</v>
      </c>
      <c r="C3100" s="5" t="s">
        <v>5465</v>
      </c>
      <c r="D3100" s="2" t="s">
        <v>5466</v>
      </c>
    </row>
    <row r="3101" spans="1:4" ht="13.05" customHeight="1" x14ac:dyDescent="0.3">
      <c r="A3101" s="2" t="s">
        <v>352</v>
      </c>
      <c r="B3101" s="2" t="s">
        <v>985</v>
      </c>
      <c r="C3101" s="5" t="s">
        <v>5467</v>
      </c>
      <c r="D3101" s="2" t="s">
        <v>3356</v>
      </c>
    </row>
    <row r="3102" spans="1:4" ht="13.05" customHeight="1" x14ac:dyDescent="0.3">
      <c r="A3102" s="2" t="s">
        <v>352</v>
      </c>
      <c r="B3102" s="2" t="s">
        <v>985</v>
      </c>
      <c r="C3102" s="5" t="s">
        <v>5468</v>
      </c>
      <c r="D3102" s="2" t="s">
        <v>3358</v>
      </c>
    </row>
    <row r="3103" spans="1:4" ht="13.05" customHeight="1" x14ac:dyDescent="0.3">
      <c r="A3103" s="2" t="s">
        <v>352</v>
      </c>
      <c r="B3103" s="2" t="s">
        <v>985</v>
      </c>
      <c r="C3103" s="5" t="s">
        <v>5469</v>
      </c>
      <c r="D3103" s="2" t="s">
        <v>5470</v>
      </c>
    </row>
    <row r="3104" spans="1:4" ht="13.05" customHeight="1" x14ac:dyDescent="0.3">
      <c r="A3104" s="2" t="s">
        <v>352</v>
      </c>
      <c r="B3104" s="2" t="s">
        <v>985</v>
      </c>
      <c r="C3104" s="5" t="s">
        <v>5471</v>
      </c>
      <c r="D3104" s="2" t="s">
        <v>5472</v>
      </c>
    </row>
    <row r="3105" spans="1:4" ht="13.05" customHeight="1" x14ac:dyDescent="0.3">
      <c r="A3105" s="2" t="s">
        <v>352</v>
      </c>
      <c r="B3105" s="2" t="s">
        <v>985</v>
      </c>
      <c r="C3105" s="5" t="s">
        <v>5473</v>
      </c>
      <c r="D3105" s="2" t="s">
        <v>5474</v>
      </c>
    </row>
    <row r="3106" spans="1:4" ht="13.05" customHeight="1" x14ac:dyDescent="0.3">
      <c r="A3106" s="2" t="s">
        <v>352</v>
      </c>
      <c r="B3106" s="2" t="s">
        <v>985</v>
      </c>
      <c r="C3106" s="5" t="s">
        <v>5475</v>
      </c>
      <c r="D3106" s="2" t="s">
        <v>5476</v>
      </c>
    </row>
    <row r="3107" spans="1:4" ht="13.05" customHeight="1" x14ac:dyDescent="0.3">
      <c r="A3107" s="2" t="s">
        <v>352</v>
      </c>
      <c r="B3107" s="2" t="s">
        <v>985</v>
      </c>
      <c r="C3107" s="5" t="s">
        <v>5477</v>
      </c>
      <c r="D3107" s="2" t="s">
        <v>3276</v>
      </c>
    </row>
    <row r="3108" spans="1:4" ht="13.05" customHeight="1" x14ac:dyDescent="0.3">
      <c r="A3108" s="2" t="s">
        <v>352</v>
      </c>
      <c r="B3108" s="2" t="s">
        <v>985</v>
      </c>
      <c r="C3108" s="5" t="s">
        <v>5478</v>
      </c>
      <c r="D3108" s="2" t="s">
        <v>3278</v>
      </c>
    </row>
    <row r="3109" spans="1:4" ht="13.05" customHeight="1" x14ac:dyDescent="0.3">
      <c r="A3109" s="2" t="s">
        <v>352</v>
      </c>
      <c r="B3109" s="2" t="s">
        <v>985</v>
      </c>
      <c r="C3109" s="5" t="s">
        <v>5479</v>
      </c>
      <c r="D3109" s="2" t="s">
        <v>5480</v>
      </c>
    </row>
    <row r="3110" spans="1:4" ht="13.05" customHeight="1" x14ac:dyDescent="0.3">
      <c r="A3110" s="2" t="s">
        <v>352</v>
      </c>
      <c r="B3110" s="2" t="s">
        <v>985</v>
      </c>
      <c r="C3110" s="5" t="s">
        <v>5481</v>
      </c>
      <c r="D3110" s="2" t="s">
        <v>5482</v>
      </c>
    </row>
    <row r="3111" spans="1:4" ht="13.05" customHeight="1" x14ac:dyDescent="0.3">
      <c r="A3111" s="2" t="s">
        <v>352</v>
      </c>
      <c r="B3111" s="2" t="s">
        <v>985</v>
      </c>
      <c r="C3111" s="5" t="s">
        <v>5483</v>
      </c>
      <c r="D3111" s="2" t="s">
        <v>5484</v>
      </c>
    </row>
    <row r="3112" spans="1:4" ht="13.05" customHeight="1" x14ac:dyDescent="0.3">
      <c r="A3112" s="2" t="s">
        <v>352</v>
      </c>
      <c r="B3112" s="2" t="s">
        <v>985</v>
      </c>
      <c r="C3112" s="5" t="s">
        <v>5485</v>
      </c>
      <c r="D3112" s="2" t="s">
        <v>5486</v>
      </c>
    </row>
    <row r="3113" spans="1:4" ht="13.05" customHeight="1" x14ac:dyDescent="0.3">
      <c r="A3113" s="2" t="s">
        <v>352</v>
      </c>
      <c r="B3113" s="2" t="s">
        <v>985</v>
      </c>
      <c r="C3113" s="5" t="s">
        <v>5487</v>
      </c>
      <c r="D3113" s="2" t="s">
        <v>3356</v>
      </c>
    </row>
    <row r="3114" spans="1:4" ht="13.05" customHeight="1" x14ac:dyDescent="0.3">
      <c r="A3114" s="2" t="s">
        <v>352</v>
      </c>
      <c r="B3114" s="2" t="s">
        <v>985</v>
      </c>
      <c r="C3114" s="5" t="s">
        <v>5488</v>
      </c>
      <c r="D3114" s="2" t="s">
        <v>3358</v>
      </c>
    </row>
    <row r="3115" spans="1:4" ht="13.05" customHeight="1" x14ac:dyDescent="0.3">
      <c r="A3115" s="2" t="s">
        <v>352</v>
      </c>
      <c r="B3115" s="2" t="s">
        <v>985</v>
      </c>
      <c r="C3115" s="5" t="s">
        <v>5489</v>
      </c>
      <c r="D3115" s="2" t="s">
        <v>5490</v>
      </c>
    </row>
    <row r="3116" spans="1:4" ht="13.05" customHeight="1" x14ac:dyDescent="0.3">
      <c r="A3116" s="2" t="s">
        <v>352</v>
      </c>
      <c r="B3116" s="2" t="s">
        <v>985</v>
      </c>
      <c r="C3116" s="5" t="s">
        <v>5491</v>
      </c>
      <c r="D3116" s="2" t="s">
        <v>3244</v>
      </c>
    </row>
    <row r="3117" spans="1:4" ht="13.05" customHeight="1" x14ac:dyDescent="0.3">
      <c r="A3117" s="2" t="s">
        <v>352</v>
      </c>
      <c r="B3117" s="2" t="s">
        <v>985</v>
      </c>
      <c r="C3117" s="5" t="s">
        <v>5492</v>
      </c>
      <c r="D3117" s="2" t="s">
        <v>3246</v>
      </c>
    </row>
    <row r="3118" spans="1:4" ht="13.05" customHeight="1" x14ac:dyDescent="0.3">
      <c r="A3118" s="2" t="s">
        <v>352</v>
      </c>
      <c r="B3118" s="2" t="s">
        <v>985</v>
      </c>
      <c r="C3118" s="5" t="s">
        <v>5493</v>
      </c>
      <c r="D3118" s="2" t="s">
        <v>5494</v>
      </c>
    </row>
    <row r="3119" spans="1:4" ht="13.05" customHeight="1" x14ac:dyDescent="0.3">
      <c r="A3119" s="2" t="s">
        <v>352</v>
      </c>
      <c r="B3119" s="2" t="s">
        <v>985</v>
      </c>
      <c r="C3119" s="5" t="s">
        <v>5495</v>
      </c>
      <c r="D3119" s="2" t="s">
        <v>5496</v>
      </c>
    </row>
    <row r="3120" spans="1:4" ht="13.05" customHeight="1" x14ac:dyDescent="0.3">
      <c r="A3120" s="2" t="s">
        <v>352</v>
      </c>
      <c r="B3120" s="2" t="s">
        <v>985</v>
      </c>
      <c r="C3120" s="5" t="s">
        <v>5497</v>
      </c>
      <c r="D3120" s="2" t="s">
        <v>5498</v>
      </c>
    </row>
    <row r="3121" spans="1:4" ht="13.05" customHeight="1" x14ac:dyDescent="0.3">
      <c r="A3121" s="2" t="s">
        <v>352</v>
      </c>
      <c r="B3121" s="2" t="s">
        <v>985</v>
      </c>
      <c r="C3121" s="5" t="s">
        <v>5499</v>
      </c>
      <c r="D3121" s="2" t="s">
        <v>5500</v>
      </c>
    </row>
    <row r="3122" spans="1:4" ht="13.05" customHeight="1" x14ac:dyDescent="0.3">
      <c r="A3122" s="2" t="s">
        <v>352</v>
      </c>
      <c r="B3122" s="2" t="s">
        <v>985</v>
      </c>
      <c r="C3122" s="5" t="s">
        <v>5501</v>
      </c>
      <c r="D3122" s="2" t="s">
        <v>5502</v>
      </c>
    </row>
    <row r="3123" spans="1:4" ht="13.05" customHeight="1" x14ac:dyDescent="0.3">
      <c r="A3123" s="2" t="s">
        <v>352</v>
      </c>
      <c r="B3123" s="2" t="s">
        <v>985</v>
      </c>
      <c r="C3123" s="5" t="s">
        <v>5503</v>
      </c>
      <c r="D3123" s="2" t="s">
        <v>3244</v>
      </c>
    </row>
    <row r="3124" spans="1:4" ht="13.05" customHeight="1" x14ac:dyDescent="0.3">
      <c r="A3124" s="2" t="s">
        <v>352</v>
      </c>
      <c r="B3124" s="2" t="s">
        <v>985</v>
      </c>
      <c r="C3124" s="5" t="s">
        <v>5504</v>
      </c>
      <c r="D3124" s="2" t="s">
        <v>3246</v>
      </c>
    </row>
    <row r="3125" spans="1:4" ht="13.05" customHeight="1" x14ac:dyDescent="0.3">
      <c r="A3125" s="2" t="s">
        <v>352</v>
      </c>
      <c r="B3125" s="2" t="s">
        <v>985</v>
      </c>
      <c r="C3125" s="5" t="s">
        <v>5505</v>
      </c>
      <c r="D3125" s="2" t="s">
        <v>5506</v>
      </c>
    </row>
    <row r="3126" spans="1:4" ht="13.05" customHeight="1" x14ac:dyDescent="0.3">
      <c r="A3126" s="2" t="s">
        <v>352</v>
      </c>
      <c r="B3126" s="2" t="s">
        <v>985</v>
      </c>
      <c r="C3126" s="5" t="s">
        <v>5507</v>
      </c>
      <c r="D3126" s="2" t="s">
        <v>5508</v>
      </c>
    </row>
    <row r="3127" spans="1:4" ht="13.05" customHeight="1" x14ac:dyDescent="0.3">
      <c r="A3127" s="2" t="s">
        <v>352</v>
      </c>
      <c r="B3127" s="2" t="s">
        <v>985</v>
      </c>
      <c r="C3127" s="5" t="s">
        <v>5509</v>
      </c>
      <c r="D3127" s="2" t="s">
        <v>5510</v>
      </c>
    </row>
    <row r="3128" spans="1:4" ht="13.05" customHeight="1" x14ac:dyDescent="0.3">
      <c r="A3128" s="2" t="s">
        <v>352</v>
      </c>
      <c r="B3128" s="2" t="s">
        <v>985</v>
      </c>
      <c r="C3128" s="5" t="s">
        <v>5511</v>
      </c>
      <c r="D3128" s="2" t="s">
        <v>5512</v>
      </c>
    </row>
    <row r="3129" spans="1:4" ht="13.05" customHeight="1" x14ac:dyDescent="0.3">
      <c r="A3129" s="2" t="s">
        <v>352</v>
      </c>
      <c r="B3129" s="2" t="s">
        <v>985</v>
      </c>
      <c r="C3129" s="5" t="s">
        <v>5513</v>
      </c>
      <c r="D3129" s="2" t="s">
        <v>5514</v>
      </c>
    </row>
    <row r="3130" spans="1:4" ht="13.05" customHeight="1" x14ac:dyDescent="0.3">
      <c r="A3130" s="2" t="s">
        <v>352</v>
      </c>
      <c r="B3130" s="2" t="s">
        <v>985</v>
      </c>
      <c r="C3130" s="5" t="s">
        <v>5515</v>
      </c>
      <c r="D3130" s="2" t="s">
        <v>5516</v>
      </c>
    </row>
    <row r="3131" spans="1:4" ht="13.05" customHeight="1" x14ac:dyDescent="0.3">
      <c r="A3131" s="2" t="s">
        <v>352</v>
      </c>
      <c r="B3131" s="2" t="s">
        <v>985</v>
      </c>
      <c r="C3131" s="5" t="s">
        <v>5517</v>
      </c>
      <c r="D3131" s="2" t="s">
        <v>5518</v>
      </c>
    </row>
    <row r="3132" spans="1:4" ht="13.05" customHeight="1" x14ac:dyDescent="0.3">
      <c r="A3132" s="2" t="s">
        <v>352</v>
      </c>
      <c r="B3132" s="2" t="s">
        <v>985</v>
      </c>
      <c r="C3132" s="5" t="s">
        <v>5519</v>
      </c>
      <c r="D3132" s="2" t="s">
        <v>5520</v>
      </c>
    </row>
    <row r="3133" spans="1:4" ht="13.05" customHeight="1" x14ac:dyDescent="0.3">
      <c r="A3133" s="2" t="s">
        <v>352</v>
      </c>
      <c r="B3133" s="2" t="s">
        <v>985</v>
      </c>
      <c r="C3133" s="5" t="s">
        <v>5521</v>
      </c>
      <c r="D3133" s="2" t="s">
        <v>5522</v>
      </c>
    </row>
    <row r="3134" spans="1:4" ht="13.05" customHeight="1" x14ac:dyDescent="0.3">
      <c r="A3134" s="2" t="s">
        <v>352</v>
      </c>
      <c r="B3134" s="2" t="s">
        <v>985</v>
      </c>
      <c r="C3134" s="5" t="s">
        <v>5523</v>
      </c>
      <c r="D3134" s="2" t="s">
        <v>5524</v>
      </c>
    </row>
    <row r="3135" spans="1:4" ht="13.05" customHeight="1" x14ac:dyDescent="0.3">
      <c r="A3135" s="2" t="s">
        <v>352</v>
      </c>
      <c r="B3135" s="2" t="s">
        <v>985</v>
      </c>
      <c r="C3135" s="5" t="s">
        <v>5525</v>
      </c>
      <c r="D3135" s="2" t="s">
        <v>5526</v>
      </c>
    </row>
    <row r="3136" spans="1:4" ht="13.05" customHeight="1" x14ac:dyDescent="0.3">
      <c r="A3136" s="2" t="s">
        <v>352</v>
      </c>
      <c r="B3136" s="2" t="s">
        <v>985</v>
      </c>
      <c r="C3136" s="5" t="s">
        <v>5527</v>
      </c>
      <c r="D3136" s="2" t="s">
        <v>5528</v>
      </c>
    </row>
    <row r="3137" spans="1:4" ht="13.05" customHeight="1" x14ac:dyDescent="0.3">
      <c r="A3137" s="2" t="s">
        <v>352</v>
      </c>
      <c r="B3137" s="2" t="s">
        <v>985</v>
      </c>
      <c r="C3137" s="5" t="s">
        <v>5529</v>
      </c>
      <c r="D3137" s="2" t="s">
        <v>5530</v>
      </c>
    </row>
    <row r="3138" spans="1:4" ht="13.05" customHeight="1" x14ac:dyDescent="0.3">
      <c r="A3138" s="2" t="s">
        <v>352</v>
      </c>
      <c r="B3138" s="2" t="s">
        <v>985</v>
      </c>
      <c r="C3138" s="5" t="s">
        <v>5531</v>
      </c>
      <c r="D3138" s="2" t="s">
        <v>5532</v>
      </c>
    </row>
    <row r="3139" spans="1:4" ht="13.05" customHeight="1" x14ac:dyDescent="0.3">
      <c r="A3139" s="2" t="s">
        <v>352</v>
      </c>
      <c r="B3139" s="2" t="s">
        <v>985</v>
      </c>
      <c r="C3139" s="5" t="s">
        <v>5533</v>
      </c>
      <c r="D3139" s="2" t="s">
        <v>5534</v>
      </c>
    </row>
    <row r="3140" spans="1:4" ht="13.05" customHeight="1" x14ac:dyDescent="0.3">
      <c r="A3140" s="2" t="s">
        <v>352</v>
      </c>
      <c r="B3140" s="2" t="s">
        <v>985</v>
      </c>
      <c r="C3140" s="5" t="s">
        <v>5535</v>
      </c>
      <c r="D3140" s="2" t="s">
        <v>5536</v>
      </c>
    </row>
    <row r="3141" spans="1:4" ht="13.05" customHeight="1" x14ac:dyDescent="0.3">
      <c r="A3141" s="2" t="s">
        <v>352</v>
      </c>
      <c r="B3141" s="2" t="s">
        <v>985</v>
      </c>
      <c r="C3141" s="5" t="s">
        <v>5537</v>
      </c>
      <c r="D3141" s="2" t="s">
        <v>5538</v>
      </c>
    </row>
    <row r="3142" spans="1:4" ht="13.05" customHeight="1" x14ac:dyDescent="0.3">
      <c r="A3142" s="2" t="s">
        <v>352</v>
      </c>
      <c r="B3142" s="2" t="s">
        <v>985</v>
      </c>
      <c r="C3142" s="5" t="s">
        <v>5539</v>
      </c>
      <c r="D3142" s="2" t="s">
        <v>5540</v>
      </c>
    </row>
    <row r="3143" spans="1:4" ht="13.05" customHeight="1" x14ac:dyDescent="0.3">
      <c r="A3143" s="2" t="s">
        <v>352</v>
      </c>
      <c r="B3143" s="2" t="s">
        <v>985</v>
      </c>
      <c r="C3143" s="5" t="s">
        <v>5541</v>
      </c>
      <c r="D3143" s="2" t="s">
        <v>5542</v>
      </c>
    </row>
    <row r="3144" spans="1:4" ht="13.05" customHeight="1" x14ac:dyDescent="0.3">
      <c r="A3144" s="2" t="s">
        <v>352</v>
      </c>
      <c r="B3144" s="2" t="s">
        <v>985</v>
      </c>
      <c r="C3144" s="5" t="s">
        <v>5543</v>
      </c>
      <c r="D3144" s="2" t="s">
        <v>5544</v>
      </c>
    </row>
    <row r="3145" spans="1:4" ht="13.05" customHeight="1" x14ac:dyDescent="0.3">
      <c r="A3145" s="2" t="s">
        <v>352</v>
      </c>
      <c r="B3145" s="2" t="s">
        <v>985</v>
      </c>
      <c r="C3145" s="5" t="s">
        <v>5545</v>
      </c>
      <c r="D3145" s="2" t="s">
        <v>5546</v>
      </c>
    </row>
    <row r="3146" spans="1:4" ht="13.05" customHeight="1" x14ac:dyDescent="0.3">
      <c r="A3146" s="2" t="s">
        <v>352</v>
      </c>
      <c r="B3146" s="2" t="s">
        <v>985</v>
      </c>
      <c r="C3146" s="5" t="s">
        <v>5547</v>
      </c>
      <c r="D3146" s="2" t="s">
        <v>5548</v>
      </c>
    </row>
    <row r="3147" spans="1:4" ht="13.05" customHeight="1" x14ac:dyDescent="0.3">
      <c r="A3147" s="2" t="s">
        <v>352</v>
      </c>
      <c r="B3147" s="2" t="s">
        <v>985</v>
      </c>
      <c r="C3147" s="5" t="s">
        <v>5549</v>
      </c>
      <c r="D3147" s="2" t="s">
        <v>5550</v>
      </c>
    </row>
    <row r="3148" spans="1:4" ht="13.05" customHeight="1" x14ac:dyDescent="0.3">
      <c r="A3148" s="2" t="s">
        <v>352</v>
      </c>
      <c r="B3148" s="2" t="s">
        <v>985</v>
      </c>
      <c r="C3148" s="5" t="s">
        <v>5551</v>
      </c>
      <c r="D3148" s="2" t="s">
        <v>5552</v>
      </c>
    </row>
    <row r="3149" spans="1:4" ht="13.05" customHeight="1" x14ac:dyDescent="0.3">
      <c r="A3149" s="2" t="s">
        <v>352</v>
      </c>
      <c r="B3149" s="2" t="s">
        <v>985</v>
      </c>
      <c r="C3149" s="5" t="s">
        <v>5553</v>
      </c>
      <c r="D3149" s="2" t="s">
        <v>5554</v>
      </c>
    </row>
    <row r="3150" spans="1:4" ht="13.05" customHeight="1" x14ac:dyDescent="0.3">
      <c r="A3150" s="2" t="s">
        <v>352</v>
      </c>
      <c r="B3150" s="2" t="s">
        <v>985</v>
      </c>
      <c r="C3150" s="5" t="s">
        <v>5555</v>
      </c>
      <c r="D3150" s="2" t="s">
        <v>5556</v>
      </c>
    </row>
    <row r="3151" spans="1:4" ht="13.05" customHeight="1" x14ac:dyDescent="0.3">
      <c r="A3151" s="2" t="s">
        <v>352</v>
      </c>
      <c r="B3151" s="2" t="s">
        <v>985</v>
      </c>
      <c r="C3151" s="5" t="s">
        <v>5557</v>
      </c>
      <c r="D3151" s="2" t="s">
        <v>5558</v>
      </c>
    </row>
    <row r="3152" spans="1:4" ht="13.05" customHeight="1" x14ac:dyDescent="0.3">
      <c r="A3152" s="2" t="s">
        <v>352</v>
      </c>
      <c r="B3152" s="2" t="s">
        <v>985</v>
      </c>
      <c r="C3152" s="5" t="s">
        <v>5559</v>
      </c>
      <c r="D3152" s="2" t="s">
        <v>5560</v>
      </c>
    </row>
    <row r="3153" spans="1:4" ht="13.05" customHeight="1" x14ac:dyDescent="0.3">
      <c r="A3153" s="2" t="s">
        <v>352</v>
      </c>
      <c r="B3153" s="2" t="s">
        <v>985</v>
      </c>
      <c r="C3153" s="5" t="s">
        <v>5561</v>
      </c>
      <c r="D3153" s="2" t="s">
        <v>5562</v>
      </c>
    </row>
    <row r="3154" spans="1:4" ht="13.05" customHeight="1" x14ac:dyDescent="0.3">
      <c r="A3154" s="2" t="s">
        <v>352</v>
      </c>
      <c r="B3154" s="2" t="s">
        <v>985</v>
      </c>
      <c r="C3154" s="5" t="s">
        <v>5563</v>
      </c>
      <c r="D3154" s="2" t="s">
        <v>5564</v>
      </c>
    </row>
    <row r="3155" spans="1:4" ht="13.05" customHeight="1" x14ac:dyDescent="0.3">
      <c r="A3155" s="2" t="s">
        <v>352</v>
      </c>
      <c r="B3155" s="2" t="s">
        <v>985</v>
      </c>
      <c r="C3155" s="5" t="s">
        <v>5565</v>
      </c>
      <c r="D3155" s="2" t="s">
        <v>5067</v>
      </c>
    </row>
    <row r="3156" spans="1:4" ht="13.05" customHeight="1" x14ac:dyDescent="0.3">
      <c r="A3156" s="2" t="s">
        <v>352</v>
      </c>
      <c r="B3156" s="2" t="s">
        <v>985</v>
      </c>
      <c r="C3156" s="5" t="s">
        <v>5566</v>
      </c>
      <c r="D3156" s="2" t="s">
        <v>4849</v>
      </c>
    </row>
    <row r="3157" spans="1:4" ht="13.05" customHeight="1" x14ac:dyDescent="0.3">
      <c r="A3157" s="2" t="s">
        <v>352</v>
      </c>
      <c r="B3157" s="2" t="s">
        <v>985</v>
      </c>
      <c r="C3157" s="5" t="s">
        <v>5567</v>
      </c>
      <c r="D3157" s="2" t="s">
        <v>4411</v>
      </c>
    </row>
    <row r="3158" spans="1:4" ht="13.05" customHeight="1" x14ac:dyDescent="0.3">
      <c r="A3158" s="2" t="s">
        <v>352</v>
      </c>
      <c r="B3158" s="2" t="s">
        <v>985</v>
      </c>
      <c r="C3158" s="5" t="s">
        <v>5568</v>
      </c>
      <c r="D3158" s="2" t="s">
        <v>5071</v>
      </c>
    </row>
    <row r="3159" spans="1:4" ht="13.05" customHeight="1" x14ac:dyDescent="0.3">
      <c r="A3159" s="2" t="s">
        <v>352</v>
      </c>
      <c r="B3159" s="2" t="s">
        <v>985</v>
      </c>
      <c r="C3159" s="5" t="s">
        <v>5569</v>
      </c>
      <c r="D3159" s="2" t="s">
        <v>4413</v>
      </c>
    </row>
    <row r="3160" spans="1:4" ht="13.05" customHeight="1" x14ac:dyDescent="0.3">
      <c r="A3160" s="2" t="s">
        <v>352</v>
      </c>
      <c r="B3160" s="2" t="s">
        <v>985</v>
      </c>
      <c r="C3160" s="5" t="s">
        <v>5570</v>
      </c>
      <c r="D3160" s="2" t="s">
        <v>5074</v>
      </c>
    </row>
    <row r="3161" spans="1:4" ht="13.05" customHeight="1" x14ac:dyDescent="0.3">
      <c r="A3161" s="2" t="s">
        <v>352</v>
      </c>
      <c r="B3161" s="2" t="s">
        <v>985</v>
      </c>
      <c r="C3161" s="5" t="s">
        <v>5571</v>
      </c>
      <c r="D3161" s="2" t="s">
        <v>4851</v>
      </c>
    </row>
    <row r="3162" spans="1:4" ht="13.05" customHeight="1" x14ac:dyDescent="0.3">
      <c r="A3162" s="2" t="s">
        <v>352</v>
      </c>
      <c r="B3162" s="2" t="s">
        <v>985</v>
      </c>
      <c r="C3162" s="5" t="s">
        <v>5572</v>
      </c>
      <c r="D3162" s="2" t="s">
        <v>5067</v>
      </c>
    </row>
    <row r="3163" spans="1:4" ht="13.05" customHeight="1" x14ac:dyDescent="0.3">
      <c r="A3163" s="2" t="s">
        <v>352</v>
      </c>
      <c r="B3163" s="2" t="s">
        <v>985</v>
      </c>
      <c r="C3163" s="5" t="s">
        <v>5573</v>
      </c>
      <c r="D3163" s="2" t="s">
        <v>4849</v>
      </c>
    </row>
    <row r="3164" spans="1:4" ht="13.05" customHeight="1" x14ac:dyDescent="0.3">
      <c r="A3164" s="2" t="s">
        <v>352</v>
      </c>
      <c r="B3164" s="2" t="s">
        <v>985</v>
      </c>
      <c r="C3164" s="5" t="s">
        <v>5574</v>
      </c>
      <c r="D3164" s="2" t="s">
        <v>4411</v>
      </c>
    </row>
    <row r="3165" spans="1:4" ht="13.05" customHeight="1" x14ac:dyDescent="0.3">
      <c r="A3165" s="2" t="s">
        <v>352</v>
      </c>
      <c r="B3165" s="2" t="s">
        <v>985</v>
      </c>
      <c r="C3165" s="5" t="s">
        <v>5575</v>
      </c>
      <c r="D3165" s="2" t="s">
        <v>5071</v>
      </c>
    </row>
    <row r="3166" spans="1:4" ht="13.05" customHeight="1" x14ac:dyDescent="0.3">
      <c r="A3166" s="2" t="s">
        <v>352</v>
      </c>
      <c r="B3166" s="2" t="s">
        <v>985</v>
      </c>
      <c r="C3166" s="5" t="s">
        <v>5576</v>
      </c>
      <c r="D3166" s="2" t="s">
        <v>4413</v>
      </c>
    </row>
    <row r="3167" spans="1:4" ht="13.05" customHeight="1" x14ac:dyDescent="0.3">
      <c r="A3167" s="2" t="s">
        <v>352</v>
      </c>
      <c r="B3167" s="2" t="s">
        <v>985</v>
      </c>
      <c r="C3167" s="5" t="s">
        <v>5577</v>
      </c>
      <c r="D3167" s="2" t="s">
        <v>5074</v>
      </c>
    </row>
    <row r="3168" spans="1:4" ht="13.05" customHeight="1" x14ac:dyDescent="0.3">
      <c r="A3168" s="2" t="s">
        <v>352</v>
      </c>
      <c r="B3168" s="2" t="s">
        <v>985</v>
      </c>
      <c r="C3168" s="5" t="s">
        <v>5578</v>
      </c>
      <c r="D3168" s="2" t="s">
        <v>4417</v>
      </c>
    </row>
    <row r="3169" spans="1:4" ht="13.05" customHeight="1" x14ac:dyDescent="0.3">
      <c r="A3169" s="2" t="s">
        <v>352</v>
      </c>
      <c r="B3169" s="2" t="s">
        <v>985</v>
      </c>
      <c r="C3169" s="5" t="s">
        <v>5579</v>
      </c>
      <c r="D3169" s="2" t="s">
        <v>5067</v>
      </c>
    </row>
    <row r="3170" spans="1:4" ht="13.05" customHeight="1" x14ac:dyDescent="0.3">
      <c r="A3170" s="2" t="s">
        <v>352</v>
      </c>
      <c r="B3170" s="2" t="s">
        <v>985</v>
      </c>
      <c r="C3170" s="5" t="s">
        <v>5580</v>
      </c>
      <c r="D3170" s="2" t="s">
        <v>4849</v>
      </c>
    </row>
    <row r="3171" spans="1:4" ht="13.05" customHeight="1" x14ac:dyDescent="0.3">
      <c r="A3171" s="2" t="s">
        <v>352</v>
      </c>
      <c r="B3171" s="2" t="s">
        <v>985</v>
      </c>
      <c r="C3171" s="5" t="s">
        <v>5581</v>
      </c>
      <c r="D3171" s="2" t="s">
        <v>4411</v>
      </c>
    </row>
    <row r="3172" spans="1:4" ht="13.05" customHeight="1" x14ac:dyDescent="0.3">
      <c r="A3172" s="2" t="s">
        <v>352</v>
      </c>
      <c r="B3172" s="2" t="s">
        <v>985</v>
      </c>
      <c r="C3172" s="5" t="s">
        <v>5582</v>
      </c>
      <c r="D3172" s="2" t="s">
        <v>5071</v>
      </c>
    </row>
    <row r="3173" spans="1:4" ht="13.05" customHeight="1" x14ac:dyDescent="0.3">
      <c r="A3173" s="2" t="s">
        <v>352</v>
      </c>
      <c r="B3173" s="2" t="s">
        <v>985</v>
      </c>
      <c r="C3173" s="5" t="s">
        <v>5583</v>
      </c>
      <c r="D3173" s="2" t="s">
        <v>4413</v>
      </c>
    </row>
    <row r="3174" spans="1:4" ht="13.05" customHeight="1" x14ac:dyDescent="0.3">
      <c r="A3174" s="2" t="s">
        <v>352</v>
      </c>
      <c r="B3174" s="2" t="s">
        <v>985</v>
      </c>
      <c r="C3174" s="5" t="s">
        <v>5584</v>
      </c>
      <c r="D3174" s="2" t="s">
        <v>5074</v>
      </c>
    </row>
    <row r="3175" spans="1:4" ht="13.05" customHeight="1" x14ac:dyDescent="0.3">
      <c r="A3175" s="2" t="s">
        <v>352</v>
      </c>
      <c r="B3175" s="2" t="s">
        <v>985</v>
      </c>
      <c r="C3175" s="5" t="s">
        <v>5585</v>
      </c>
      <c r="D3175" s="2" t="s">
        <v>4417</v>
      </c>
    </row>
    <row r="3176" spans="1:4" ht="13.05" customHeight="1" x14ac:dyDescent="0.3">
      <c r="A3176" s="2" t="s">
        <v>352</v>
      </c>
      <c r="B3176" s="2" t="s">
        <v>985</v>
      </c>
      <c r="C3176" s="5" t="s">
        <v>5586</v>
      </c>
      <c r="D3176" s="2" t="s">
        <v>5228</v>
      </c>
    </row>
    <row r="3177" spans="1:4" ht="13.05" customHeight="1" x14ac:dyDescent="0.3">
      <c r="A3177" s="2" t="s">
        <v>352</v>
      </c>
      <c r="B3177" s="2" t="s">
        <v>985</v>
      </c>
      <c r="C3177" s="5" t="s">
        <v>5587</v>
      </c>
      <c r="D3177" s="2" t="s">
        <v>5230</v>
      </c>
    </row>
    <row r="3178" spans="1:4" ht="13.05" customHeight="1" x14ac:dyDescent="0.3">
      <c r="A3178" s="2" t="s">
        <v>352</v>
      </c>
      <c r="B3178" s="2" t="s">
        <v>985</v>
      </c>
      <c r="C3178" s="5" t="s">
        <v>5588</v>
      </c>
      <c r="D3178" s="2" t="s">
        <v>5232</v>
      </c>
    </row>
    <row r="3179" spans="1:4" ht="13.05" customHeight="1" x14ac:dyDescent="0.3">
      <c r="A3179" s="2" t="s">
        <v>352</v>
      </c>
      <c r="B3179" s="2" t="s">
        <v>985</v>
      </c>
      <c r="C3179" s="5" t="s">
        <v>5589</v>
      </c>
      <c r="D3179" s="2" t="s">
        <v>5234</v>
      </c>
    </row>
    <row r="3180" spans="1:4" ht="13.05" customHeight="1" x14ac:dyDescent="0.3">
      <c r="A3180" s="2" t="s">
        <v>352</v>
      </c>
      <c r="B3180" s="2" t="s">
        <v>985</v>
      </c>
      <c r="C3180" s="5" t="s">
        <v>5590</v>
      </c>
      <c r="D3180" s="2" t="s">
        <v>5236</v>
      </c>
    </row>
    <row r="3181" spans="1:4" ht="13.05" customHeight="1" x14ac:dyDescent="0.3">
      <c r="A3181" s="2" t="s">
        <v>352</v>
      </c>
      <c r="B3181" s="2" t="s">
        <v>985</v>
      </c>
      <c r="C3181" s="5" t="s">
        <v>5591</v>
      </c>
      <c r="D3181" s="2" t="s">
        <v>5238</v>
      </c>
    </row>
    <row r="3182" spans="1:4" ht="13.05" customHeight="1" x14ac:dyDescent="0.3">
      <c r="A3182" s="2" t="s">
        <v>352</v>
      </c>
      <c r="B3182" s="2" t="s">
        <v>985</v>
      </c>
      <c r="C3182" s="5" t="s">
        <v>5592</v>
      </c>
      <c r="D3182" s="2" t="s">
        <v>4417</v>
      </c>
    </row>
    <row r="3183" spans="1:4" ht="13.05" customHeight="1" x14ac:dyDescent="0.3">
      <c r="A3183" s="2" t="s">
        <v>352</v>
      </c>
      <c r="B3183" s="2" t="s">
        <v>985</v>
      </c>
      <c r="C3183" s="5" t="s">
        <v>5593</v>
      </c>
      <c r="D3183" s="2" t="s">
        <v>5242</v>
      </c>
    </row>
    <row r="3184" spans="1:4" ht="13.05" customHeight="1" x14ac:dyDescent="0.3">
      <c r="A3184" s="2" t="s">
        <v>352</v>
      </c>
      <c r="B3184" s="2" t="s">
        <v>985</v>
      </c>
      <c r="C3184" s="5" t="s">
        <v>5594</v>
      </c>
      <c r="D3184" s="2" t="s">
        <v>4585</v>
      </c>
    </row>
    <row r="3185" spans="1:4" ht="13.05" customHeight="1" x14ac:dyDescent="0.3">
      <c r="A3185" s="2" t="s">
        <v>352</v>
      </c>
      <c r="B3185" s="2" t="s">
        <v>985</v>
      </c>
      <c r="C3185" s="5" t="s">
        <v>5595</v>
      </c>
      <c r="D3185" s="2" t="s">
        <v>4587</v>
      </c>
    </row>
    <row r="3186" spans="1:4" ht="13.05" customHeight="1" x14ac:dyDescent="0.3">
      <c r="A3186" s="2" t="s">
        <v>352</v>
      </c>
      <c r="B3186" s="2" t="s">
        <v>985</v>
      </c>
      <c r="C3186" s="5" t="s">
        <v>5596</v>
      </c>
      <c r="D3186" s="2" t="s">
        <v>4589</v>
      </c>
    </row>
    <row r="3187" spans="1:4" ht="13.05" customHeight="1" x14ac:dyDescent="0.3">
      <c r="A3187" s="2" t="s">
        <v>352</v>
      </c>
      <c r="B3187" s="2" t="s">
        <v>985</v>
      </c>
      <c r="C3187" s="5" t="s">
        <v>5597</v>
      </c>
      <c r="D3187" s="2" t="s">
        <v>4417</v>
      </c>
    </row>
    <row r="3188" spans="1:4" ht="13.05" customHeight="1" x14ac:dyDescent="0.3">
      <c r="A3188" s="2" t="s">
        <v>352</v>
      </c>
      <c r="B3188" s="2" t="s">
        <v>985</v>
      </c>
      <c r="C3188" s="5" t="s">
        <v>5598</v>
      </c>
      <c r="D3188" s="2" t="s">
        <v>5599</v>
      </c>
    </row>
    <row r="3189" spans="1:4" ht="13.05" customHeight="1" x14ac:dyDescent="0.3">
      <c r="A3189" s="2" t="s">
        <v>352</v>
      </c>
      <c r="B3189" s="2" t="s">
        <v>985</v>
      </c>
      <c r="C3189" s="5" t="s">
        <v>5600</v>
      </c>
      <c r="D3189" s="2" t="s">
        <v>5071</v>
      </c>
    </row>
    <row r="3190" spans="1:4" ht="13.05" customHeight="1" x14ac:dyDescent="0.3">
      <c r="A3190" s="2" t="s">
        <v>352</v>
      </c>
      <c r="B3190" s="2" t="s">
        <v>985</v>
      </c>
      <c r="C3190" s="5" t="s">
        <v>5601</v>
      </c>
      <c r="D3190" s="2" t="s">
        <v>4413</v>
      </c>
    </row>
    <row r="3191" spans="1:4" ht="13.05" customHeight="1" x14ac:dyDescent="0.3">
      <c r="A3191" s="2" t="s">
        <v>352</v>
      </c>
      <c r="B3191" s="2" t="s">
        <v>985</v>
      </c>
      <c r="C3191" s="5" t="s">
        <v>5602</v>
      </c>
      <c r="D3191" s="2" t="s">
        <v>5074</v>
      </c>
    </row>
    <row r="3192" spans="1:4" ht="13.05" customHeight="1" x14ac:dyDescent="0.3">
      <c r="A3192" s="2" t="s">
        <v>352</v>
      </c>
      <c r="B3192" s="2" t="s">
        <v>985</v>
      </c>
      <c r="C3192" s="5" t="s">
        <v>5603</v>
      </c>
      <c r="D3192" s="2" t="s">
        <v>4417</v>
      </c>
    </row>
    <row r="3193" spans="1:4" ht="13.05" customHeight="1" x14ac:dyDescent="0.3">
      <c r="A3193" s="2" t="s">
        <v>352</v>
      </c>
      <c r="B3193" s="2" t="s">
        <v>985</v>
      </c>
      <c r="C3193" s="5" t="s">
        <v>5604</v>
      </c>
      <c r="D3193" s="2" t="s">
        <v>5071</v>
      </c>
    </row>
    <row r="3194" spans="1:4" ht="13.05" customHeight="1" x14ac:dyDescent="0.3">
      <c r="A3194" s="2" t="s">
        <v>352</v>
      </c>
      <c r="B3194" s="2" t="s">
        <v>985</v>
      </c>
      <c r="C3194" s="5" t="s">
        <v>5605</v>
      </c>
      <c r="D3194" s="2" t="s">
        <v>4413</v>
      </c>
    </row>
    <row r="3195" spans="1:4" ht="13.05" customHeight="1" x14ac:dyDescent="0.3">
      <c r="A3195" s="2" t="s">
        <v>352</v>
      </c>
      <c r="B3195" s="2" t="s">
        <v>985</v>
      </c>
      <c r="C3195" s="5" t="s">
        <v>5606</v>
      </c>
      <c r="D3195" s="2" t="s">
        <v>5074</v>
      </c>
    </row>
    <row r="3196" spans="1:4" ht="13.05" customHeight="1" x14ac:dyDescent="0.3">
      <c r="A3196" s="2" t="s">
        <v>352</v>
      </c>
      <c r="B3196" s="2" t="s">
        <v>985</v>
      </c>
      <c r="C3196" s="5" t="s">
        <v>5607</v>
      </c>
      <c r="D3196" s="2" t="s">
        <v>4851</v>
      </c>
    </row>
    <row r="3197" spans="1:4" ht="13.05" customHeight="1" x14ac:dyDescent="0.3">
      <c r="A3197" s="2" t="s">
        <v>352</v>
      </c>
      <c r="B3197" s="2" t="s">
        <v>985</v>
      </c>
      <c r="C3197" s="5" t="s">
        <v>5608</v>
      </c>
      <c r="D3197" s="2" t="s">
        <v>5228</v>
      </c>
    </row>
    <row r="3198" spans="1:4" ht="13.05" customHeight="1" x14ac:dyDescent="0.3">
      <c r="A3198" s="2" t="s">
        <v>352</v>
      </c>
      <c r="B3198" s="2" t="s">
        <v>985</v>
      </c>
      <c r="C3198" s="5" t="s">
        <v>5609</v>
      </c>
      <c r="D3198" s="2" t="s">
        <v>5230</v>
      </c>
    </row>
    <row r="3199" spans="1:4" ht="13.05" customHeight="1" x14ac:dyDescent="0.3">
      <c r="A3199" s="2" t="s">
        <v>352</v>
      </c>
      <c r="B3199" s="2" t="s">
        <v>985</v>
      </c>
      <c r="C3199" s="5" t="s">
        <v>5610</v>
      </c>
      <c r="D3199" s="2" t="s">
        <v>5232</v>
      </c>
    </row>
    <row r="3200" spans="1:4" ht="13.05" customHeight="1" x14ac:dyDescent="0.3">
      <c r="A3200" s="2" t="s">
        <v>352</v>
      </c>
      <c r="B3200" s="2" t="s">
        <v>985</v>
      </c>
      <c r="C3200" s="5" t="s">
        <v>5611</v>
      </c>
      <c r="D3200" s="2" t="s">
        <v>5234</v>
      </c>
    </row>
    <row r="3201" spans="1:4" ht="13.05" customHeight="1" x14ac:dyDescent="0.3">
      <c r="A3201" s="2" t="s">
        <v>352</v>
      </c>
      <c r="B3201" s="2" t="s">
        <v>985</v>
      </c>
      <c r="C3201" s="5" t="s">
        <v>5612</v>
      </c>
      <c r="D3201" s="2" t="s">
        <v>5236</v>
      </c>
    </row>
    <row r="3202" spans="1:4" ht="13.05" customHeight="1" x14ac:dyDescent="0.3">
      <c r="A3202" s="2" t="s">
        <v>352</v>
      </c>
      <c r="B3202" s="2" t="s">
        <v>985</v>
      </c>
      <c r="C3202" s="5" t="s">
        <v>5613</v>
      </c>
      <c r="D3202" s="2" t="s">
        <v>5238</v>
      </c>
    </row>
    <row r="3203" spans="1:4" ht="13.05" customHeight="1" x14ac:dyDescent="0.3">
      <c r="A3203" s="2" t="s">
        <v>352</v>
      </c>
      <c r="B3203" s="2" t="s">
        <v>985</v>
      </c>
      <c r="C3203" s="5" t="s">
        <v>5614</v>
      </c>
      <c r="D3203" s="2" t="s">
        <v>4417</v>
      </c>
    </row>
    <row r="3204" spans="1:4" ht="13.05" customHeight="1" x14ac:dyDescent="0.3">
      <c r="A3204" s="2" t="s">
        <v>352</v>
      </c>
      <c r="B3204" s="2" t="s">
        <v>985</v>
      </c>
      <c r="C3204" s="5" t="s">
        <v>5615</v>
      </c>
      <c r="D3204" s="2" t="s">
        <v>5242</v>
      </c>
    </row>
    <row r="3205" spans="1:4" ht="13.05" customHeight="1" x14ac:dyDescent="0.3">
      <c r="A3205" s="2" t="s">
        <v>352</v>
      </c>
      <c r="B3205" s="2" t="s">
        <v>985</v>
      </c>
      <c r="C3205" s="5" t="s">
        <v>5616</v>
      </c>
      <c r="D3205" s="2" t="s">
        <v>4585</v>
      </c>
    </row>
    <row r="3206" spans="1:4" ht="13.05" customHeight="1" x14ac:dyDescent="0.3">
      <c r="A3206" s="2" t="s">
        <v>352</v>
      </c>
      <c r="B3206" s="2" t="s">
        <v>985</v>
      </c>
      <c r="C3206" s="5" t="s">
        <v>5617</v>
      </c>
      <c r="D3206" s="2" t="s">
        <v>4587</v>
      </c>
    </row>
    <row r="3207" spans="1:4" ht="13.05" customHeight="1" x14ac:dyDescent="0.3">
      <c r="A3207" s="2" t="s">
        <v>352</v>
      </c>
      <c r="B3207" s="2" t="s">
        <v>985</v>
      </c>
      <c r="C3207" s="5" t="s">
        <v>5618</v>
      </c>
      <c r="D3207" s="2" t="s">
        <v>4589</v>
      </c>
    </row>
    <row r="3208" spans="1:4" ht="13.05" customHeight="1" x14ac:dyDescent="0.3">
      <c r="A3208" s="2" t="s">
        <v>352</v>
      </c>
      <c r="B3208" s="2" t="s">
        <v>985</v>
      </c>
      <c r="C3208" s="5" t="s">
        <v>5619</v>
      </c>
      <c r="D3208" s="2" t="s">
        <v>4417</v>
      </c>
    </row>
    <row r="3209" spans="1:4" ht="13.05" customHeight="1" x14ac:dyDescent="0.3">
      <c r="A3209" s="2" t="s">
        <v>352</v>
      </c>
      <c r="B3209" s="2" t="s">
        <v>985</v>
      </c>
      <c r="C3209" s="5" t="s">
        <v>5620</v>
      </c>
      <c r="D3209" s="2" t="s">
        <v>5139</v>
      </c>
    </row>
    <row r="3210" spans="1:4" ht="13.05" customHeight="1" x14ac:dyDescent="0.3">
      <c r="A3210" s="2" t="s">
        <v>352</v>
      </c>
      <c r="B3210" s="2" t="s">
        <v>985</v>
      </c>
      <c r="C3210" s="5" t="s">
        <v>5621</v>
      </c>
      <c r="D3210" s="2" t="s">
        <v>5074</v>
      </c>
    </row>
    <row r="3211" spans="1:4" ht="13.05" customHeight="1" x14ac:dyDescent="0.3">
      <c r="A3211" s="2" t="s">
        <v>352</v>
      </c>
      <c r="B3211" s="2" t="s">
        <v>985</v>
      </c>
      <c r="C3211" s="5" t="s">
        <v>5622</v>
      </c>
      <c r="D3211" s="2" t="s">
        <v>4417</v>
      </c>
    </row>
    <row r="3212" spans="1:4" ht="13.05" customHeight="1" x14ac:dyDescent="0.3">
      <c r="A3212" s="2" t="s">
        <v>352</v>
      </c>
      <c r="B3212" s="2" t="s">
        <v>985</v>
      </c>
      <c r="C3212" s="5" t="s">
        <v>5623</v>
      </c>
      <c r="D3212" s="2" t="s">
        <v>5139</v>
      </c>
    </row>
    <row r="3213" spans="1:4" ht="13.05" customHeight="1" x14ac:dyDescent="0.3">
      <c r="A3213" s="2" t="s">
        <v>352</v>
      </c>
      <c r="B3213" s="2" t="s">
        <v>985</v>
      </c>
      <c r="C3213" s="5" t="s">
        <v>5624</v>
      </c>
      <c r="D3213" s="2" t="s">
        <v>3475</v>
      </c>
    </row>
    <row r="3214" spans="1:4" ht="13.05" customHeight="1" x14ac:dyDescent="0.3">
      <c r="A3214" s="2" t="s">
        <v>352</v>
      </c>
      <c r="B3214" s="2" t="s">
        <v>985</v>
      </c>
      <c r="C3214" s="5" t="s">
        <v>5625</v>
      </c>
      <c r="D3214" s="2" t="s">
        <v>3481</v>
      </c>
    </row>
    <row r="3215" spans="1:4" ht="13.05" customHeight="1" x14ac:dyDescent="0.3">
      <c r="A3215" s="2" t="s">
        <v>352</v>
      </c>
      <c r="B3215" s="2" t="s">
        <v>985</v>
      </c>
      <c r="C3215" s="5" t="s">
        <v>5626</v>
      </c>
      <c r="D3215" s="2" t="s">
        <v>3483</v>
      </c>
    </row>
    <row r="3216" spans="1:4" ht="13.05" customHeight="1" x14ac:dyDescent="0.3">
      <c r="A3216" s="2" t="s">
        <v>352</v>
      </c>
      <c r="B3216" s="2" t="s">
        <v>985</v>
      </c>
      <c r="C3216" s="5" t="s">
        <v>5627</v>
      </c>
      <c r="D3216" s="2" t="s">
        <v>3485</v>
      </c>
    </row>
    <row r="3217" spans="1:4" ht="13.05" customHeight="1" x14ac:dyDescent="0.3">
      <c r="A3217" s="2" t="s">
        <v>352</v>
      </c>
      <c r="B3217" s="2" t="s">
        <v>985</v>
      </c>
      <c r="C3217" s="5" t="s">
        <v>5628</v>
      </c>
      <c r="D3217" s="2" t="s">
        <v>3676</v>
      </c>
    </row>
    <row r="3218" spans="1:4" ht="13.05" customHeight="1" x14ac:dyDescent="0.3">
      <c r="A3218" s="2" t="s">
        <v>352</v>
      </c>
      <c r="B3218" s="2" t="s">
        <v>985</v>
      </c>
      <c r="C3218" s="5" t="s">
        <v>5629</v>
      </c>
      <c r="D3218" s="2" t="s">
        <v>3489</v>
      </c>
    </row>
    <row r="3219" spans="1:4" ht="13.05" customHeight="1" x14ac:dyDescent="0.3">
      <c r="A3219" s="2" t="s">
        <v>352</v>
      </c>
      <c r="B3219" s="2" t="s">
        <v>985</v>
      </c>
      <c r="C3219" s="5" t="s">
        <v>5630</v>
      </c>
      <c r="D3219" s="2" t="s">
        <v>3304</v>
      </c>
    </row>
    <row r="3220" spans="1:4" ht="13.05" customHeight="1" x14ac:dyDescent="0.3">
      <c r="A3220" s="2" t="s">
        <v>352</v>
      </c>
      <c r="B3220" s="2" t="s">
        <v>985</v>
      </c>
      <c r="C3220" s="5" t="s">
        <v>5631</v>
      </c>
      <c r="D3220" s="2" t="s">
        <v>3492</v>
      </c>
    </row>
    <row r="3221" spans="1:4" ht="13.05" customHeight="1" x14ac:dyDescent="0.3">
      <c r="A3221" s="2" t="s">
        <v>352</v>
      </c>
      <c r="B3221" s="2" t="s">
        <v>985</v>
      </c>
      <c r="C3221" s="5" t="s">
        <v>5632</v>
      </c>
      <c r="D3221" s="2" t="s">
        <v>4635</v>
      </c>
    </row>
    <row r="3222" spans="1:4" ht="13.05" customHeight="1" x14ac:dyDescent="0.3">
      <c r="A3222" s="2" t="s">
        <v>352</v>
      </c>
      <c r="B3222" s="2" t="s">
        <v>985</v>
      </c>
      <c r="C3222" s="5" t="s">
        <v>5633</v>
      </c>
      <c r="D3222" s="2" t="s">
        <v>3306</v>
      </c>
    </row>
    <row r="3223" spans="1:4" ht="13.05" customHeight="1" x14ac:dyDescent="0.3">
      <c r="A3223" s="2" t="s">
        <v>352</v>
      </c>
      <c r="B3223" s="2" t="s">
        <v>985</v>
      </c>
      <c r="C3223" s="5" t="s">
        <v>5634</v>
      </c>
      <c r="D3223" s="2" t="s">
        <v>3308</v>
      </c>
    </row>
    <row r="3224" spans="1:4" ht="13.05" customHeight="1" x14ac:dyDescent="0.3">
      <c r="A3224" s="2" t="s">
        <v>352</v>
      </c>
      <c r="B3224" s="2" t="s">
        <v>985</v>
      </c>
      <c r="C3224" s="5" t="s">
        <v>5635</v>
      </c>
      <c r="D3224" s="2" t="s">
        <v>3495</v>
      </c>
    </row>
    <row r="3225" spans="1:4" ht="13.05" customHeight="1" x14ac:dyDescent="0.3">
      <c r="A3225" s="2" t="s">
        <v>352</v>
      </c>
      <c r="B3225" s="2" t="s">
        <v>985</v>
      </c>
      <c r="C3225" s="5" t="s">
        <v>5636</v>
      </c>
      <c r="D3225" s="2" t="s">
        <v>3312</v>
      </c>
    </row>
    <row r="3226" spans="1:4" ht="13.05" customHeight="1" x14ac:dyDescent="0.3">
      <c r="A3226" s="2" t="s">
        <v>352</v>
      </c>
      <c r="B3226" s="2" t="s">
        <v>985</v>
      </c>
      <c r="C3226" s="5" t="s">
        <v>5637</v>
      </c>
      <c r="D3226" s="2" t="s">
        <v>5638</v>
      </c>
    </row>
    <row r="3227" spans="1:4" ht="13.05" customHeight="1" x14ac:dyDescent="0.3">
      <c r="A3227" s="2" t="s">
        <v>352</v>
      </c>
      <c r="B3227" s="2" t="s">
        <v>985</v>
      </c>
      <c r="C3227" s="5" t="s">
        <v>5639</v>
      </c>
      <c r="D3227" s="2" t="s">
        <v>3475</v>
      </c>
    </row>
    <row r="3228" spans="1:4" ht="13.05" customHeight="1" x14ac:dyDescent="0.3">
      <c r="A3228" s="2" t="s">
        <v>352</v>
      </c>
      <c r="B3228" s="2" t="s">
        <v>985</v>
      </c>
      <c r="C3228" s="5" t="s">
        <v>5640</v>
      </c>
      <c r="D3228" s="2" t="s">
        <v>3481</v>
      </c>
    </row>
    <row r="3229" spans="1:4" ht="13.05" customHeight="1" x14ac:dyDescent="0.3">
      <c r="A3229" s="2" t="s">
        <v>352</v>
      </c>
      <c r="B3229" s="2" t="s">
        <v>985</v>
      </c>
      <c r="C3229" s="5" t="s">
        <v>5641</v>
      </c>
      <c r="D3229" s="2" t="s">
        <v>3483</v>
      </c>
    </row>
    <row r="3230" spans="1:4" ht="13.05" customHeight="1" x14ac:dyDescent="0.3">
      <c r="A3230" s="2" t="s">
        <v>352</v>
      </c>
      <c r="B3230" s="2" t="s">
        <v>985</v>
      </c>
      <c r="C3230" s="5" t="s">
        <v>5642</v>
      </c>
      <c r="D3230" s="2" t="s">
        <v>3485</v>
      </c>
    </row>
    <row r="3231" spans="1:4" ht="13.05" customHeight="1" x14ac:dyDescent="0.3">
      <c r="A3231" s="2" t="s">
        <v>352</v>
      </c>
      <c r="B3231" s="2" t="s">
        <v>985</v>
      </c>
      <c r="C3231" s="5" t="s">
        <v>5643</v>
      </c>
      <c r="D3231" s="2" t="s">
        <v>3676</v>
      </c>
    </row>
    <row r="3232" spans="1:4" ht="13.05" customHeight="1" x14ac:dyDescent="0.3">
      <c r="A3232" s="2" t="s">
        <v>352</v>
      </c>
      <c r="B3232" s="2" t="s">
        <v>985</v>
      </c>
      <c r="C3232" s="5" t="s">
        <v>5644</v>
      </c>
      <c r="D3232" s="2" t="s">
        <v>3489</v>
      </c>
    </row>
    <row r="3233" spans="1:4" ht="13.05" customHeight="1" x14ac:dyDescent="0.3">
      <c r="A3233" s="2" t="s">
        <v>352</v>
      </c>
      <c r="B3233" s="2" t="s">
        <v>985</v>
      </c>
      <c r="C3233" s="5" t="s">
        <v>5645</v>
      </c>
      <c r="D3233" s="2" t="s">
        <v>3304</v>
      </c>
    </row>
    <row r="3234" spans="1:4" ht="13.05" customHeight="1" x14ac:dyDescent="0.3">
      <c r="A3234" s="2" t="s">
        <v>352</v>
      </c>
      <c r="B3234" s="2" t="s">
        <v>985</v>
      </c>
      <c r="C3234" s="5" t="s">
        <v>5646</v>
      </c>
      <c r="D3234" s="2" t="s">
        <v>3492</v>
      </c>
    </row>
    <row r="3235" spans="1:4" ht="13.05" customHeight="1" x14ac:dyDescent="0.3">
      <c r="A3235" s="2" t="s">
        <v>352</v>
      </c>
      <c r="B3235" s="2" t="s">
        <v>985</v>
      </c>
      <c r="C3235" s="5" t="s">
        <v>5647</v>
      </c>
      <c r="D3235" s="2" t="s">
        <v>4635</v>
      </c>
    </row>
    <row r="3236" spans="1:4" ht="13.05" customHeight="1" x14ac:dyDescent="0.3">
      <c r="A3236" s="2" t="s">
        <v>352</v>
      </c>
      <c r="B3236" s="2" t="s">
        <v>985</v>
      </c>
      <c r="C3236" s="5" t="s">
        <v>5648</v>
      </c>
      <c r="D3236" s="2" t="s">
        <v>3306</v>
      </c>
    </row>
    <row r="3237" spans="1:4" ht="13.05" customHeight="1" x14ac:dyDescent="0.3">
      <c r="A3237" s="2" t="s">
        <v>352</v>
      </c>
      <c r="B3237" s="2" t="s">
        <v>985</v>
      </c>
      <c r="C3237" s="5" t="s">
        <v>5649</v>
      </c>
      <c r="D3237" s="2" t="s">
        <v>3308</v>
      </c>
    </row>
    <row r="3238" spans="1:4" ht="13.05" customHeight="1" x14ac:dyDescent="0.3">
      <c r="A3238" s="2" t="s">
        <v>352</v>
      </c>
      <c r="B3238" s="2" t="s">
        <v>985</v>
      </c>
      <c r="C3238" s="5" t="s">
        <v>5650</v>
      </c>
      <c r="D3238" s="2" t="s">
        <v>3495</v>
      </c>
    </row>
    <row r="3239" spans="1:4" ht="13.05" customHeight="1" x14ac:dyDescent="0.3">
      <c r="A3239" s="2" t="s">
        <v>352</v>
      </c>
      <c r="B3239" s="2" t="s">
        <v>985</v>
      </c>
      <c r="C3239" s="5" t="s">
        <v>5651</v>
      </c>
      <c r="D3239" s="2" t="s">
        <v>3312</v>
      </c>
    </row>
    <row r="3240" spans="1:4" ht="13.05" customHeight="1" x14ac:dyDescent="0.3">
      <c r="A3240" s="2" t="s">
        <v>352</v>
      </c>
      <c r="B3240" s="2" t="s">
        <v>985</v>
      </c>
      <c r="C3240" s="5" t="s">
        <v>5652</v>
      </c>
      <c r="D3240" s="2" t="s">
        <v>5653</v>
      </c>
    </row>
    <row r="3241" spans="1:4" ht="13.05" customHeight="1" x14ac:dyDescent="0.3">
      <c r="A3241" s="2" t="s">
        <v>352</v>
      </c>
      <c r="B3241" s="2" t="s">
        <v>985</v>
      </c>
      <c r="C3241" s="5" t="s">
        <v>5654</v>
      </c>
      <c r="D3241" s="2" t="s">
        <v>5655</v>
      </c>
    </row>
    <row r="3242" spans="1:4" ht="13.05" customHeight="1" x14ac:dyDescent="0.3">
      <c r="A3242" s="2" t="s">
        <v>352</v>
      </c>
      <c r="B3242" s="2" t="s">
        <v>985</v>
      </c>
      <c r="C3242" s="5" t="s">
        <v>5656</v>
      </c>
      <c r="D3242" s="2" t="s">
        <v>5657</v>
      </c>
    </row>
    <row r="3243" spans="1:4" ht="13.05" customHeight="1" x14ac:dyDescent="0.3">
      <c r="A3243" s="2" t="s">
        <v>352</v>
      </c>
      <c r="B3243" s="2" t="s">
        <v>985</v>
      </c>
      <c r="C3243" s="5" t="s">
        <v>5658</v>
      </c>
      <c r="D3243" s="2" t="s">
        <v>3276</v>
      </c>
    </row>
    <row r="3244" spans="1:4" ht="13.05" customHeight="1" x14ac:dyDescent="0.3">
      <c r="A3244" s="2" t="s">
        <v>352</v>
      </c>
      <c r="B3244" s="2" t="s">
        <v>985</v>
      </c>
      <c r="C3244" s="5" t="s">
        <v>5659</v>
      </c>
      <c r="D3244" s="2" t="s">
        <v>3278</v>
      </c>
    </row>
    <row r="3245" spans="1:4" ht="13.05" customHeight="1" x14ac:dyDescent="0.3">
      <c r="A3245" s="2" t="s">
        <v>352</v>
      </c>
      <c r="B3245" s="2" t="s">
        <v>985</v>
      </c>
      <c r="C3245" s="5" t="s">
        <v>5660</v>
      </c>
      <c r="D3245" s="2" t="s">
        <v>3475</v>
      </c>
    </row>
    <row r="3246" spans="1:4" ht="13.05" customHeight="1" x14ac:dyDescent="0.3">
      <c r="A3246" s="2" t="s">
        <v>352</v>
      </c>
      <c r="B3246" s="2" t="s">
        <v>985</v>
      </c>
      <c r="C3246" s="5" t="s">
        <v>5661</v>
      </c>
      <c r="D3246" s="2" t="s">
        <v>5662</v>
      </c>
    </row>
    <row r="3247" spans="1:4" ht="13.05" customHeight="1" x14ac:dyDescent="0.3">
      <c r="A3247" s="2" t="s">
        <v>352</v>
      </c>
      <c r="B3247" s="2" t="s">
        <v>985</v>
      </c>
      <c r="C3247" s="5" t="s">
        <v>5663</v>
      </c>
      <c r="D3247" s="2" t="s">
        <v>3481</v>
      </c>
    </row>
    <row r="3248" spans="1:4" ht="13.05" customHeight="1" x14ac:dyDescent="0.3">
      <c r="A3248" s="2" t="s">
        <v>352</v>
      </c>
      <c r="B3248" s="2" t="s">
        <v>985</v>
      </c>
      <c r="C3248" s="5" t="s">
        <v>5664</v>
      </c>
      <c r="D3248" s="2" t="s">
        <v>3483</v>
      </c>
    </row>
    <row r="3249" spans="1:4" ht="13.05" customHeight="1" x14ac:dyDescent="0.3">
      <c r="A3249" s="2" t="s">
        <v>352</v>
      </c>
      <c r="B3249" s="2" t="s">
        <v>985</v>
      </c>
      <c r="C3249" s="5" t="s">
        <v>5665</v>
      </c>
      <c r="D3249" s="2" t="s">
        <v>3485</v>
      </c>
    </row>
    <row r="3250" spans="1:4" ht="13.05" customHeight="1" x14ac:dyDescent="0.3">
      <c r="A3250" s="2" t="s">
        <v>352</v>
      </c>
      <c r="B3250" s="2" t="s">
        <v>985</v>
      </c>
      <c r="C3250" s="5" t="s">
        <v>5666</v>
      </c>
      <c r="D3250" s="2" t="s">
        <v>3676</v>
      </c>
    </row>
    <row r="3251" spans="1:4" ht="13.05" customHeight="1" x14ac:dyDescent="0.3">
      <c r="A3251" s="2" t="s">
        <v>352</v>
      </c>
      <c r="B3251" s="2" t="s">
        <v>985</v>
      </c>
      <c r="C3251" s="5" t="s">
        <v>5667</v>
      </c>
      <c r="D3251" s="2" t="s">
        <v>3489</v>
      </c>
    </row>
    <row r="3252" spans="1:4" ht="13.05" customHeight="1" x14ac:dyDescent="0.3">
      <c r="A3252" s="2" t="s">
        <v>352</v>
      </c>
      <c r="B3252" s="2" t="s">
        <v>985</v>
      </c>
      <c r="C3252" s="5" t="s">
        <v>5668</v>
      </c>
      <c r="D3252" s="2" t="s">
        <v>3304</v>
      </c>
    </row>
    <row r="3253" spans="1:4" ht="13.05" customHeight="1" x14ac:dyDescent="0.3">
      <c r="A3253" s="2" t="s">
        <v>352</v>
      </c>
      <c r="B3253" s="2" t="s">
        <v>985</v>
      </c>
      <c r="C3253" s="5" t="s">
        <v>5669</v>
      </c>
      <c r="D3253" s="2" t="s">
        <v>3492</v>
      </c>
    </row>
    <row r="3254" spans="1:4" ht="13.05" customHeight="1" x14ac:dyDescent="0.3">
      <c r="A3254" s="2" t="s">
        <v>352</v>
      </c>
      <c r="B3254" s="2" t="s">
        <v>985</v>
      </c>
      <c r="C3254" s="5" t="s">
        <v>5670</v>
      </c>
      <c r="D3254" s="2" t="s">
        <v>4635</v>
      </c>
    </row>
    <row r="3255" spans="1:4" ht="13.05" customHeight="1" x14ac:dyDescent="0.3">
      <c r="A3255" s="2" t="s">
        <v>352</v>
      </c>
      <c r="B3255" s="2" t="s">
        <v>985</v>
      </c>
      <c r="C3255" s="5" t="s">
        <v>5671</v>
      </c>
      <c r="D3255" s="2" t="s">
        <v>3306</v>
      </c>
    </row>
    <row r="3256" spans="1:4" ht="13.05" customHeight="1" x14ac:dyDescent="0.3">
      <c r="A3256" s="2" t="s">
        <v>352</v>
      </c>
      <c r="B3256" s="2" t="s">
        <v>985</v>
      </c>
      <c r="C3256" s="5" t="s">
        <v>5672</v>
      </c>
      <c r="D3256" s="2" t="s">
        <v>3681</v>
      </c>
    </row>
    <row r="3257" spans="1:4" ht="13.05" customHeight="1" x14ac:dyDescent="0.3">
      <c r="A3257" s="2" t="s">
        <v>352</v>
      </c>
      <c r="B3257" s="2" t="s">
        <v>985</v>
      </c>
      <c r="C3257" s="5" t="s">
        <v>5673</v>
      </c>
      <c r="D3257" s="2" t="s">
        <v>3495</v>
      </c>
    </row>
    <row r="3258" spans="1:4" ht="13.05" customHeight="1" x14ac:dyDescent="0.3">
      <c r="A3258" s="2" t="s">
        <v>352</v>
      </c>
      <c r="B3258" s="2" t="s">
        <v>985</v>
      </c>
      <c r="C3258" s="5" t="s">
        <v>5674</v>
      </c>
      <c r="D3258" s="2" t="s">
        <v>3497</v>
      </c>
    </row>
    <row r="3259" spans="1:4" ht="13.05" customHeight="1" x14ac:dyDescent="0.3">
      <c r="A3259" s="2" t="s">
        <v>352</v>
      </c>
      <c r="B3259" s="2" t="s">
        <v>985</v>
      </c>
      <c r="C3259" s="5" t="s">
        <v>5675</v>
      </c>
      <c r="D3259" s="2" t="s">
        <v>5676</v>
      </c>
    </row>
    <row r="3260" spans="1:4" ht="13.05" customHeight="1" x14ac:dyDescent="0.3">
      <c r="A3260" s="2" t="s">
        <v>352</v>
      </c>
      <c r="B3260" s="2" t="s">
        <v>985</v>
      </c>
      <c r="C3260" s="5" t="s">
        <v>5677</v>
      </c>
      <c r="D3260" s="2" t="s">
        <v>3475</v>
      </c>
    </row>
    <row r="3261" spans="1:4" ht="13.05" customHeight="1" x14ac:dyDescent="0.3">
      <c r="A3261" s="2" t="s">
        <v>352</v>
      </c>
      <c r="B3261" s="2" t="s">
        <v>985</v>
      </c>
      <c r="C3261" s="5" t="s">
        <v>5678</v>
      </c>
      <c r="D3261" s="2" t="s">
        <v>3481</v>
      </c>
    </row>
    <row r="3262" spans="1:4" ht="13.05" customHeight="1" x14ac:dyDescent="0.3">
      <c r="A3262" s="2" t="s">
        <v>352</v>
      </c>
      <c r="B3262" s="2" t="s">
        <v>985</v>
      </c>
      <c r="C3262" s="5" t="s">
        <v>5679</v>
      </c>
      <c r="D3262" s="2" t="s">
        <v>3483</v>
      </c>
    </row>
    <row r="3263" spans="1:4" ht="13.05" customHeight="1" x14ac:dyDescent="0.3">
      <c r="A3263" s="2" t="s">
        <v>352</v>
      </c>
      <c r="B3263" s="2" t="s">
        <v>985</v>
      </c>
      <c r="C3263" s="5" t="s">
        <v>5680</v>
      </c>
      <c r="D3263" s="2" t="s">
        <v>3485</v>
      </c>
    </row>
    <row r="3264" spans="1:4" ht="13.05" customHeight="1" x14ac:dyDescent="0.3">
      <c r="A3264" s="2" t="s">
        <v>352</v>
      </c>
      <c r="B3264" s="2" t="s">
        <v>985</v>
      </c>
      <c r="C3264" s="5" t="s">
        <v>5681</v>
      </c>
      <c r="D3264" s="2" t="s">
        <v>3676</v>
      </c>
    </row>
    <row r="3265" spans="1:4" ht="13.05" customHeight="1" x14ac:dyDescent="0.3">
      <c r="A3265" s="2" t="s">
        <v>352</v>
      </c>
      <c r="B3265" s="2" t="s">
        <v>985</v>
      </c>
      <c r="C3265" s="5" t="s">
        <v>5682</v>
      </c>
      <c r="D3265" s="2" t="s">
        <v>3489</v>
      </c>
    </row>
    <row r="3266" spans="1:4" ht="13.05" customHeight="1" x14ac:dyDescent="0.3">
      <c r="A3266" s="2" t="s">
        <v>352</v>
      </c>
      <c r="B3266" s="2" t="s">
        <v>985</v>
      </c>
      <c r="C3266" s="5" t="s">
        <v>5683</v>
      </c>
      <c r="D3266" s="2" t="s">
        <v>3304</v>
      </c>
    </row>
    <row r="3267" spans="1:4" ht="13.05" customHeight="1" x14ac:dyDescent="0.3">
      <c r="A3267" s="2" t="s">
        <v>352</v>
      </c>
      <c r="B3267" s="2" t="s">
        <v>985</v>
      </c>
      <c r="C3267" s="5" t="s">
        <v>5684</v>
      </c>
      <c r="D3267" s="2" t="s">
        <v>3492</v>
      </c>
    </row>
    <row r="3268" spans="1:4" ht="13.05" customHeight="1" x14ac:dyDescent="0.3">
      <c r="A3268" s="2" t="s">
        <v>352</v>
      </c>
      <c r="B3268" s="2" t="s">
        <v>985</v>
      </c>
      <c r="C3268" s="5" t="s">
        <v>5685</v>
      </c>
      <c r="D3268" s="2" t="s">
        <v>4635</v>
      </c>
    </row>
    <row r="3269" spans="1:4" ht="13.05" customHeight="1" x14ac:dyDescent="0.3">
      <c r="A3269" s="2" t="s">
        <v>352</v>
      </c>
      <c r="B3269" s="2" t="s">
        <v>985</v>
      </c>
      <c r="C3269" s="5" t="s">
        <v>5686</v>
      </c>
      <c r="D3269" s="2" t="s">
        <v>3306</v>
      </c>
    </row>
    <row r="3270" spans="1:4" ht="13.05" customHeight="1" x14ac:dyDescent="0.3">
      <c r="A3270" s="2" t="s">
        <v>352</v>
      </c>
      <c r="B3270" s="2" t="s">
        <v>985</v>
      </c>
      <c r="C3270" s="5" t="s">
        <v>5687</v>
      </c>
      <c r="D3270" s="2" t="s">
        <v>3681</v>
      </c>
    </row>
    <row r="3271" spans="1:4" ht="13.05" customHeight="1" x14ac:dyDescent="0.3">
      <c r="A3271" s="2" t="s">
        <v>352</v>
      </c>
      <c r="B3271" s="2" t="s">
        <v>985</v>
      </c>
      <c r="C3271" s="5" t="s">
        <v>5688</v>
      </c>
      <c r="D3271" s="2" t="s">
        <v>4640</v>
      </c>
    </row>
    <row r="3272" spans="1:4" ht="13.05" customHeight="1" x14ac:dyDescent="0.3">
      <c r="A3272" s="2" t="s">
        <v>352</v>
      </c>
      <c r="B3272" s="2" t="s">
        <v>985</v>
      </c>
      <c r="C3272" s="5" t="s">
        <v>5689</v>
      </c>
      <c r="D3272" s="2" t="s">
        <v>3497</v>
      </c>
    </row>
    <row r="3273" spans="1:4" ht="13.05" customHeight="1" x14ac:dyDescent="0.3">
      <c r="A3273" s="2" t="s">
        <v>352</v>
      </c>
      <c r="B3273" s="2" t="s">
        <v>985</v>
      </c>
      <c r="C3273" s="5" t="s">
        <v>5690</v>
      </c>
      <c r="D3273" s="2" t="s">
        <v>5691</v>
      </c>
    </row>
    <row r="3274" spans="1:4" ht="13.05" customHeight="1" x14ac:dyDescent="0.3">
      <c r="A3274" s="2" t="s">
        <v>352</v>
      </c>
      <c r="B3274" s="2" t="s">
        <v>985</v>
      </c>
      <c r="C3274" s="5" t="s">
        <v>5692</v>
      </c>
      <c r="D3274" s="2" t="s">
        <v>5693</v>
      </c>
    </row>
    <row r="3275" spans="1:4" ht="13.05" customHeight="1" x14ac:dyDescent="0.3">
      <c r="A3275" s="2" t="s">
        <v>352</v>
      </c>
      <c r="B3275" s="2" t="s">
        <v>985</v>
      </c>
      <c r="C3275" s="5" t="s">
        <v>5694</v>
      </c>
      <c r="D3275" s="2" t="s">
        <v>5695</v>
      </c>
    </row>
    <row r="3276" spans="1:4" ht="13.05" customHeight="1" x14ac:dyDescent="0.3">
      <c r="A3276" s="2" t="s">
        <v>352</v>
      </c>
      <c r="B3276" s="2" t="s">
        <v>985</v>
      </c>
      <c r="C3276" s="5" t="s">
        <v>5696</v>
      </c>
      <c r="D3276" s="2" t="s">
        <v>5697</v>
      </c>
    </row>
    <row r="3277" spans="1:4" ht="13.05" customHeight="1" x14ac:dyDescent="0.3">
      <c r="A3277" s="2" t="s">
        <v>352</v>
      </c>
      <c r="B3277" s="2" t="s">
        <v>985</v>
      </c>
      <c r="C3277" s="5" t="s">
        <v>5698</v>
      </c>
      <c r="D3277" s="2" t="s">
        <v>5039</v>
      </c>
    </row>
    <row r="3278" spans="1:4" ht="13.05" customHeight="1" x14ac:dyDescent="0.3">
      <c r="A3278" s="2" t="s">
        <v>352</v>
      </c>
      <c r="B3278" s="2" t="s">
        <v>985</v>
      </c>
      <c r="C3278" s="5" t="s">
        <v>5699</v>
      </c>
      <c r="D3278" s="2" t="s">
        <v>5225</v>
      </c>
    </row>
    <row r="3279" spans="1:4" ht="13.05" customHeight="1" x14ac:dyDescent="0.3">
      <c r="A3279" s="2" t="s">
        <v>352</v>
      </c>
      <c r="B3279" s="2" t="s">
        <v>985</v>
      </c>
      <c r="C3279" s="5" t="s">
        <v>5700</v>
      </c>
      <c r="D3279" s="2" t="s">
        <v>3278</v>
      </c>
    </row>
    <row r="3280" spans="1:4" ht="13.05" customHeight="1" x14ac:dyDescent="0.3">
      <c r="A3280" s="2" t="s">
        <v>352</v>
      </c>
      <c r="B3280" s="2" t="s">
        <v>985</v>
      </c>
      <c r="C3280" s="5" t="s">
        <v>5701</v>
      </c>
      <c r="D3280" s="2" t="s">
        <v>3475</v>
      </c>
    </row>
    <row r="3281" spans="1:4" ht="13.05" customHeight="1" x14ac:dyDescent="0.3">
      <c r="A3281" s="2" t="s">
        <v>352</v>
      </c>
      <c r="B3281" s="2" t="s">
        <v>985</v>
      </c>
      <c r="C3281" s="5" t="s">
        <v>5702</v>
      </c>
      <c r="D3281" s="2" t="s">
        <v>3481</v>
      </c>
    </row>
    <row r="3282" spans="1:4" ht="13.05" customHeight="1" x14ac:dyDescent="0.3">
      <c r="A3282" s="2" t="s">
        <v>352</v>
      </c>
      <c r="B3282" s="2" t="s">
        <v>985</v>
      </c>
      <c r="C3282" s="5" t="s">
        <v>5703</v>
      </c>
      <c r="D3282" s="2" t="s">
        <v>3483</v>
      </c>
    </row>
    <row r="3283" spans="1:4" ht="13.05" customHeight="1" x14ac:dyDescent="0.3">
      <c r="A3283" s="2" t="s">
        <v>352</v>
      </c>
      <c r="B3283" s="2" t="s">
        <v>985</v>
      </c>
      <c r="C3283" s="5" t="s">
        <v>5704</v>
      </c>
      <c r="D3283" s="2" t="s">
        <v>3485</v>
      </c>
    </row>
    <row r="3284" spans="1:4" ht="13.05" customHeight="1" x14ac:dyDescent="0.3">
      <c r="A3284" s="2" t="s">
        <v>352</v>
      </c>
      <c r="B3284" s="2" t="s">
        <v>985</v>
      </c>
      <c r="C3284" s="5" t="s">
        <v>5705</v>
      </c>
      <c r="D3284" s="2" t="s">
        <v>3676</v>
      </c>
    </row>
    <row r="3285" spans="1:4" ht="13.05" customHeight="1" x14ac:dyDescent="0.3">
      <c r="A3285" s="2" t="s">
        <v>352</v>
      </c>
      <c r="B3285" s="2" t="s">
        <v>985</v>
      </c>
      <c r="C3285" s="5" t="s">
        <v>5706</v>
      </c>
      <c r="D3285" s="2" t="s">
        <v>3489</v>
      </c>
    </row>
    <row r="3286" spans="1:4" ht="13.05" customHeight="1" x14ac:dyDescent="0.3">
      <c r="A3286" s="2" t="s">
        <v>352</v>
      </c>
      <c r="B3286" s="2" t="s">
        <v>985</v>
      </c>
      <c r="C3286" s="5" t="s">
        <v>5707</v>
      </c>
      <c r="D3286" s="2" t="s">
        <v>5708</v>
      </c>
    </row>
    <row r="3287" spans="1:4" ht="13.05" customHeight="1" x14ac:dyDescent="0.3">
      <c r="A3287" s="2" t="s">
        <v>352</v>
      </c>
      <c r="B3287" s="2" t="s">
        <v>985</v>
      </c>
      <c r="C3287" s="5" t="s">
        <v>5709</v>
      </c>
      <c r="D3287" s="2" t="s">
        <v>3492</v>
      </c>
    </row>
    <row r="3288" spans="1:4" ht="13.05" customHeight="1" x14ac:dyDescent="0.3">
      <c r="A3288" s="2" t="s">
        <v>352</v>
      </c>
      <c r="B3288" s="2" t="s">
        <v>985</v>
      </c>
      <c r="C3288" s="5" t="s">
        <v>5710</v>
      </c>
      <c r="D3288" s="2" t="s">
        <v>4635</v>
      </c>
    </row>
    <row r="3289" spans="1:4" ht="13.05" customHeight="1" x14ac:dyDescent="0.3">
      <c r="A3289" s="2" t="s">
        <v>352</v>
      </c>
      <c r="B3289" s="2" t="s">
        <v>985</v>
      </c>
      <c r="C3289" s="5" t="s">
        <v>5711</v>
      </c>
      <c r="D3289" s="2" t="s">
        <v>3306</v>
      </c>
    </row>
    <row r="3290" spans="1:4" ht="13.05" customHeight="1" x14ac:dyDescent="0.3">
      <c r="A3290" s="2" t="s">
        <v>352</v>
      </c>
      <c r="B3290" s="2" t="s">
        <v>985</v>
      </c>
      <c r="C3290" s="5" t="s">
        <v>5712</v>
      </c>
      <c r="D3290" s="2" t="s">
        <v>3681</v>
      </c>
    </row>
    <row r="3291" spans="1:4" ht="13.05" customHeight="1" x14ac:dyDescent="0.3">
      <c r="A3291" s="2" t="s">
        <v>352</v>
      </c>
      <c r="B3291" s="2" t="s">
        <v>985</v>
      </c>
      <c r="C3291" s="5" t="s">
        <v>5713</v>
      </c>
      <c r="D3291" s="2" t="s">
        <v>3495</v>
      </c>
    </row>
    <row r="3292" spans="1:4" ht="13.05" customHeight="1" x14ac:dyDescent="0.3">
      <c r="A3292" s="2" t="s">
        <v>352</v>
      </c>
      <c r="B3292" s="2" t="s">
        <v>985</v>
      </c>
      <c r="C3292" s="5" t="s">
        <v>5714</v>
      </c>
      <c r="D3292" s="2" t="s">
        <v>3497</v>
      </c>
    </row>
    <row r="3293" spans="1:4" ht="13.05" customHeight="1" x14ac:dyDescent="0.3">
      <c r="A3293" s="2" t="s">
        <v>352</v>
      </c>
      <c r="B3293" s="2" t="s">
        <v>985</v>
      </c>
      <c r="C3293" s="5" t="s">
        <v>5715</v>
      </c>
      <c r="D3293" s="2" t="s">
        <v>5716</v>
      </c>
    </row>
    <row r="3294" spans="1:4" ht="13.05" customHeight="1" x14ac:dyDescent="0.3">
      <c r="A3294" s="2" t="s">
        <v>352</v>
      </c>
      <c r="B3294" s="2" t="s">
        <v>985</v>
      </c>
      <c r="C3294" s="5" t="s">
        <v>5717</v>
      </c>
      <c r="D3294" s="2" t="s">
        <v>3475</v>
      </c>
    </row>
    <row r="3295" spans="1:4" ht="13.05" customHeight="1" x14ac:dyDescent="0.3">
      <c r="A3295" s="2" t="s">
        <v>352</v>
      </c>
      <c r="B3295" s="2" t="s">
        <v>985</v>
      </c>
      <c r="C3295" s="5" t="s">
        <v>5718</v>
      </c>
      <c r="D3295" s="2" t="s">
        <v>3481</v>
      </c>
    </row>
    <row r="3296" spans="1:4" ht="13.05" customHeight="1" x14ac:dyDescent="0.3">
      <c r="A3296" s="2" t="s">
        <v>352</v>
      </c>
      <c r="B3296" s="2" t="s">
        <v>985</v>
      </c>
      <c r="C3296" s="5" t="s">
        <v>5719</v>
      </c>
      <c r="D3296" s="2" t="s">
        <v>3483</v>
      </c>
    </row>
    <row r="3297" spans="1:4" ht="13.05" customHeight="1" x14ac:dyDescent="0.3">
      <c r="A3297" s="2" t="s">
        <v>352</v>
      </c>
      <c r="B3297" s="2" t="s">
        <v>985</v>
      </c>
      <c r="C3297" s="5" t="s">
        <v>5720</v>
      </c>
      <c r="D3297" s="2" t="s">
        <v>3485</v>
      </c>
    </row>
    <row r="3298" spans="1:4" ht="13.05" customHeight="1" x14ac:dyDescent="0.3">
      <c r="A3298" s="2" t="s">
        <v>352</v>
      </c>
      <c r="B3298" s="2" t="s">
        <v>985</v>
      </c>
      <c r="C3298" s="5" t="s">
        <v>5721</v>
      </c>
      <c r="D3298" s="2" t="s">
        <v>3676</v>
      </c>
    </row>
    <row r="3299" spans="1:4" ht="13.05" customHeight="1" x14ac:dyDescent="0.3">
      <c r="A3299" s="2" t="s">
        <v>352</v>
      </c>
      <c r="B3299" s="2" t="s">
        <v>985</v>
      </c>
      <c r="C3299" s="5" t="s">
        <v>5722</v>
      </c>
      <c r="D3299" s="2" t="s">
        <v>3489</v>
      </c>
    </row>
    <row r="3300" spans="1:4" ht="13.05" customHeight="1" x14ac:dyDescent="0.3">
      <c r="A3300" s="2" t="s">
        <v>352</v>
      </c>
      <c r="B3300" s="2" t="s">
        <v>985</v>
      </c>
      <c r="C3300" s="5" t="s">
        <v>5723</v>
      </c>
      <c r="D3300" s="2" t="s">
        <v>3304</v>
      </c>
    </row>
    <row r="3301" spans="1:4" ht="13.05" customHeight="1" x14ac:dyDescent="0.3">
      <c r="A3301" s="2" t="s">
        <v>352</v>
      </c>
      <c r="B3301" s="2" t="s">
        <v>985</v>
      </c>
      <c r="C3301" s="5" t="s">
        <v>5724</v>
      </c>
      <c r="D3301" s="2" t="s">
        <v>3492</v>
      </c>
    </row>
    <row r="3302" spans="1:4" ht="13.05" customHeight="1" x14ac:dyDescent="0.3">
      <c r="A3302" s="2" t="s">
        <v>352</v>
      </c>
      <c r="B3302" s="2" t="s">
        <v>985</v>
      </c>
      <c r="C3302" s="5" t="s">
        <v>5725</v>
      </c>
      <c r="D3302" s="2" t="s">
        <v>4635</v>
      </c>
    </row>
    <row r="3303" spans="1:4" ht="13.05" customHeight="1" x14ac:dyDescent="0.3">
      <c r="A3303" s="2" t="s">
        <v>352</v>
      </c>
      <c r="B3303" s="2" t="s">
        <v>985</v>
      </c>
      <c r="C3303" s="5" t="s">
        <v>5726</v>
      </c>
      <c r="D3303" s="2" t="s">
        <v>3306</v>
      </c>
    </row>
    <row r="3304" spans="1:4" ht="13.05" customHeight="1" x14ac:dyDescent="0.3">
      <c r="A3304" s="2" t="s">
        <v>352</v>
      </c>
      <c r="B3304" s="2" t="s">
        <v>985</v>
      </c>
      <c r="C3304" s="5" t="s">
        <v>5727</v>
      </c>
      <c r="D3304" s="2" t="s">
        <v>3681</v>
      </c>
    </row>
    <row r="3305" spans="1:4" ht="13.05" customHeight="1" x14ac:dyDescent="0.3">
      <c r="A3305" s="2" t="s">
        <v>352</v>
      </c>
      <c r="B3305" s="2" t="s">
        <v>985</v>
      </c>
      <c r="C3305" s="5" t="s">
        <v>5728</v>
      </c>
      <c r="D3305" s="2" t="s">
        <v>4640</v>
      </c>
    </row>
    <row r="3306" spans="1:4" ht="13.05" customHeight="1" x14ac:dyDescent="0.3">
      <c r="A3306" s="2" t="s">
        <v>352</v>
      </c>
      <c r="B3306" s="2" t="s">
        <v>985</v>
      </c>
      <c r="C3306" s="5" t="s">
        <v>5729</v>
      </c>
      <c r="D3306" s="2" t="s">
        <v>3497</v>
      </c>
    </row>
    <row r="3307" spans="1:4" ht="13.05" customHeight="1" x14ac:dyDescent="0.3">
      <c r="A3307" s="2" t="s">
        <v>352</v>
      </c>
      <c r="B3307" s="2" t="s">
        <v>985</v>
      </c>
      <c r="C3307" s="5" t="s">
        <v>5730</v>
      </c>
      <c r="D3307" s="2" t="s">
        <v>5731</v>
      </c>
    </row>
    <row r="3308" spans="1:4" ht="13.05" customHeight="1" x14ac:dyDescent="0.3">
      <c r="A3308" s="2" t="s">
        <v>352</v>
      </c>
      <c r="B3308" s="2" t="s">
        <v>985</v>
      </c>
      <c r="C3308" s="5" t="s">
        <v>5732</v>
      </c>
      <c r="D3308" s="2" t="s">
        <v>3475</v>
      </c>
    </row>
    <row r="3309" spans="1:4" ht="13.05" customHeight="1" x14ac:dyDescent="0.3">
      <c r="A3309" s="2" t="s">
        <v>352</v>
      </c>
      <c r="B3309" s="2" t="s">
        <v>985</v>
      </c>
      <c r="C3309" s="5" t="s">
        <v>5733</v>
      </c>
      <c r="D3309" s="2" t="s">
        <v>3481</v>
      </c>
    </row>
    <row r="3310" spans="1:4" ht="13.05" customHeight="1" x14ac:dyDescent="0.3">
      <c r="A3310" s="2" t="s">
        <v>352</v>
      </c>
      <c r="B3310" s="2" t="s">
        <v>985</v>
      </c>
      <c r="C3310" s="5" t="s">
        <v>5734</v>
      </c>
      <c r="D3310" s="2" t="s">
        <v>3483</v>
      </c>
    </row>
    <row r="3311" spans="1:4" ht="13.05" customHeight="1" x14ac:dyDescent="0.3">
      <c r="A3311" s="2" t="s">
        <v>352</v>
      </c>
      <c r="B3311" s="2" t="s">
        <v>985</v>
      </c>
      <c r="C3311" s="5" t="s">
        <v>5735</v>
      </c>
      <c r="D3311" s="2" t="s">
        <v>3485</v>
      </c>
    </row>
    <row r="3312" spans="1:4" ht="13.05" customHeight="1" x14ac:dyDescent="0.3">
      <c r="A3312" s="2" t="s">
        <v>352</v>
      </c>
      <c r="B3312" s="2" t="s">
        <v>985</v>
      </c>
      <c r="C3312" s="5" t="s">
        <v>5736</v>
      </c>
      <c r="D3312" s="2" t="s">
        <v>3676</v>
      </c>
    </row>
    <row r="3313" spans="1:4" ht="13.05" customHeight="1" x14ac:dyDescent="0.3">
      <c r="A3313" s="2" t="s">
        <v>352</v>
      </c>
      <c r="B3313" s="2" t="s">
        <v>985</v>
      </c>
      <c r="C3313" s="5" t="s">
        <v>5737</v>
      </c>
      <c r="D3313" s="2" t="s">
        <v>3489</v>
      </c>
    </row>
    <row r="3314" spans="1:4" ht="13.05" customHeight="1" x14ac:dyDescent="0.3">
      <c r="A3314" s="2" t="s">
        <v>352</v>
      </c>
      <c r="B3314" s="2" t="s">
        <v>985</v>
      </c>
      <c r="C3314" s="5" t="s">
        <v>5738</v>
      </c>
      <c r="D3314" s="2" t="s">
        <v>3304</v>
      </c>
    </row>
    <row r="3315" spans="1:4" ht="13.05" customHeight="1" x14ac:dyDescent="0.3">
      <c r="A3315" s="2" t="s">
        <v>352</v>
      </c>
      <c r="B3315" s="2" t="s">
        <v>985</v>
      </c>
      <c r="C3315" s="5" t="s">
        <v>5739</v>
      </c>
      <c r="D3315" s="2" t="s">
        <v>3492</v>
      </c>
    </row>
    <row r="3316" spans="1:4" ht="13.05" customHeight="1" x14ac:dyDescent="0.3">
      <c r="A3316" s="2" t="s">
        <v>352</v>
      </c>
      <c r="B3316" s="2" t="s">
        <v>985</v>
      </c>
      <c r="C3316" s="5" t="s">
        <v>5740</v>
      </c>
      <c r="D3316" s="2" t="s">
        <v>4635</v>
      </c>
    </row>
    <row r="3317" spans="1:4" ht="13.05" customHeight="1" x14ac:dyDescent="0.3">
      <c r="A3317" s="2" t="s">
        <v>352</v>
      </c>
      <c r="B3317" s="2" t="s">
        <v>985</v>
      </c>
      <c r="C3317" s="5" t="s">
        <v>5741</v>
      </c>
      <c r="D3317" s="2" t="s">
        <v>3306</v>
      </c>
    </row>
    <row r="3318" spans="1:4" ht="13.05" customHeight="1" x14ac:dyDescent="0.3">
      <c r="A3318" s="2" t="s">
        <v>352</v>
      </c>
      <c r="B3318" s="2" t="s">
        <v>985</v>
      </c>
      <c r="C3318" s="5" t="s">
        <v>5742</v>
      </c>
      <c r="D3318" s="2" t="s">
        <v>3681</v>
      </c>
    </row>
    <row r="3319" spans="1:4" ht="13.05" customHeight="1" x14ac:dyDescent="0.3">
      <c r="A3319" s="2" t="s">
        <v>352</v>
      </c>
      <c r="B3319" s="2" t="s">
        <v>985</v>
      </c>
      <c r="C3319" s="5" t="s">
        <v>5743</v>
      </c>
      <c r="D3319" s="2" t="s">
        <v>4640</v>
      </c>
    </row>
    <row r="3320" spans="1:4" ht="13.05" customHeight="1" x14ac:dyDescent="0.3">
      <c r="A3320" s="2" t="s">
        <v>352</v>
      </c>
      <c r="B3320" s="2" t="s">
        <v>985</v>
      </c>
      <c r="C3320" s="5" t="s">
        <v>5744</v>
      </c>
      <c r="D3320" s="2" t="s">
        <v>3497</v>
      </c>
    </row>
    <row r="3321" spans="1:4" ht="13.05" customHeight="1" x14ac:dyDescent="0.3">
      <c r="A3321" s="2" t="s">
        <v>352</v>
      </c>
      <c r="B3321" s="2" t="s">
        <v>985</v>
      </c>
      <c r="C3321" s="5" t="s">
        <v>5745</v>
      </c>
      <c r="D3321" s="2" t="s">
        <v>5746</v>
      </c>
    </row>
    <row r="3322" spans="1:4" ht="13.05" customHeight="1" x14ac:dyDescent="0.3">
      <c r="A3322" s="2" t="s">
        <v>352</v>
      </c>
      <c r="B3322" s="2" t="s">
        <v>985</v>
      </c>
      <c r="C3322" s="5" t="s">
        <v>5747</v>
      </c>
      <c r="D3322" s="2" t="s">
        <v>3475</v>
      </c>
    </row>
    <row r="3323" spans="1:4" ht="13.05" customHeight="1" x14ac:dyDescent="0.3">
      <c r="A3323" s="2" t="s">
        <v>352</v>
      </c>
      <c r="B3323" s="2" t="s">
        <v>985</v>
      </c>
      <c r="C3323" s="5" t="s">
        <v>5748</v>
      </c>
      <c r="D3323" s="2" t="s">
        <v>3481</v>
      </c>
    </row>
    <row r="3324" spans="1:4" ht="13.05" customHeight="1" x14ac:dyDescent="0.3">
      <c r="A3324" s="2" t="s">
        <v>352</v>
      </c>
      <c r="B3324" s="2" t="s">
        <v>985</v>
      </c>
      <c r="C3324" s="5" t="s">
        <v>5749</v>
      </c>
      <c r="D3324" s="2" t="s">
        <v>3483</v>
      </c>
    </row>
    <row r="3325" spans="1:4" ht="13.05" customHeight="1" x14ac:dyDescent="0.3">
      <c r="A3325" s="2" t="s">
        <v>352</v>
      </c>
      <c r="B3325" s="2" t="s">
        <v>985</v>
      </c>
      <c r="C3325" s="5" t="s">
        <v>5750</v>
      </c>
      <c r="D3325" s="2" t="s">
        <v>3485</v>
      </c>
    </row>
    <row r="3326" spans="1:4" ht="13.05" customHeight="1" x14ac:dyDescent="0.3">
      <c r="A3326" s="2" t="s">
        <v>352</v>
      </c>
      <c r="B3326" s="2" t="s">
        <v>985</v>
      </c>
      <c r="C3326" s="5" t="s">
        <v>5751</v>
      </c>
      <c r="D3326" s="2" t="s">
        <v>3676</v>
      </c>
    </row>
    <row r="3327" spans="1:4" ht="13.05" customHeight="1" x14ac:dyDescent="0.3">
      <c r="A3327" s="2" t="s">
        <v>352</v>
      </c>
      <c r="B3327" s="2" t="s">
        <v>985</v>
      </c>
      <c r="C3327" s="5" t="s">
        <v>5752</v>
      </c>
      <c r="D3327" s="2" t="s">
        <v>3489</v>
      </c>
    </row>
    <row r="3328" spans="1:4" ht="13.05" customHeight="1" x14ac:dyDescent="0.3">
      <c r="A3328" s="2" t="s">
        <v>352</v>
      </c>
      <c r="B3328" s="2" t="s">
        <v>985</v>
      </c>
      <c r="C3328" s="5" t="s">
        <v>5753</v>
      </c>
      <c r="D3328" s="2" t="s">
        <v>3304</v>
      </c>
    </row>
    <row r="3329" spans="1:4" ht="13.05" customHeight="1" x14ac:dyDescent="0.3">
      <c r="A3329" s="2" t="s">
        <v>352</v>
      </c>
      <c r="B3329" s="2" t="s">
        <v>985</v>
      </c>
      <c r="C3329" s="5" t="s">
        <v>5754</v>
      </c>
      <c r="D3329" s="2" t="s">
        <v>3492</v>
      </c>
    </row>
    <row r="3330" spans="1:4" ht="13.05" customHeight="1" x14ac:dyDescent="0.3">
      <c r="A3330" s="2" t="s">
        <v>352</v>
      </c>
      <c r="B3330" s="2" t="s">
        <v>985</v>
      </c>
      <c r="C3330" s="5" t="s">
        <v>5755</v>
      </c>
      <c r="D3330" s="2" t="s">
        <v>4635</v>
      </c>
    </row>
    <row r="3331" spans="1:4" ht="13.05" customHeight="1" x14ac:dyDescent="0.3">
      <c r="A3331" s="2" t="s">
        <v>352</v>
      </c>
      <c r="B3331" s="2" t="s">
        <v>985</v>
      </c>
      <c r="C3331" s="5" t="s">
        <v>5756</v>
      </c>
      <c r="D3331" s="2" t="s">
        <v>3306</v>
      </c>
    </row>
    <row r="3332" spans="1:4" ht="13.05" customHeight="1" x14ac:dyDescent="0.3">
      <c r="A3332" s="2" t="s">
        <v>352</v>
      </c>
      <c r="B3332" s="2" t="s">
        <v>985</v>
      </c>
      <c r="C3332" s="5" t="s">
        <v>5757</v>
      </c>
      <c r="D3332" s="2" t="s">
        <v>3681</v>
      </c>
    </row>
    <row r="3333" spans="1:4" ht="13.05" customHeight="1" x14ac:dyDescent="0.3">
      <c r="A3333" s="2" t="s">
        <v>352</v>
      </c>
      <c r="B3333" s="2" t="s">
        <v>985</v>
      </c>
      <c r="C3333" s="5" t="s">
        <v>5758</v>
      </c>
      <c r="D3333" s="2" t="s">
        <v>4640</v>
      </c>
    </row>
    <row r="3334" spans="1:4" ht="13.05" customHeight="1" x14ac:dyDescent="0.3">
      <c r="A3334" s="2" t="s">
        <v>352</v>
      </c>
      <c r="B3334" s="2" t="s">
        <v>985</v>
      </c>
      <c r="C3334" s="5" t="s">
        <v>5759</v>
      </c>
      <c r="D3334" s="2" t="s">
        <v>3497</v>
      </c>
    </row>
    <row r="3335" spans="1:4" ht="13.05" customHeight="1" x14ac:dyDescent="0.3">
      <c r="A3335" s="2" t="s">
        <v>352</v>
      </c>
      <c r="B3335" s="2" t="s">
        <v>985</v>
      </c>
      <c r="C3335" s="5" t="s">
        <v>5760</v>
      </c>
      <c r="D3335" s="2" t="s">
        <v>5761</v>
      </c>
    </row>
    <row r="3336" spans="1:4" ht="13.05" customHeight="1" x14ac:dyDescent="0.3">
      <c r="A3336" s="2" t="s">
        <v>352</v>
      </c>
      <c r="B3336" s="2" t="s">
        <v>985</v>
      </c>
      <c r="C3336" s="5" t="s">
        <v>5762</v>
      </c>
      <c r="D3336" s="2" t="s">
        <v>3475</v>
      </c>
    </row>
    <row r="3337" spans="1:4" ht="13.05" customHeight="1" x14ac:dyDescent="0.3">
      <c r="A3337" s="2" t="s">
        <v>352</v>
      </c>
      <c r="B3337" s="2" t="s">
        <v>985</v>
      </c>
      <c r="C3337" s="5" t="s">
        <v>5763</v>
      </c>
      <c r="D3337" s="2" t="s">
        <v>3481</v>
      </c>
    </row>
    <row r="3338" spans="1:4" ht="13.05" customHeight="1" x14ac:dyDescent="0.3">
      <c r="A3338" s="2" t="s">
        <v>352</v>
      </c>
      <c r="B3338" s="2" t="s">
        <v>985</v>
      </c>
      <c r="C3338" s="5" t="s">
        <v>5764</v>
      </c>
      <c r="D3338" s="2" t="s">
        <v>3483</v>
      </c>
    </row>
    <row r="3339" spans="1:4" ht="13.05" customHeight="1" x14ac:dyDescent="0.3">
      <c r="A3339" s="2" t="s">
        <v>352</v>
      </c>
      <c r="B3339" s="2" t="s">
        <v>985</v>
      </c>
      <c r="C3339" s="5" t="s">
        <v>5765</v>
      </c>
      <c r="D3339" s="2" t="s">
        <v>3485</v>
      </c>
    </row>
    <row r="3340" spans="1:4" ht="13.05" customHeight="1" x14ac:dyDescent="0.3">
      <c r="A3340" s="2" t="s">
        <v>352</v>
      </c>
      <c r="B3340" s="2" t="s">
        <v>985</v>
      </c>
      <c r="C3340" s="5" t="s">
        <v>5766</v>
      </c>
      <c r="D3340" s="2" t="s">
        <v>3676</v>
      </c>
    </row>
    <row r="3341" spans="1:4" ht="13.05" customHeight="1" x14ac:dyDescent="0.3">
      <c r="A3341" s="2" t="s">
        <v>352</v>
      </c>
      <c r="B3341" s="2" t="s">
        <v>985</v>
      </c>
      <c r="C3341" s="5" t="s">
        <v>5767</v>
      </c>
      <c r="D3341" s="2" t="s">
        <v>3489</v>
      </c>
    </row>
    <row r="3342" spans="1:4" ht="13.05" customHeight="1" x14ac:dyDescent="0.3">
      <c r="A3342" s="2" t="s">
        <v>352</v>
      </c>
      <c r="B3342" s="2" t="s">
        <v>985</v>
      </c>
      <c r="C3342" s="5" t="s">
        <v>5768</v>
      </c>
      <c r="D3342" s="2" t="s">
        <v>3304</v>
      </c>
    </row>
    <row r="3343" spans="1:4" ht="13.05" customHeight="1" x14ac:dyDescent="0.3">
      <c r="A3343" s="2" t="s">
        <v>352</v>
      </c>
      <c r="B3343" s="2" t="s">
        <v>985</v>
      </c>
      <c r="C3343" s="5" t="s">
        <v>5769</v>
      </c>
      <c r="D3343" s="2" t="s">
        <v>3492</v>
      </c>
    </row>
    <row r="3344" spans="1:4" ht="13.05" customHeight="1" x14ac:dyDescent="0.3">
      <c r="A3344" s="2" t="s">
        <v>352</v>
      </c>
      <c r="B3344" s="2" t="s">
        <v>985</v>
      </c>
      <c r="C3344" s="5" t="s">
        <v>5770</v>
      </c>
      <c r="D3344" s="2" t="s">
        <v>4635</v>
      </c>
    </row>
    <row r="3345" spans="1:4" ht="13.05" customHeight="1" x14ac:dyDescent="0.3">
      <c r="A3345" s="2" t="s">
        <v>352</v>
      </c>
      <c r="B3345" s="2" t="s">
        <v>985</v>
      </c>
      <c r="C3345" s="5" t="s">
        <v>5771</v>
      </c>
      <c r="D3345" s="2" t="s">
        <v>3306</v>
      </c>
    </row>
    <row r="3346" spans="1:4" ht="13.05" customHeight="1" x14ac:dyDescent="0.3">
      <c r="A3346" s="2" t="s">
        <v>352</v>
      </c>
      <c r="B3346" s="2" t="s">
        <v>985</v>
      </c>
      <c r="C3346" s="5" t="s">
        <v>5772</v>
      </c>
      <c r="D3346" s="2" t="s">
        <v>3308</v>
      </c>
    </row>
    <row r="3347" spans="1:4" ht="13.05" customHeight="1" x14ac:dyDescent="0.3">
      <c r="A3347" s="2" t="s">
        <v>352</v>
      </c>
      <c r="B3347" s="2" t="s">
        <v>985</v>
      </c>
      <c r="C3347" s="5" t="s">
        <v>5773</v>
      </c>
      <c r="D3347" s="2" t="s">
        <v>3495</v>
      </c>
    </row>
    <row r="3348" spans="1:4" ht="13.05" customHeight="1" x14ac:dyDescent="0.3">
      <c r="A3348" s="2" t="s">
        <v>352</v>
      </c>
      <c r="B3348" s="2" t="s">
        <v>985</v>
      </c>
      <c r="C3348" s="5" t="s">
        <v>5774</v>
      </c>
      <c r="D3348" s="2" t="s">
        <v>3312</v>
      </c>
    </row>
    <row r="3349" spans="1:4" ht="13.05" customHeight="1" x14ac:dyDescent="0.3">
      <c r="A3349" s="2" t="s">
        <v>352</v>
      </c>
      <c r="B3349" s="2" t="s">
        <v>985</v>
      </c>
      <c r="C3349" s="5" t="s">
        <v>5775</v>
      </c>
      <c r="D3349" s="2" t="s">
        <v>5776</v>
      </c>
    </row>
    <row r="3350" spans="1:4" ht="13.05" customHeight="1" x14ac:dyDescent="0.3">
      <c r="A3350" s="2" t="s">
        <v>352</v>
      </c>
      <c r="B3350" s="2" t="s">
        <v>985</v>
      </c>
      <c r="C3350" s="5" t="s">
        <v>5777</v>
      </c>
      <c r="D3350" s="2" t="s">
        <v>3475</v>
      </c>
    </row>
    <row r="3351" spans="1:4" ht="13.05" customHeight="1" x14ac:dyDescent="0.3">
      <c r="A3351" s="2" t="s">
        <v>352</v>
      </c>
      <c r="B3351" s="2" t="s">
        <v>985</v>
      </c>
      <c r="C3351" s="5" t="s">
        <v>5778</v>
      </c>
      <c r="D3351" s="2" t="s">
        <v>3481</v>
      </c>
    </row>
    <row r="3352" spans="1:4" ht="13.05" customHeight="1" x14ac:dyDescent="0.3">
      <c r="A3352" s="2" t="s">
        <v>352</v>
      </c>
      <c r="B3352" s="2" t="s">
        <v>985</v>
      </c>
      <c r="C3352" s="5" t="s">
        <v>5779</v>
      </c>
      <c r="D3352" s="2" t="s">
        <v>3483</v>
      </c>
    </row>
    <row r="3353" spans="1:4" ht="13.05" customHeight="1" x14ac:dyDescent="0.3">
      <c r="A3353" s="2" t="s">
        <v>352</v>
      </c>
      <c r="B3353" s="2" t="s">
        <v>985</v>
      </c>
      <c r="C3353" s="5" t="s">
        <v>5780</v>
      </c>
      <c r="D3353" s="2" t="s">
        <v>3485</v>
      </c>
    </row>
    <row r="3354" spans="1:4" ht="13.05" customHeight="1" x14ac:dyDescent="0.3">
      <c r="A3354" s="2" t="s">
        <v>352</v>
      </c>
      <c r="B3354" s="2" t="s">
        <v>985</v>
      </c>
      <c r="C3354" s="5" t="s">
        <v>5781</v>
      </c>
      <c r="D3354" s="2" t="s">
        <v>3676</v>
      </c>
    </row>
    <row r="3355" spans="1:4" ht="13.05" customHeight="1" x14ac:dyDescent="0.3">
      <c r="A3355" s="2" t="s">
        <v>352</v>
      </c>
      <c r="B3355" s="2" t="s">
        <v>985</v>
      </c>
      <c r="C3355" s="5" t="s">
        <v>5782</v>
      </c>
      <c r="D3355" s="2" t="s">
        <v>3489</v>
      </c>
    </row>
    <row r="3356" spans="1:4" ht="13.05" customHeight="1" x14ac:dyDescent="0.3">
      <c r="A3356" s="2" t="s">
        <v>352</v>
      </c>
      <c r="B3356" s="2" t="s">
        <v>985</v>
      </c>
      <c r="C3356" s="5" t="s">
        <v>5783</v>
      </c>
      <c r="D3356" s="2" t="s">
        <v>3304</v>
      </c>
    </row>
    <row r="3357" spans="1:4" ht="13.05" customHeight="1" x14ac:dyDescent="0.3">
      <c r="A3357" s="2" t="s">
        <v>352</v>
      </c>
      <c r="B3357" s="2" t="s">
        <v>985</v>
      </c>
      <c r="C3357" s="5" t="s">
        <v>5784</v>
      </c>
      <c r="D3357" s="2" t="s">
        <v>3492</v>
      </c>
    </row>
    <row r="3358" spans="1:4" ht="13.05" customHeight="1" x14ac:dyDescent="0.3">
      <c r="A3358" s="2" t="s">
        <v>352</v>
      </c>
      <c r="B3358" s="2" t="s">
        <v>985</v>
      </c>
      <c r="C3358" s="5" t="s">
        <v>5785</v>
      </c>
      <c r="D3358" s="2" t="s">
        <v>4635</v>
      </c>
    </row>
    <row r="3359" spans="1:4" ht="13.05" customHeight="1" x14ac:dyDescent="0.3">
      <c r="A3359" s="2" t="s">
        <v>352</v>
      </c>
      <c r="B3359" s="2" t="s">
        <v>985</v>
      </c>
      <c r="C3359" s="5" t="s">
        <v>5786</v>
      </c>
      <c r="D3359" s="2" t="s">
        <v>3306</v>
      </c>
    </row>
    <row r="3360" spans="1:4" ht="13.05" customHeight="1" x14ac:dyDescent="0.3">
      <c r="A3360" s="2" t="s">
        <v>352</v>
      </c>
      <c r="B3360" s="2" t="s">
        <v>985</v>
      </c>
      <c r="C3360" s="5" t="s">
        <v>5787</v>
      </c>
      <c r="D3360" s="2" t="s">
        <v>3681</v>
      </c>
    </row>
    <row r="3361" spans="1:4" ht="13.05" customHeight="1" x14ac:dyDescent="0.3">
      <c r="A3361" s="2" t="s">
        <v>352</v>
      </c>
      <c r="B3361" s="2" t="s">
        <v>985</v>
      </c>
      <c r="C3361" s="5" t="s">
        <v>5788</v>
      </c>
      <c r="D3361" s="2" t="s">
        <v>4640</v>
      </c>
    </row>
    <row r="3362" spans="1:4" ht="13.05" customHeight="1" x14ac:dyDescent="0.3">
      <c r="A3362" s="2" t="s">
        <v>352</v>
      </c>
      <c r="B3362" s="2" t="s">
        <v>985</v>
      </c>
      <c r="C3362" s="5" t="s">
        <v>5789</v>
      </c>
      <c r="D3362" s="2" t="s">
        <v>3497</v>
      </c>
    </row>
    <row r="3363" spans="1:4" ht="13.05" customHeight="1" x14ac:dyDescent="0.3">
      <c r="A3363" s="2" t="s">
        <v>352</v>
      </c>
      <c r="B3363" s="2" t="s">
        <v>985</v>
      </c>
      <c r="C3363" s="5" t="s">
        <v>5790</v>
      </c>
      <c r="D3363" s="2" t="s">
        <v>5791</v>
      </c>
    </row>
    <row r="3364" spans="1:4" ht="13.05" customHeight="1" x14ac:dyDescent="0.3">
      <c r="A3364" s="2" t="s">
        <v>352</v>
      </c>
      <c r="B3364" s="2" t="s">
        <v>985</v>
      </c>
      <c r="C3364" s="5" t="s">
        <v>5792</v>
      </c>
      <c r="D3364" s="2" t="s">
        <v>5793</v>
      </c>
    </row>
    <row r="3365" spans="1:4" ht="13.05" customHeight="1" x14ac:dyDescent="0.3">
      <c r="A3365" s="2" t="s">
        <v>352</v>
      </c>
      <c r="B3365" s="2" t="s">
        <v>985</v>
      </c>
      <c r="C3365" s="5" t="s">
        <v>5794</v>
      </c>
      <c r="D3365" s="2" t="s">
        <v>3492</v>
      </c>
    </row>
    <row r="3366" spans="1:4" ht="13.05" customHeight="1" x14ac:dyDescent="0.3">
      <c r="A3366" s="2" t="s">
        <v>352</v>
      </c>
      <c r="B3366" s="2" t="s">
        <v>985</v>
      </c>
      <c r="C3366" s="5" t="s">
        <v>5795</v>
      </c>
      <c r="D3366" s="2" t="s">
        <v>4635</v>
      </c>
    </row>
    <row r="3367" spans="1:4" ht="13.05" customHeight="1" x14ac:dyDescent="0.3">
      <c r="A3367" s="2" t="s">
        <v>352</v>
      </c>
      <c r="B3367" s="2" t="s">
        <v>985</v>
      </c>
      <c r="C3367" s="5" t="s">
        <v>5796</v>
      </c>
      <c r="D3367" s="2" t="s">
        <v>3306</v>
      </c>
    </row>
    <row r="3368" spans="1:4" ht="13.05" customHeight="1" x14ac:dyDescent="0.3">
      <c r="A3368" s="2" t="s">
        <v>352</v>
      </c>
      <c r="B3368" s="2" t="s">
        <v>985</v>
      </c>
      <c r="C3368" s="5" t="s">
        <v>5797</v>
      </c>
      <c r="D3368" s="2" t="s">
        <v>5798</v>
      </c>
    </row>
    <row r="3369" spans="1:4" ht="13.05" customHeight="1" x14ac:dyDescent="0.3">
      <c r="A3369" s="2" t="s">
        <v>352</v>
      </c>
      <c r="B3369" s="2" t="s">
        <v>985</v>
      </c>
      <c r="C3369" s="5" t="s">
        <v>5799</v>
      </c>
      <c r="D3369" s="2" t="s">
        <v>4640</v>
      </c>
    </row>
    <row r="3370" spans="1:4" ht="13.05" customHeight="1" x14ac:dyDescent="0.3">
      <c r="A3370" s="2" t="s">
        <v>352</v>
      </c>
      <c r="B3370" s="2" t="s">
        <v>985</v>
      </c>
      <c r="C3370" s="5" t="s">
        <v>5800</v>
      </c>
      <c r="D3370" s="2" t="s">
        <v>5801</v>
      </c>
    </row>
    <row r="3371" spans="1:4" ht="13.05" customHeight="1" x14ac:dyDescent="0.3">
      <c r="A3371" s="2" t="s">
        <v>352</v>
      </c>
      <c r="B3371" s="2" t="s">
        <v>985</v>
      </c>
      <c r="C3371" s="5" t="s">
        <v>5802</v>
      </c>
      <c r="D3371" s="2" t="s">
        <v>3492</v>
      </c>
    </row>
    <row r="3372" spans="1:4" ht="13.05" customHeight="1" x14ac:dyDescent="0.3">
      <c r="A3372" s="2" t="s">
        <v>352</v>
      </c>
      <c r="B3372" s="2" t="s">
        <v>985</v>
      </c>
      <c r="C3372" s="5" t="s">
        <v>5803</v>
      </c>
      <c r="D3372" s="2" t="s">
        <v>4635</v>
      </c>
    </row>
    <row r="3373" spans="1:4" ht="13.05" customHeight="1" x14ac:dyDescent="0.3">
      <c r="A3373" s="2" t="s">
        <v>352</v>
      </c>
      <c r="B3373" s="2" t="s">
        <v>985</v>
      </c>
      <c r="C3373" s="5" t="s">
        <v>5804</v>
      </c>
      <c r="D3373" s="2" t="s">
        <v>3306</v>
      </c>
    </row>
    <row r="3374" spans="1:4" ht="13.05" customHeight="1" x14ac:dyDescent="0.3">
      <c r="A3374" s="2" t="s">
        <v>352</v>
      </c>
      <c r="B3374" s="2" t="s">
        <v>985</v>
      </c>
      <c r="C3374" s="5" t="s">
        <v>5805</v>
      </c>
      <c r="D3374" s="2" t="s">
        <v>3492</v>
      </c>
    </row>
    <row r="3375" spans="1:4" ht="13.05" customHeight="1" x14ac:dyDescent="0.3">
      <c r="A3375" s="2" t="s">
        <v>352</v>
      </c>
      <c r="B3375" s="2" t="s">
        <v>985</v>
      </c>
      <c r="C3375" s="5" t="s">
        <v>5806</v>
      </c>
      <c r="D3375" s="2" t="s">
        <v>4635</v>
      </c>
    </row>
    <row r="3376" spans="1:4" ht="13.05" customHeight="1" x14ac:dyDescent="0.3">
      <c r="A3376" s="2" t="s">
        <v>352</v>
      </c>
      <c r="B3376" s="2" t="s">
        <v>985</v>
      </c>
      <c r="C3376" s="5" t="s">
        <v>5807</v>
      </c>
      <c r="D3376" s="2" t="s">
        <v>3306</v>
      </c>
    </row>
    <row r="3377" spans="1:4" ht="13.05" customHeight="1" x14ac:dyDescent="0.3">
      <c r="A3377" s="2" t="s">
        <v>352</v>
      </c>
      <c r="B3377" s="2" t="s">
        <v>985</v>
      </c>
      <c r="C3377" s="5" t="s">
        <v>5808</v>
      </c>
      <c r="D3377" s="2" t="s">
        <v>3681</v>
      </c>
    </row>
    <row r="3378" spans="1:4" ht="13.05" customHeight="1" x14ac:dyDescent="0.3">
      <c r="A3378" s="2" t="s">
        <v>352</v>
      </c>
      <c r="B3378" s="2" t="s">
        <v>985</v>
      </c>
      <c r="C3378" s="5" t="s">
        <v>5809</v>
      </c>
      <c r="D3378" s="2" t="s">
        <v>4640</v>
      </c>
    </row>
    <row r="3379" spans="1:4" ht="13.05" customHeight="1" x14ac:dyDescent="0.3">
      <c r="A3379" s="2" t="s">
        <v>352</v>
      </c>
      <c r="B3379" s="2" t="s">
        <v>985</v>
      </c>
      <c r="C3379" s="5" t="s">
        <v>5810</v>
      </c>
      <c r="D3379" s="2" t="s">
        <v>3492</v>
      </c>
    </row>
    <row r="3380" spans="1:4" ht="13.05" customHeight="1" x14ac:dyDescent="0.3">
      <c r="A3380" s="2" t="s">
        <v>352</v>
      </c>
      <c r="B3380" s="2" t="s">
        <v>985</v>
      </c>
      <c r="C3380" s="5" t="s">
        <v>5811</v>
      </c>
      <c r="D3380" s="2" t="s">
        <v>4635</v>
      </c>
    </row>
    <row r="3381" spans="1:4" ht="13.05" customHeight="1" x14ac:dyDescent="0.3">
      <c r="A3381" s="2" t="s">
        <v>352</v>
      </c>
      <c r="B3381" s="2" t="s">
        <v>985</v>
      </c>
      <c r="C3381" s="5" t="s">
        <v>5812</v>
      </c>
      <c r="D3381" s="2" t="s">
        <v>3306</v>
      </c>
    </row>
    <row r="3382" spans="1:4" ht="13.05" customHeight="1" x14ac:dyDescent="0.3">
      <c r="A3382" s="2" t="s">
        <v>352</v>
      </c>
      <c r="B3382" s="2" t="s">
        <v>985</v>
      </c>
      <c r="C3382" s="5" t="s">
        <v>5813</v>
      </c>
      <c r="D3382" s="2" t="s">
        <v>3681</v>
      </c>
    </row>
    <row r="3383" spans="1:4" ht="13.05" customHeight="1" x14ac:dyDescent="0.3">
      <c r="A3383" s="2" t="s">
        <v>352</v>
      </c>
      <c r="B3383" s="2" t="s">
        <v>985</v>
      </c>
      <c r="C3383" s="5" t="s">
        <v>5814</v>
      </c>
      <c r="D3383" s="2" t="s">
        <v>4640</v>
      </c>
    </row>
    <row r="3384" spans="1:4" ht="13.05" customHeight="1" x14ac:dyDescent="0.3">
      <c r="A3384" s="2" t="s">
        <v>352</v>
      </c>
      <c r="B3384" s="2" t="s">
        <v>985</v>
      </c>
      <c r="C3384" s="5" t="s">
        <v>5815</v>
      </c>
      <c r="D3384" s="2" t="s">
        <v>5793</v>
      </c>
    </row>
    <row r="3385" spans="1:4" ht="13.05" customHeight="1" x14ac:dyDescent="0.3">
      <c r="A3385" s="2" t="s">
        <v>352</v>
      </c>
      <c r="B3385" s="2" t="s">
        <v>985</v>
      </c>
      <c r="C3385" s="5" t="s">
        <v>5816</v>
      </c>
      <c r="D3385" s="2" t="s">
        <v>3492</v>
      </c>
    </row>
    <row r="3386" spans="1:4" ht="13.05" customHeight="1" x14ac:dyDescent="0.3">
      <c r="A3386" s="2" t="s">
        <v>352</v>
      </c>
      <c r="B3386" s="2" t="s">
        <v>985</v>
      </c>
      <c r="C3386" s="5" t="s">
        <v>5817</v>
      </c>
      <c r="D3386" s="2" t="s">
        <v>4635</v>
      </c>
    </row>
    <row r="3387" spans="1:4" ht="13.05" customHeight="1" x14ac:dyDescent="0.3">
      <c r="A3387" s="2" t="s">
        <v>352</v>
      </c>
      <c r="B3387" s="2" t="s">
        <v>985</v>
      </c>
      <c r="C3387" s="5" t="s">
        <v>5818</v>
      </c>
      <c r="D3387" s="2" t="s">
        <v>3306</v>
      </c>
    </row>
    <row r="3388" spans="1:4" ht="13.05" customHeight="1" x14ac:dyDescent="0.3">
      <c r="A3388" s="2" t="s">
        <v>352</v>
      </c>
      <c r="B3388" s="2" t="s">
        <v>985</v>
      </c>
      <c r="C3388" s="5" t="s">
        <v>5819</v>
      </c>
      <c r="D3388" s="2" t="s">
        <v>3681</v>
      </c>
    </row>
    <row r="3389" spans="1:4" ht="13.05" customHeight="1" x14ac:dyDescent="0.3">
      <c r="A3389" s="2" t="s">
        <v>352</v>
      </c>
      <c r="B3389" s="2" t="s">
        <v>985</v>
      </c>
      <c r="C3389" s="5" t="s">
        <v>5820</v>
      </c>
      <c r="D3389" s="2" t="s">
        <v>5821</v>
      </c>
    </row>
    <row r="3390" spans="1:4" ht="13.05" customHeight="1" x14ac:dyDescent="0.3">
      <c r="A3390" s="2" t="s">
        <v>352</v>
      </c>
      <c r="B3390" s="2" t="s">
        <v>985</v>
      </c>
      <c r="C3390" s="5" t="s">
        <v>5822</v>
      </c>
      <c r="D3390" s="2" t="s">
        <v>5823</v>
      </c>
    </row>
    <row r="3391" spans="1:4" ht="13.05" customHeight="1" x14ac:dyDescent="0.3">
      <c r="A3391" s="2" t="s">
        <v>352</v>
      </c>
      <c r="B3391" s="2" t="s">
        <v>985</v>
      </c>
      <c r="C3391" s="5" t="s">
        <v>5824</v>
      </c>
      <c r="D3391" s="2" t="s">
        <v>5825</v>
      </c>
    </row>
    <row r="3392" spans="1:4" ht="13.05" customHeight="1" x14ac:dyDescent="0.3">
      <c r="A3392" s="2" t="s">
        <v>352</v>
      </c>
      <c r="B3392" s="2" t="s">
        <v>985</v>
      </c>
      <c r="C3392" s="5" t="s">
        <v>5826</v>
      </c>
      <c r="D3392" s="2" t="s">
        <v>5827</v>
      </c>
    </row>
    <row r="3393" spans="1:4" ht="13.05" customHeight="1" x14ac:dyDescent="0.3">
      <c r="A3393" s="2" t="s">
        <v>352</v>
      </c>
      <c r="B3393" s="2" t="s">
        <v>985</v>
      </c>
      <c r="C3393" s="5" t="s">
        <v>5828</v>
      </c>
      <c r="D3393" s="2" t="s">
        <v>3244</v>
      </c>
    </row>
    <row r="3394" spans="1:4" ht="13.05" customHeight="1" x14ac:dyDescent="0.3">
      <c r="A3394" s="2" t="s">
        <v>352</v>
      </c>
      <c r="B3394" s="2" t="s">
        <v>985</v>
      </c>
      <c r="C3394" s="5" t="s">
        <v>5829</v>
      </c>
      <c r="D3394" s="2" t="s">
        <v>3276</v>
      </c>
    </row>
    <row r="3395" spans="1:4" ht="13.05" customHeight="1" x14ac:dyDescent="0.3">
      <c r="A3395" s="2" t="s">
        <v>352</v>
      </c>
      <c r="B3395" s="2" t="s">
        <v>985</v>
      </c>
      <c r="C3395" s="5" t="s">
        <v>5830</v>
      </c>
      <c r="D3395" s="2" t="s">
        <v>5831</v>
      </c>
    </row>
    <row r="3396" spans="1:4" ht="13.05" customHeight="1" x14ac:dyDescent="0.3">
      <c r="A3396" s="2" t="s">
        <v>352</v>
      </c>
      <c r="B3396" s="2" t="s">
        <v>985</v>
      </c>
      <c r="C3396" s="5" t="s">
        <v>5832</v>
      </c>
      <c r="D3396" s="2" t="s">
        <v>5067</v>
      </c>
    </row>
    <row r="3397" spans="1:4" ht="13.05" customHeight="1" x14ac:dyDescent="0.3">
      <c r="A3397" s="2" t="s">
        <v>352</v>
      </c>
      <c r="B3397" s="2" t="s">
        <v>985</v>
      </c>
      <c r="C3397" s="5" t="s">
        <v>5833</v>
      </c>
      <c r="D3397" s="2" t="s">
        <v>4849</v>
      </c>
    </row>
    <row r="3398" spans="1:4" ht="13.05" customHeight="1" x14ac:dyDescent="0.3">
      <c r="A3398" s="2" t="s">
        <v>352</v>
      </c>
      <c r="B3398" s="2" t="s">
        <v>985</v>
      </c>
      <c r="C3398" s="5" t="s">
        <v>5834</v>
      </c>
      <c r="D3398" s="2" t="s">
        <v>4411</v>
      </c>
    </row>
    <row r="3399" spans="1:4" ht="13.05" customHeight="1" x14ac:dyDescent="0.3">
      <c r="A3399" s="2" t="s">
        <v>352</v>
      </c>
      <c r="B3399" s="2" t="s">
        <v>985</v>
      </c>
      <c r="C3399" s="5" t="s">
        <v>5835</v>
      </c>
      <c r="D3399" s="2" t="s">
        <v>5071</v>
      </c>
    </row>
    <row r="3400" spans="1:4" ht="13.05" customHeight="1" x14ac:dyDescent="0.3">
      <c r="A3400" s="2" t="s">
        <v>352</v>
      </c>
      <c r="B3400" s="2" t="s">
        <v>985</v>
      </c>
      <c r="C3400" s="5" t="s">
        <v>5836</v>
      </c>
      <c r="D3400" s="2" t="s">
        <v>5837</v>
      </c>
    </row>
    <row r="3401" spans="1:4" ht="13.05" customHeight="1" x14ac:dyDescent="0.3">
      <c r="A3401" s="2" t="s">
        <v>352</v>
      </c>
      <c r="B3401" s="2" t="s">
        <v>985</v>
      </c>
      <c r="C3401" s="5" t="s">
        <v>5838</v>
      </c>
      <c r="D3401" s="2" t="s">
        <v>5839</v>
      </c>
    </row>
    <row r="3402" spans="1:4" ht="13.05" customHeight="1" x14ac:dyDescent="0.3">
      <c r="A3402" s="2" t="s">
        <v>352</v>
      </c>
      <c r="B3402" s="2" t="s">
        <v>985</v>
      </c>
      <c r="C3402" s="5" t="s">
        <v>5840</v>
      </c>
      <c r="D3402" s="2" t="s">
        <v>4851</v>
      </c>
    </row>
    <row r="3403" spans="1:4" ht="13.05" customHeight="1" x14ac:dyDescent="0.3">
      <c r="A3403" s="2" t="s">
        <v>352</v>
      </c>
      <c r="B3403" s="2" t="s">
        <v>985</v>
      </c>
      <c r="C3403" s="5" t="s">
        <v>5841</v>
      </c>
      <c r="D3403" s="2" t="s">
        <v>5067</v>
      </c>
    </row>
    <row r="3404" spans="1:4" ht="13.05" customHeight="1" x14ac:dyDescent="0.3">
      <c r="A3404" s="2" t="s">
        <v>352</v>
      </c>
      <c r="B3404" s="2" t="s">
        <v>985</v>
      </c>
      <c r="C3404" s="5" t="s">
        <v>5842</v>
      </c>
      <c r="D3404" s="2" t="s">
        <v>4849</v>
      </c>
    </row>
    <row r="3405" spans="1:4" ht="13.05" customHeight="1" x14ac:dyDescent="0.3">
      <c r="A3405" s="2" t="s">
        <v>352</v>
      </c>
      <c r="B3405" s="2" t="s">
        <v>985</v>
      </c>
      <c r="C3405" s="5" t="s">
        <v>5843</v>
      </c>
      <c r="D3405" s="2" t="s">
        <v>5844</v>
      </c>
    </row>
    <row r="3406" spans="1:4" ht="13.05" customHeight="1" x14ac:dyDescent="0.3">
      <c r="A3406" s="2" t="s">
        <v>352</v>
      </c>
      <c r="B3406" s="2" t="s">
        <v>985</v>
      </c>
      <c r="C3406" s="5" t="s">
        <v>5845</v>
      </c>
      <c r="D3406" s="2" t="s">
        <v>5846</v>
      </c>
    </row>
    <row r="3407" spans="1:4" ht="13.05" customHeight="1" x14ac:dyDescent="0.3">
      <c r="A3407" s="2" t="s">
        <v>352</v>
      </c>
      <c r="B3407" s="2" t="s">
        <v>985</v>
      </c>
      <c r="C3407" s="5" t="s">
        <v>5847</v>
      </c>
      <c r="D3407" s="2" t="s">
        <v>4417</v>
      </c>
    </row>
    <row r="3408" spans="1:4" ht="13.05" customHeight="1" x14ac:dyDescent="0.3">
      <c r="A3408" s="2" t="s">
        <v>352</v>
      </c>
      <c r="B3408" s="2" t="s">
        <v>985</v>
      </c>
      <c r="C3408" s="5" t="s">
        <v>5848</v>
      </c>
      <c r="D3408" s="2" t="s">
        <v>5849</v>
      </c>
    </row>
    <row r="3409" spans="1:4" ht="13.05" customHeight="1" x14ac:dyDescent="0.3">
      <c r="A3409" s="2" t="s">
        <v>352</v>
      </c>
      <c r="B3409" s="2" t="s">
        <v>985</v>
      </c>
      <c r="C3409" s="5" t="s">
        <v>5850</v>
      </c>
      <c r="D3409" s="2" t="s">
        <v>5851</v>
      </c>
    </row>
    <row r="3410" spans="1:4" ht="13.05" customHeight="1" x14ac:dyDescent="0.3">
      <c r="A3410" s="2" t="s">
        <v>352</v>
      </c>
      <c r="B3410" s="2" t="s">
        <v>985</v>
      </c>
      <c r="C3410" s="5" t="s">
        <v>5852</v>
      </c>
      <c r="D3410" s="2" t="s">
        <v>5853</v>
      </c>
    </row>
    <row r="3411" spans="1:4" ht="13.05" customHeight="1" x14ac:dyDescent="0.3">
      <c r="A3411" s="2" t="s">
        <v>352</v>
      </c>
      <c r="B3411" s="2" t="s">
        <v>985</v>
      </c>
      <c r="C3411" s="5" t="s">
        <v>5854</v>
      </c>
      <c r="D3411" s="2" t="s">
        <v>5855</v>
      </c>
    </row>
    <row r="3412" spans="1:4" ht="13.05" customHeight="1" x14ac:dyDescent="0.3">
      <c r="A3412" s="2" t="s">
        <v>352</v>
      </c>
      <c r="B3412" s="2" t="s">
        <v>985</v>
      </c>
      <c r="C3412" s="5" t="s">
        <v>5856</v>
      </c>
      <c r="D3412" s="2" t="s">
        <v>5857</v>
      </c>
    </row>
    <row r="3413" spans="1:4" ht="13.05" customHeight="1" x14ac:dyDescent="0.3">
      <c r="A3413" s="2" t="s">
        <v>352</v>
      </c>
      <c r="B3413" s="2" t="s">
        <v>985</v>
      </c>
      <c r="C3413" s="5" t="s">
        <v>5858</v>
      </c>
      <c r="D3413" s="2" t="s">
        <v>5859</v>
      </c>
    </row>
    <row r="3414" spans="1:4" ht="13.05" customHeight="1" x14ac:dyDescent="0.3">
      <c r="A3414" s="2" t="s">
        <v>352</v>
      </c>
      <c r="B3414" s="2" t="s">
        <v>985</v>
      </c>
      <c r="C3414" s="5" t="s">
        <v>5860</v>
      </c>
      <c r="D3414" s="2" t="s">
        <v>5861</v>
      </c>
    </row>
    <row r="3415" spans="1:4" ht="13.05" customHeight="1" x14ac:dyDescent="0.3">
      <c r="A3415" s="2" t="s">
        <v>352</v>
      </c>
      <c r="B3415" s="2" t="s">
        <v>985</v>
      </c>
      <c r="C3415" s="5" t="s">
        <v>5862</v>
      </c>
      <c r="D3415" s="2" t="s">
        <v>5863</v>
      </c>
    </row>
    <row r="3416" spans="1:4" ht="13.05" customHeight="1" x14ac:dyDescent="0.3">
      <c r="A3416" s="2" t="s">
        <v>352</v>
      </c>
      <c r="B3416" s="2" t="s">
        <v>985</v>
      </c>
      <c r="C3416" s="5" t="s">
        <v>5864</v>
      </c>
      <c r="D3416" s="2" t="s">
        <v>5865</v>
      </c>
    </row>
    <row r="3417" spans="1:4" ht="13.05" customHeight="1" x14ac:dyDescent="0.3">
      <c r="A3417" s="2" t="s">
        <v>352</v>
      </c>
      <c r="B3417" s="2" t="s">
        <v>985</v>
      </c>
      <c r="C3417" s="5" t="s">
        <v>5866</v>
      </c>
      <c r="D3417" s="2" t="s">
        <v>5867</v>
      </c>
    </row>
    <row r="3418" spans="1:4" ht="13.05" customHeight="1" x14ac:dyDescent="0.3">
      <c r="A3418" s="2" t="s">
        <v>352</v>
      </c>
      <c r="B3418" s="2" t="s">
        <v>985</v>
      </c>
      <c r="C3418" s="5" t="s">
        <v>5868</v>
      </c>
      <c r="D3418" s="2" t="s">
        <v>5869</v>
      </c>
    </row>
    <row r="3419" spans="1:4" ht="13.05" customHeight="1" x14ac:dyDescent="0.3">
      <c r="A3419" s="2" t="s">
        <v>352</v>
      </c>
      <c r="B3419" s="2" t="s">
        <v>985</v>
      </c>
      <c r="C3419" s="5" t="s">
        <v>5870</v>
      </c>
      <c r="D3419" s="2" t="s">
        <v>5871</v>
      </c>
    </row>
    <row r="3420" spans="1:4" ht="13.05" customHeight="1" x14ac:dyDescent="0.3">
      <c r="A3420" s="2" t="s">
        <v>352</v>
      </c>
      <c r="B3420" s="2" t="s">
        <v>985</v>
      </c>
      <c r="C3420" s="5" t="s">
        <v>5872</v>
      </c>
      <c r="D3420" s="2" t="s">
        <v>5873</v>
      </c>
    </row>
    <row r="3421" spans="1:4" ht="13.05" customHeight="1" x14ac:dyDescent="0.3">
      <c r="A3421" s="2" t="s">
        <v>352</v>
      </c>
      <c r="B3421" s="2" t="s">
        <v>985</v>
      </c>
      <c r="C3421" s="5" t="s">
        <v>5874</v>
      </c>
      <c r="D3421" s="2" t="s">
        <v>5875</v>
      </c>
    </row>
    <row r="3422" spans="1:4" ht="13.05" customHeight="1" x14ac:dyDescent="0.3">
      <c r="A3422" s="2" t="s">
        <v>352</v>
      </c>
      <c r="B3422" s="2" t="s">
        <v>985</v>
      </c>
      <c r="C3422" s="5" t="s">
        <v>5876</v>
      </c>
      <c r="D3422" s="2" t="s">
        <v>4631</v>
      </c>
    </row>
    <row r="3423" spans="1:4" ht="13.05" customHeight="1" x14ac:dyDescent="0.3">
      <c r="A3423" s="2" t="s">
        <v>352</v>
      </c>
      <c r="B3423" s="2" t="s">
        <v>985</v>
      </c>
      <c r="C3423" s="5" t="s">
        <v>5877</v>
      </c>
      <c r="D3423" s="2" t="s">
        <v>5878</v>
      </c>
    </row>
    <row r="3424" spans="1:4" ht="13.05" customHeight="1" x14ac:dyDescent="0.3">
      <c r="A3424" s="2" t="s">
        <v>352</v>
      </c>
      <c r="B3424" s="2" t="s">
        <v>985</v>
      </c>
      <c r="C3424" s="5" t="s">
        <v>5879</v>
      </c>
      <c r="D3424" s="2" t="s">
        <v>5880</v>
      </c>
    </row>
    <row r="3425" spans="1:4" ht="13.05" customHeight="1" x14ac:dyDescent="0.3">
      <c r="A3425" s="2" t="s">
        <v>352</v>
      </c>
      <c r="B3425" s="2" t="s">
        <v>985</v>
      </c>
      <c r="C3425" s="5" t="s">
        <v>5881</v>
      </c>
      <c r="D3425" s="2" t="s">
        <v>5882</v>
      </c>
    </row>
    <row r="3426" spans="1:4" ht="13.05" customHeight="1" x14ac:dyDescent="0.3">
      <c r="A3426" s="2" t="s">
        <v>352</v>
      </c>
      <c r="B3426" s="2" t="s">
        <v>985</v>
      </c>
      <c r="C3426" s="5" t="s">
        <v>5883</v>
      </c>
      <c r="D3426" s="2" t="s">
        <v>5884</v>
      </c>
    </row>
    <row r="3427" spans="1:4" ht="13.05" customHeight="1" x14ac:dyDescent="0.3">
      <c r="A3427" s="2" t="s">
        <v>352</v>
      </c>
      <c r="B3427" s="2" t="s">
        <v>985</v>
      </c>
      <c r="C3427" s="5" t="s">
        <v>5885</v>
      </c>
      <c r="D3427" s="2" t="s">
        <v>5886</v>
      </c>
    </row>
    <row r="3428" spans="1:4" ht="13.05" customHeight="1" x14ac:dyDescent="0.3">
      <c r="A3428" s="2" t="s">
        <v>352</v>
      </c>
      <c r="B3428" s="2" t="s">
        <v>985</v>
      </c>
      <c r="C3428" s="5" t="s">
        <v>5887</v>
      </c>
      <c r="D3428" s="2" t="s">
        <v>5888</v>
      </c>
    </row>
    <row r="3429" spans="1:4" ht="13.05" customHeight="1" x14ac:dyDescent="0.3">
      <c r="A3429" s="2" t="s">
        <v>352</v>
      </c>
      <c r="B3429" s="2" t="s">
        <v>985</v>
      </c>
      <c r="C3429" s="5" t="s">
        <v>5889</v>
      </c>
      <c r="D3429" s="2" t="s">
        <v>5890</v>
      </c>
    </row>
    <row r="3430" spans="1:4" ht="13.05" customHeight="1" x14ac:dyDescent="0.3">
      <c r="A3430" s="2" t="s">
        <v>352</v>
      </c>
      <c r="B3430" s="2" t="s">
        <v>985</v>
      </c>
      <c r="C3430" s="5" t="s">
        <v>5891</v>
      </c>
      <c r="D3430" s="2" t="s">
        <v>5892</v>
      </c>
    </row>
    <row r="3431" spans="1:4" ht="13.05" customHeight="1" x14ac:dyDescent="0.3">
      <c r="A3431" s="2" t="s">
        <v>352</v>
      </c>
      <c r="B3431" s="2" t="s">
        <v>985</v>
      </c>
      <c r="C3431" s="5" t="s">
        <v>5893</v>
      </c>
      <c r="D3431" s="2" t="s">
        <v>5894</v>
      </c>
    </row>
    <row r="3432" spans="1:4" ht="13.05" customHeight="1" x14ac:dyDescent="0.3">
      <c r="A3432" s="2" t="s">
        <v>352</v>
      </c>
      <c r="B3432" s="2" t="s">
        <v>985</v>
      </c>
      <c r="C3432" s="5" t="s">
        <v>5895</v>
      </c>
      <c r="D3432" s="2" t="s">
        <v>4635</v>
      </c>
    </row>
    <row r="3433" spans="1:4" ht="13.05" customHeight="1" x14ac:dyDescent="0.3">
      <c r="A3433" s="2" t="s">
        <v>352</v>
      </c>
      <c r="B3433" s="2" t="s">
        <v>985</v>
      </c>
      <c r="C3433" s="5" t="s">
        <v>5896</v>
      </c>
      <c r="D3433" s="2" t="s">
        <v>3306</v>
      </c>
    </row>
    <row r="3434" spans="1:4" ht="13.05" customHeight="1" x14ac:dyDescent="0.3">
      <c r="A3434" s="2" t="s">
        <v>352</v>
      </c>
      <c r="B3434" s="2" t="s">
        <v>985</v>
      </c>
      <c r="C3434" s="5" t="s">
        <v>5897</v>
      </c>
      <c r="D3434" s="2" t="s">
        <v>3681</v>
      </c>
    </row>
    <row r="3435" spans="1:4" ht="13.05" customHeight="1" x14ac:dyDescent="0.3">
      <c r="A3435" s="2" t="s">
        <v>352</v>
      </c>
      <c r="B3435" s="2" t="s">
        <v>985</v>
      </c>
      <c r="C3435" s="5" t="s">
        <v>5898</v>
      </c>
      <c r="D3435" s="2" t="s">
        <v>3312</v>
      </c>
    </row>
    <row r="3436" spans="1:4" ht="13.05" customHeight="1" x14ac:dyDescent="0.3">
      <c r="A3436" s="2" t="s">
        <v>352</v>
      </c>
      <c r="B3436" s="2" t="s">
        <v>985</v>
      </c>
      <c r="C3436" s="5" t="s">
        <v>5899</v>
      </c>
      <c r="D3436" s="2" t="s">
        <v>5900</v>
      </c>
    </row>
    <row r="3437" spans="1:4" ht="13.05" customHeight="1" x14ac:dyDescent="0.3">
      <c r="A3437" s="2" t="s">
        <v>352</v>
      </c>
      <c r="B3437" s="2" t="s">
        <v>985</v>
      </c>
      <c r="C3437" s="5" t="s">
        <v>5901</v>
      </c>
      <c r="D3437" s="2" t="s">
        <v>4471</v>
      </c>
    </row>
    <row r="3438" spans="1:4" ht="13.05" customHeight="1" x14ac:dyDescent="0.3">
      <c r="A3438" s="2" t="s">
        <v>352</v>
      </c>
      <c r="B3438" s="2" t="s">
        <v>985</v>
      </c>
      <c r="C3438" s="5" t="s">
        <v>5902</v>
      </c>
      <c r="D3438" s="2" t="s">
        <v>5903</v>
      </c>
    </row>
    <row r="3439" spans="1:4" ht="13.05" customHeight="1" x14ac:dyDescent="0.3">
      <c r="A3439" s="2" t="s">
        <v>352</v>
      </c>
      <c r="B3439" s="2" t="s">
        <v>985</v>
      </c>
      <c r="C3439" s="5" t="s">
        <v>5904</v>
      </c>
      <c r="D3439" s="2" t="s">
        <v>5905</v>
      </c>
    </row>
    <row r="3440" spans="1:4" ht="13.05" customHeight="1" x14ac:dyDescent="0.3">
      <c r="A3440" s="2" t="s">
        <v>352</v>
      </c>
      <c r="B3440" s="2" t="s">
        <v>985</v>
      </c>
      <c r="C3440" s="5" t="s">
        <v>5906</v>
      </c>
      <c r="D3440" s="2" t="s">
        <v>5067</v>
      </c>
    </row>
    <row r="3441" spans="1:4" ht="13.05" customHeight="1" x14ac:dyDescent="0.3">
      <c r="A3441" s="2" t="s">
        <v>352</v>
      </c>
      <c r="B3441" s="2" t="s">
        <v>985</v>
      </c>
      <c r="C3441" s="5" t="s">
        <v>5907</v>
      </c>
      <c r="D3441" s="2" t="s">
        <v>4849</v>
      </c>
    </row>
    <row r="3442" spans="1:4" ht="13.05" customHeight="1" x14ac:dyDescent="0.3">
      <c r="A3442" s="2" t="s">
        <v>352</v>
      </c>
      <c r="B3442" s="2" t="s">
        <v>985</v>
      </c>
      <c r="C3442" s="5" t="s">
        <v>5908</v>
      </c>
      <c r="D3442" s="2" t="s">
        <v>4411</v>
      </c>
    </row>
    <row r="3443" spans="1:4" ht="13.05" customHeight="1" x14ac:dyDescent="0.3">
      <c r="A3443" s="2" t="s">
        <v>352</v>
      </c>
      <c r="B3443" s="2" t="s">
        <v>985</v>
      </c>
      <c r="C3443" s="5" t="s">
        <v>5909</v>
      </c>
      <c r="D3443" s="2" t="s">
        <v>5071</v>
      </c>
    </row>
    <row r="3444" spans="1:4" ht="13.05" customHeight="1" x14ac:dyDescent="0.3">
      <c r="A3444" s="2" t="s">
        <v>352</v>
      </c>
      <c r="B3444" s="2" t="s">
        <v>985</v>
      </c>
      <c r="C3444" s="5" t="s">
        <v>5910</v>
      </c>
      <c r="D3444" s="2" t="s">
        <v>4413</v>
      </c>
    </row>
    <row r="3445" spans="1:4" ht="13.05" customHeight="1" x14ac:dyDescent="0.3">
      <c r="A3445" s="2" t="s">
        <v>352</v>
      </c>
      <c r="B3445" s="2" t="s">
        <v>985</v>
      </c>
      <c r="C3445" s="5" t="s">
        <v>5911</v>
      </c>
      <c r="D3445" s="2" t="s">
        <v>5074</v>
      </c>
    </row>
    <row r="3446" spans="1:4" ht="13.05" customHeight="1" x14ac:dyDescent="0.3">
      <c r="A3446" s="2" t="s">
        <v>352</v>
      </c>
      <c r="B3446" s="2" t="s">
        <v>985</v>
      </c>
      <c r="C3446" s="5" t="s">
        <v>5912</v>
      </c>
      <c r="D3446" s="2" t="s">
        <v>4851</v>
      </c>
    </row>
    <row r="3447" spans="1:4" ht="13.05" customHeight="1" x14ac:dyDescent="0.3">
      <c r="A3447" s="2" t="s">
        <v>352</v>
      </c>
      <c r="B3447" s="2" t="s">
        <v>985</v>
      </c>
      <c r="C3447" s="5" t="s">
        <v>5913</v>
      </c>
      <c r="D3447" s="2" t="s">
        <v>5914</v>
      </c>
    </row>
    <row r="3448" spans="1:4" ht="13.05" customHeight="1" x14ac:dyDescent="0.3">
      <c r="A3448" s="2" t="s">
        <v>352</v>
      </c>
      <c r="B3448" s="2" t="s">
        <v>985</v>
      </c>
      <c r="C3448" s="5" t="s">
        <v>5915</v>
      </c>
      <c r="D3448" s="2" t="s">
        <v>5916</v>
      </c>
    </row>
    <row r="3449" spans="1:4" ht="13.05" customHeight="1" x14ac:dyDescent="0.3">
      <c r="A3449" s="2" t="s">
        <v>352</v>
      </c>
      <c r="B3449" s="2" t="s">
        <v>985</v>
      </c>
      <c r="C3449" s="5" t="s">
        <v>5917</v>
      </c>
      <c r="D3449" s="2" t="s">
        <v>5918</v>
      </c>
    </row>
    <row r="3450" spans="1:4" ht="13.05" customHeight="1" x14ac:dyDescent="0.3">
      <c r="A3450" s="2" t="s">
        <v>352</v>
      </c>
      <c r="B3450" s="2" t="s">
        <v>985</v>
      </c>
      <c r="C3450" s="5" t="s">
        <v>5919</v>
      </c>
      <c r="D3450" s="2" t="s">
        <v>5920</v>
      </c>
    </row>
    <row r="3451" spans="1:4" ht="13.05" customHeight="1" x14ac:dyDescent="0.3">
      <c r="A3451" s="2" t="s">
        <v>352</v>
      </c>
      <c r="B3451" s="2" t="s">
        <v>985</v>
      </c>
      <c r="C3451" s="5" t="s">
        <v>5921</v>
      </c>
      <c r="D3451" s="2" t="s">
        <v>5922</v>
      </c>
    </row>
    <row r="3452" spans="1:4" ht="13.05" customHeight="1" x14ac:dyDescent="0.3">
      <c r="A3452" s="2" t="s">
        <v>352</v>
      </c>
      <c r="B3452" s="2" t="s">
        <v>985</v>
      </c>
      <c r="C3452" s="5" t="s">
        <v>5923</v>
      </c>
      <c r="D3452" s="2" t="s">
        <v>5865</v>
      </c>
    </row>
    <row r="3453" spans="1:4" ht="13.05" customHeight="1" x14ac:dyDescent="0.3">
      <c r="A3453" s="2" t="s">
        <v>352</v>
      </c>
      <c r="B3453" s="2" t="s">
        <v>985</v>
      </c>
      <c r="C3453" s="5" t="s">
        <v>5924</v>
      </c>
      <c r="D3453" s="2" t="s">
        <v>5925</v>
      </c>
    </row>
    <row r="3454" spans="1:4" ht="13.05" customHeight="1" x14ac:dyDescent="0.3">
      <c r="A3454" s="2" t="s">
        <v>352</v>
      </c>
      <c r="B3454" s="2" t="s">
        <v>985</v>
      </c>
      <c r="C3454" s="5" t="s">
        <v>5926</v>
      </c>
      <c r="D3454" s="2" t="s">
        <v>5927</v>
      </c>
    </row>
    <row r="3455" spans="1:4" ht="13.05" customHeight="1" x14ac:dyDescent="0.3">
      <c r="A3455" s="2" t="s">
        <v>352</v>
      </c>
      <c r="B3455" s="2" t="s">
        <v>985</v>
      </c>
      <c r="C3455" s="5" t="s">
        <v>5928</v>
      </c>
      <c r="D3455" s="2" t="s">
        <v>5929</v>
      </c>
    </row>
    <row r="3456" spans="1:4" ht="13.05" customHeight="1" x14ac:dyDescent="0.3">
      <c r="A3456" s="2" t="s">
        <v>352</v>
      </c>
      <c r="B3456" s="2" t="s">
        <v>985</v>
      </c>
      <c r="C3456" s="5" t="s">
        <v>5930</v>
      </c>
      <c r="D3456" s="2" t="s">
        <v>5931</v>
      </c>
    </row>
    <row r="3457" spans="1:4" ht="13.05" customHeight="1" x14ac:dyDescent="0.3">
      <c r="A3457" s="2" t="s">
        <v>352</v>
      </c>
      <c r="B3457" s="2" t="s">
        <v>985</v>
      </c>
      <c r="C3457" s="5" t="s">
        <v>5932</v>
      </c>
      <c r="D3457" s="2" t="s">
        <v>3676</v>
      </c>
    </row>
    <row r="3458" spans="1:4" ht="13.05" customHeight="1" x14ac:dyDescent="0.3">
      <c r="A3458" s="2" t="s">
        <v>352</v>
      </c>
      <c r="B3458" s="2" t="s">
        <v>985</v>
      </c>
      <c r="C3458" s="5" t="s">
        <v>5933</v>
      </c>
      <c r="D3458" s="2" t="s">
        <v>3489</v>
      </c>
    </row>
    <row r="3459" spans="1:4" ht="13.05" customHeight="1" x14ac:dyDescent="0.3">
      <c r="A3459" s="2" t="s">
        <v>352</v>
      </c>
      <c r="B3459" s="2" t="s">
        <v>985</v>
      </c>
      <c r="C3459" s="5" t="s">
        <v>5934</v>
      </c>
      <c r="D3459" s="2" t="s">
        <v>5935</v>
      </c>
    </row>
    <row r="3460" spans="1:4" ht="13.05" customHeight="1" x14ac:dyDescent="0.3">
      <c r="A3460" s="2" t="s">
        <v>352</v>
      </c>
      <c r="B3460" s="2" t="s">
        <v>985</v>
      </c>
      <c r="C3460" s="5" t="s">
        <v>5936</v>
      </c>
      <c r="D3460" s="2" t="s">
        <v>5937</v>
      </c>
    </row>
    <row r="3461" spans="1:4" ht="13.05" customHeight="1" x14ac:dyDescent="0.3">
      <c r="A3461" s="2" t="s">
        <v>352</v>
      </c>
      <c r="B3461" s="2" t="s">
        <v>985</v>
      </c>
      <c r="C3461" s="5" t="s">
        <v>5938</v>
      </c>
      <c r="D3461" s="2" t="s">
        <v>5939</v>
      </c>
    </row>
    <row r="3462" spans="1:4" ht="13.05" customHeight="1" x14ac:dyDescent="0.3">
      <c r="A3462" s="2" t="s">
        <v>352</v>
      </c>
      <c r="B3462" s="2" t="s">
        <v>985</v>
      </c>
      <c r="C3462" s="5" t="s">
        <v>5940</v>
      </c>
      <c r="D3462" s="2" t="s">
        <v>5941</v>
      </c>
    </row>
    <row r="3463" spans="1:4" ht="13.05" customHeight="1" x14ac:dyDescent="0.3">
      <c r="A3463" s="2" t="s">
        <v>352</v>
      </c>
      <c r="B3463" s="2" t="s">
        <v>985</v>
      </c>
      <c r="C3463" s="5" t="s">
        <v>5942</v>
      </c>
      <c r="D3463" s="2" t="s">
        <v>3681</v>
      </c>
    </row>
    <row r="3464" spans="1:4" ht="13.05" customHeight="1" x14ac:dyDescent="0.3">
      <c r="A3464" s="2" t="s">
        <v>352</v>
      </c>
      <c r="B3464" s="2" t="s">
        <v>985</v>
      </c>
      <c r="C3464" s="5" t="s">
        <v>5943</v>
      </c>
      <c r="D3464" s="2" t="s">
        <v>4640</v>
      </c>
    </row>
    <row r="3465" spans="1:4" ht="13.05" customHeight="1" x14ac:dyDescent="0.3">
      <c r="A3465" s="2" t="s">
        <v>352</v>
      </c>
      <c r="B3465" s="2" t="s">
        <v>985</v>
      </c>
      <c r="C3465" s="5" t="s">
        <v>5944</v>
      </c>
      <c r="D3465" s="2" t="s">
        <v>1015</v>
      </c>
    </row>
    <row r="3466" spans="1:4" ht="13.05" customHeight="1" x14ac:dyDescent="0.3">
      <c r="A3466" s="2" t="s">
        <v>352</v>
      </c>
      <c r="B3466" s="2" t="s">
        <v>985</v>
      </c>
      <c r="C3466" s="5" t="s">
        <v>5945</v>
      </c>
      <c r="D3466" s="2" t="s">
        <v>3312</v>
      </c>
    </row>
    <row r="3467" spans="1:4" ht="13.05" customHeight="1" x14ac:dyDescent="0.3">
      <c r="A3467" s="2" t="s">
        <v>352</v>
      </c>
      <c r="B3467" s="2" t="s">
        <v>985</v>
      </c>
      <c r="C3467" s="5" t="s">
        <v>5946</v>
      </c>
      <c r="D3467" s="2" t="s">
        <v>5947</v>
      </c>
    </row>
    <row r="3468" spans="1:4" ht="13.05" customHeight="1" x14ac:dyDescent="0.3">
      <c r="A3468" s="2" t="s">
        <v>355</v>
      </c>
      <c r="B3468" s="2" t="s">
        <v>985</v>
      </c>
      <c r="C3468" s="5" t="s">
        <v>974</v>
      </c>
      <c r="D3468" s="2" t="s">
        <v>975</v>
      </c>
    </row>
    <row r="3469" spans="1:4" ht="13.05" customHeight="1" x14ac:dyDescent="0.3">
      <c r="A3469" s="2" t="s">
        <v>355</v>
      </c>
      <c r="B3469" s="2" t="s">
        <v>985</v>
      </c>
      <c r="C3469" s="5" t="s">
        <v>960</v>
      </c>
      <c r="D3469" s="2" t="s">
        <v>961</v>
      </c>
    </row>
    <row r="3470" spans="1:4" ht="13.05" customHeight="1" x14ac:dyDescent="0.3">
      <c r="A3470" s="2" t="s">
        <v>358</v>
      </c>
      <c r="B3470" s="2" t="s">
        <v>1018</v>
      </c>
      <c r="C3470" s="5" t="s">
        <v>974</v>
      </c>
      <c r="D3470" s="2" t="s">
        <v>975</v>
      </c>
    </row>
    <row r="3471" spans="1:4" ht="13.05" customHeight="1" x14ac:dyDescent="0.3">
      <c r="A3471" s="2" t="s">
        <v>358</v>
      </c>
      <c r="B3471" s="2" t="s">
        <v>1018</v>
      </c>
      <c r="C3471" s="5" t="s">
        <v>962</v>
      </c>
      <c r="D3471" s="2" t="s">
        <v>5948</v>
      </c>
    </row>
    <row r="3472" spans="1:4" ht="13.05" customHeight="1" x14ac:dyDescent="0.3">
      <c r="A3472" s="2" t="s">
        <v>358</v>
      </c>
      <c r="B3472" s="2" t="s">
        <v>1018</v>
      </c>
      <c r="C3472" s="5" t="s">
        <v>964</v>
      </c>
      <c r="D3472" s="2" t="s">
        <v>5949</v>
      </c>
    </row>
    <row r="3473" spans="1:4" ht="13.05" customHeight="1" x14ac:dyDescent="0.3">
      <c r="A3473" s="2" t="s">
        <v>358</v>
      </c>
      <c r="B3473" s="2" t="s">
        <v>1018</v>
      </c>
      <c r="C3473" s="5" t="s">
        <v>966</v>
      </c>
      <c r="D3473" s="2" t="s">
        <v>5950</v>
      </c>
    </row>
    <row r="3474" spans="1:4" ht="13.05" customHeight="1" x14ac:dyDescent="0.3">
      <c r="A3474" s="2" t="s">
        <v>358</v>
      </c>
      <c r="B3474" s="2" t="s">
        <v>1018</v>
      </c>
      <c r="C3474" s="5" t="s">
        <v>968</v>
      </c>
      <c r="D3474" s="2" t="s">
        <v>5951</v>
      </c>
    </row>
    <row r="3475" spans="1:4" ht="13.05" customHeight="1" x14ac:dyDescent="0.3">
      <c r="A3475" s="2" t="s">
        <v>360</v>
      </c>
      <c r="B3475" s="2" t="s">
        <v>1018</v>
      </c>
      <c r="C3475" s="5" t="s">
        <v>974</v>
      </c>
      <c r="D3475" s="2" t="s">
        <v>975</v>
      </c>
    </row>
    <row r="3476" spans="1:4" ht="13.05" customHeight="1" x14ac:dyDescent="0.3">
      <c r="A3476" s="2" t="s">
        <v>360</v>
      </c>
      <c r="B3476" s="2" t="s">
        <v>1018</v>
      </c>
      <c r="C3476" s="5" t="s">
        <v>962</v>
      </c>
      <c r="D3476" s="2" t="s">
        <v>5952</v>
      </c>
    </row>
    <row r="3477" spans="1:4" ht="13.05" customHeight="1" x14ac:dyDescent="0.3">
      <c r="A3477" s="2" t="s">
        <v>360</v>
      </c>
      <c r="B3477" s="2" t="s">
        <v>1018</v>
      </c>
      <c r="C3477" s="5" t="s">
        <v>964</v>
      </c>
      <c r="D3477" s="2" t="s">
        <v>5953</v>
      </c>
    </row>
    <row r="3478" spans="1:4" ht="13.05" customHeight="1" x14ac:dyDescent="0.3">
      <c r="A3478" s="2" t="s">
        <v>360</v>
      </c>
      <c r="B3478" s="2" t="s">
        <v>1018</v>
      </c>
      <c r="C3478" s="5" t="s">
        <v>966</v>
      </c>
      <c r="D3478" s="2" t="s">
        <v>5954</v>
      </c>
    </row>
    <row r="3479" spans="1:4" ht="13.05" customHeight="1" x14ac:dyDescent="0.3">
      <c r="A3479" s="2" t="s">
        <v>360</v>
      </c>
      <c r="B3479" s="2" t="s">
        <v>1018</v>
      </c>
      <c r="C3479" s="5" t="s">
        <v>968</v>
      </c>
      <c r="D3479" s="2" t="s">
        <v>5955</v>
      </c>
    </row>
    <row r="3480" spans="1:4" ht="13.05" customHeight="1" x14ac:dyDescent="0.3">
      <c r="A3480" s="2" t="s">
        <v>360</v>
      </c>
      <c r="B3480" s="2" t="s">
        <v>1018</v>
      </c>
      <c r="C3480" s="5" t="s">
        <v>970</v>
      </c>
      <c r="D3480" s="2" t="s">
        <v>5956</v>
      </c>
    </row>
    <row r="3481" spans="1:4" ht="13.05" customHeight="1" x14ac:dyDescent="0.3">
      <c r="A3481" s="2" t="s">
        <v>360</v>
      </c>
      <c r="B3481" s="2" t="s">
        <v>1018</v>
      </c>
      <c r="C3481" s="5" t="s">
        <v>972</v>
      </c>
      <c r="D3481" s="2" t="s">
        <v>5957</v>
      </c>
    </row>
    <row r="3482" spans="1:4" ht="13.05" customHeight="1" x14ac:dyDescent="0.3">
      <c r="A3482" s="2" t="s">
        <v>362</v>
      </c>
      <c r="B3482" s="2" t="s">
        <v>955</v>
      </c>
      <c r="C3482" s="5" t="s">
        <v>974</v>
      </c>
      <c r="D3482" s="2" t="s">
        <v>975</v>
      </c>
    </row>
    <row r="3483" spans="1:4" ht="13.05" customHeight="1" x14ac:dyDescent="0.3">
      <c r="A3483" s="2" t="s">
        <v>362</v>
      </c>
      <c r="B3483" s="2" t="s">
        <v>955</v>
      </c>
      <c r="C3483" s="5" t="s">
        <v>956</v>
      </c>
      <c r="D3483" s="2" t="s">
        <v>1025</v>
      </c>
    </row>
    <row r="3484" spans="1:4" ht="13.05" customHeight="1" x14ac:dyDescent="0.3">
      <c r="A3484" s="2" t="s">
        <v>362</v>
      </c>
      <c r="B3484" s="2" t="s">
        <v>955</v>
      </c>
      <c r="C3484" s="5" t="s">
        <v>958</v>
      </c>
      <c r="D3484" s="2" t="s">
        <v>1019</v>
      </c>
    </row>
    <row r="3485" spans="1:4" ht="13.05" customHeight="1" x14ac:dyDescent="0.3">
      <c r="A3485" s="2" t="s">
        <v>365</v>
      </c>
      <c r="B3485" s="2" t="s">
        <v>955</v>
      </c>
      <c r="C3485" s="5" t="s">
        <v>974</v>
      </c>
      <c r="D3485" s="2" t="s">
        <v>975</v>
      </c>
    </row>
    <row r="3486" spans="1:4" ht="13.05" customHeight="1" x14ac:dyDescent="0.3">
      <c r="A3486" s="2" t="s">
        <v>365</v>
      </c>
      <c r="B3486" s="2" t="s">
        <v>955</v>
      </c>
      <c r="C3486" s="5" t="s">
        <v>956</v>
      </c>
      <c r="D3486" s="2" t="s">
        <v>1025</v>
      </c>
    </row>
    <row r="3487" spans="1:4" ht="13.05" customHeight="1" x14ac:dyDescent="0.3">
      <c r="A3487" s="2" t="s">
        <v>365</v>
      </c>
      <c r="B3487" s="2" t="s">
        <v>955</v>
      </c>
      <c r="C3487" s="5" t="s">
        <v>958</v>
      </c>
      <c r="D3487" s="2" t="s">
        <v>1019</v>
      </c>
    </row>
    <row r="3488" spans="1:4" ht="13.05" customHeight="1" x14ac:dyDescent="0.3">
      <c r="A3488" s="2" t="s">
        <v>365</v>
      </c>
      <c r="B3488" s="2" t="s">
        <v>955</v>
      </c>
      <c r="C3488" s="5" t="s">
        <v>960</v>
      </c>
      <c r="D3488" s="2" t="s">
        <v>961</v>
      </c>
    </row>
    <row r="3489" spans="1:4" ht="13.05" customHeight="1" x14ac:dyDescent="0.3">
      <c r="A3489" s="2" t="s">
        <v>368</v>
      </c>
      <c r="B3489" s="2" t="s">
        <v>1132</v>
      </c>
      <c r="C3489" s="5" t="s">
        <v>974</v>
      </c>
      <c r="D3489" s="2" t="s">
        <v>975</v>
      </c>
    </row>
    <row r="3490" spans="1:4" ht="13.05" customHeight="1" x14ac:dyDescent="0.3">
      <c r="A3490" s="2" t="s">
        <v>372</v>
      </c>
      <c r="B3490" s="2" t="s">
        <v>1132</v>
      </c>
      <c r="C3490" s="5" t="s">
        <v>974</v>
      </c>
      <c r="D3490" s="2" t="s">
        <v>975</v>
      </c>
    </row>
    <row r="3491" spans="1:4" ht="13.05" customHeight="1" x14ac:dyDescent="0.3">
      <c r="A3491" s="2" t="s">
        <v>374</v>
      </c>
      <c r="B3491" s="2" t="s">
        <v>1132</v>
      </c>
      <c r="C3491" s="5" t="s">
        <v>974</v>
      </c>
      <c r="D3491" s="2" t="s">
        <v>975</v>
      </c>
    </row>
    <row r="3492" spans="1:4" ht="13.05" customHeight="1" x14ac:dyDescent="0.3">
      <c r="A3492" s="2" t="s">
        <v>374</v>
      </c>
      <c r="B3492" s="2" t="s">
        <v>1132</v>
      </c>
      <c r="C3492" s="5" t="s">
        <v>956</v>
      </c>
      <c r="D3492" s="2" t="s">
        <v>1025</v>
      </c>
    </row>
    <row r="3493" spans="1:4" ht="13.05" customHeight="1" x14ac:dyDescent="0.3">
      <c r="A3493" s="2" t="s">
        <v>374</v>
      </c>
      <c r="B3493" s="2" t="s">
        <v>1132</v>
      </c>
      <c r="C3493" s="5" t="s">
        <v>958</v>
      </c>
      <c r="D3493" s="2" t="s">
        <v>1019</v>
      </c>
    </row>
    <row r="3494" spans="1:4" ht="13.05" customHeight="1" x14ac:dyDescent="0.3">
      <c r="A3494" s="2" t="s">
        <v>374</v>
      </c>
      <c r="B3494" s="2" t="s">
        <v>1132</v>
      </c>
      <c r="C3494" s="5" t="s">
        <v>960</v>
      </c>
      <c r="D3494" s="2" t="s">
        <v>961</v>
      </c>
    </row>
    <row r="3495" spans="1:4" ht="13.05" customHeight="1" x14ac:dyDescent="0.3">
      <c r="A3495" s="2" t="s">
        <v>377</v>
      </c>
      <c r="B3495" s="2" t="s">
        <v>955</v>
      </c>
      <c r="C3495" s="5" t="s">
        <v>974</v>
      </c>
      <c r="D3495" s="2" t="s">
        <v>975</v>
      </c>
    </row>
    <row r="3496" spans="1:4" ht="13.05" customHeight="1" x14ac:dyDescent="0.3">
      <c r="A3496" s="2" t="s">
        <v>377</v>
      </c>
      <c r="B3496" s="2" t="s">
        <v>955</v>
      </c>
      <c r="C3496" s="5" t="s">
        <v>956</v>
      </c>
      <c r="D3496" s="2" t="s">
        <v>957</v>
      </c>
    </row>
    <row r="3497" spans="1:4" ht="13.05" customHeight="1" x14ac:dyDescent="0.3">
      <c r="A3497" s="2" t="s">
        <v>377</v>
      </c>
      <c r="B3497" s="2" t="s">
        <v>955</v>
      </c>
      <c r="C3497" s="5" t="s">
        <v>958</v>
      </c>
      <c r="D3497" s="2" t="s">
        <v>959</v>
      </c>
    </row>
    <row r="3498" spans="1:4" ht="13.05" customHeight="1" x14ac:dyDescent="0.3">
      <c r="A3498" s="2" t="s">
        <v>380</v>
      </c>
      <c r="B3498" s="2" t="s">
        <v>955</v>
      </c>
      <c r="C3498" s="5" t="s">
        <v>974</v>
      </c>
      <c r="D3498" s="2" t="s">
        <v>975</v>
      </c>
    </row>
    <row r="3499" spans="1:4" ht="13.05" customHeight="1" x14ac:dyDescent="0.3">
      <c r="A3499" s="2" t="s">
        <v>380</v>
      </c>
      <c r="B3499" s="2" t="s">
        <v>955</v>
      </c>
      <c r="C3499" s="5" t="s">
        <v>956</v>
      </c>
      <c r="D3499" s="2" t="s">
        <v>957</v>
      </c>
    </row>
    <row r="3500" spans="1:4" ht="13.05" customHeight="1" x14ac:dyDescent="0.3">
      <c r="A3500" s="2" t="s">
        <v>380</v>
      </c>
      <c r="B3500" s="2" t="s">
        <v>955</v>
      </c>
      <c r="C3500" s="5" t="s">
        <v>958</v>
      </c>
      <c r="D3500" s="2" t="s">
        <v>959</v>
      </c>
    </row>
    <row r="3501" spans="1:4" ht="13.05" customHeight="1" x14ac:dyDescent="0.3">
      <c r="A3501" s="2" t="s">
        <v>380</v>
      </c>
      <c r="B3501" s="2" t="s">
        <v>955</v>
      </c>
      <c r="C3501" s="5" t="s">
        <v>960</v>
      </c>
      <c r="D3501" s="2" t="s">
        <v>961</v>
      </c>
    </row>
    <row r="3502" spans="1:4" ht="13.05" customHeight="1" x14ac:dyDescent="0.3">
      <c r="A3502" s="2" t="s">
        <v>380</v>
      </c>
      <c r="B3502" s="2" t="s">
        <v>955</v>
      </c>
      <c r="C3502" s="5" t="s">
        <v>962</v>
      </c>
      <c r="D3502" s="2" t="s">
        <v>5958</v>
      </c>
    </row>
    <row r="3503" spans="1:4" ht="13.05" customHeight="1" x14ac:dyDescent="0.3">
      <c r="A3503" s="2" t="s">
        <v>380</v>
      </c>
      <c r="B3503" s="2" t="s">
        <v>955</v>
      </c>
      <c r="C3503" s="5" t="s">
        <v>964</v>
      </c>
      <c r="D3503" s="2" t="s">
        <v>5959</v>
      </c>
    </row>
    <row r="3504" spans="1:4" ht="13.05" customHeight="1" x14ac:dyDescent="0.3">
      <c r="A3504" s="2" t="s">
        <v>380</v>
      </c>
      <c r="B3504" s="2" t="s">
        <v>955</v>
      </c>
      <c r="C3504" s="5" t="s">
        <v>966</v>
      </c>
      <c r="D3504" s="2" t="s">
        <v>5960</v>
      </c>
    </row>
    <row r="3505" spans="1:4" ht="13.05" customHeight="1" x14ac:dyDescent="0.3">
      <c r="A3505" s="2" t="s">
        <v>380</v>
      </c>
      <c r="B3505" s="2" t="s">
        <v>955</v>
      </c>
      <c r="C3505" s="5" t="s">
        <v>968</v>
      </c>
      <c r="D3505" s="2" t="s">
        <v>5961</v>
      </c>
    </row>
    <row r="3506" spans="1:4" ht="13.05" customHeight="1" x14ac:dyDescent="0.3">
      <c r="A3506" s="2" t="s">
        <v>380</v>
      </c>
      <c r="B3506" s="2" t="s">
        <v>955</v>
      </c>
      <c r="C3506" s="5" t="s">
        <v>983</v>
      </c>
      <c r="D3506" s="2" t="s">
        <v>1015</v>
      </c>
    </row>
    <row r="3507" spans="1:4" ht="13.05" customHeight="1" x14ac:dyDescent="0.3">
      <c r="A3507" s="2" t="s">
        <v>383</v>
      </c>
      <c r="B3507" s="2" t="s">
        <v>985</v>
      </c>
      <c r="C3507" s="5" t="s">
        <v>1146</v>
      </c>
      <c r="D3507" s="2" t="s">
        <v>957</v>
      </c>
    </row>
    <row r="3508" spans="1:4" ht="13.05" customHeight="1" x14ac:dyDescent="0.3">
      <c r="A3508" s="2" t="s">
        <v>383</v>
      </c>
      <c r="B3508" s="2" t="s">
        <v>985</v>
      </c>
      <c r="C3508" s="5" t="s">
        <v>1147</v>
      </c>
      <c r="D3508" s="2" t="s">
        <v>959</v>
      </c>
    </row>
    <row r="3509" spans="1:4" ht="13.05" customHeight="1" x14ac:dyDescent="0.3">
      <c r="A3509" s="2" t="s">
        <v>383</v>
      </c>
      <c r="B3509" s="2" t="s">
        <v>985</v>
      </c>
      <c r="C3509" s="5" t="s">
        <v>974</v>
      </c>
      <c r="D3509" s="2" t="s">
        <v>975</v>
      </c>
    </row>
    <row r="3510" spans="1:4" ht="13.05" customHeight="1" x14ac:dyDescent="0.3">
      <c r="A3510" s="2" t="s">
        <v>383</v>
      </c>
      <c r="B3510" s="2" t="s">
        <v>985</v>
      </c>
      <c r="C3510" s="5" t="s">
        <v>956</v>
      </c>
      <c r="D3510" s="2" t="s">
        <v>957</v>
      </c>
    </row>
    <row r="3511" spans="1:4" ht="13.05" customHeight="1" x14ac:dyDescent="0.3">
      <c r="A3511" s="2" t="s">
        <v>383</v>
      </c>
      <c r="B3511" s="2" t="s">
        <v>985</v>
      </c>
      <c r="C3511" s="5" t="s">
        <v>958</v>
      </c>
      <c r="D3511" s="2" t="s">
        <v>959</v>
      </c>
    </row>
    <row r="3512" spans="1:4" ht="13.05" customHeight="1" x14ac:dyDescent="0.3">
      <c r="A3512" s="2" t="s">
        <v>383</v>
      </c>
      <c r="B3512" s="2" t="s">
        <v>985</v>
      </c>
      <c r="C3512" s="5" t="s">
        <v>960</v>
      </c>
      <c r="D3512" s="2" t="s">
        <v>961</v>
      </c>
    </row>
    <row r="3513" spans="1:4" ht="13.05" customHeight="1" x14ac:dyDescent="0.3">
      <c r="A3513" s="2" t="s">
        <v>386</v>
      </c>
      <c r="B3513" s="2" t="s">
        <v>985</v>
      </c>
      <c r="C3513" s="5" t="s">
        <v>974</v>
      </c>
      <c r="D3513" s="2" t="s">
        <v>975</v>
      </c>
    </row>
    <row r="3514" spans="1:4" ht="13.05" customHeight="1" x14ac:dyDescent="0.3">
      <c r="A3514" s="2" t="s">
        <v>386</v>
      </c>
      <c r="B3514" s="2" t="s">
        <v>985</v>
      </c>
      <c r="C3514" s="5" t="s">
        <v>956</v>
      </c>
      <c r="D3514" s="2" t="s">
        <v>957</v>
      </c>
    </row>
    <row r="3515" spans="1:4" ht="13.05" customHeight="1" x14ac:dyDescent="0.3">
      <c r="A3515" s="2" t="s">
        <v>386</v>
      </c>
      <c r="B3515" s="2" t="s">
        <v>985</v>
      </c>
      <c r="C3515" s="5" t="s">
        <v>958</v>
      </c>
      <c r="D3515" s="2" t="s">
        <v>959</v>
      </c>
    </row>
    <row r="3516" spans="1:4" ht="13.05" customHeight="1" x14ac:dyDescent="0.3">
      <c r="A3516" s="2" t="s">
        <v>386</v>
      </c>
      <c r="B3516" s="2" t="s">
        <v>985</v>
      </c>
      <c r="C3516" s="5" t="s">
        <v>960</v>
      </c>
      <c r="D3516" s="2" t="s">
        <v>961</v>
      </c>
    </row>
    <row r="3517" spans="1:4" ht="13.05" customHeight="1" x14ac:dyDescent="0.3">
      <c r="A3517" s="2" t="s">
        <v>388</v>
      </c>
      <c r="B3517" s="2" t="s">
        <v>1018</v>
      </c>
      <c r="C3517" s="5" t="s">
        <v>956</v>
      </c>
      <c r="D3517" s="2" t="s">
        <v>1025</v>
      </c>
    </row>
    <row r="3518" spans="1:4" ht="13.05" customHeight="1" x14ac:dyDescent="0.3">
      <c r="A3518" s="2" t="s">
        <v>388</v>
      </c>
      <c r="B3518" s="2" t="s">
        <v>1018</v>
      </c>
      <c r="C3518" s="5" t="s">
        <v>958</v>
      </c>
      <c r="D3518" s="2" t="s">
        <v>959</v>
      </c>
    </row>
    <row r="3519" spans="1:4" ht="13.05" customHeight="1" x14ac:dyDescent="0.3">
      <c r="A3519" s="2" t="s">
        <v>388</v>
      </c>
      <c r="B3519" s="2" t="s">
        <v>1018</v>
      </c>
      <c r="C3519" s="5" t="s">
        <v>960</v>
      </c>
      <c r="D3519" s="2" t="s">
        <v>961</v>
      </c>
    </row>
    <row r="3520" spans="1:4" ht="13.05" customHeight="1" x14ac:dyDescent="0.3">
      <c r="A3520" s="2" t="s">
        <v>388</v>
      </c>
      <c r="B3520" s="2" t="s">
        <v>1018</v>
      </c>
      <c r="C3520" s="5" t="s">
        <v>962</v>
      </c>
      <c r="D3520" s="2" t="s">
        <v>1020</v>
      </c>
    </row>
    <row r="3521" spans="1:4" ht="13.05" customHeight="1" x14ac:dyDescent="0.3">
      <c r="A3521" s="2" t="s">
        <v>388</v>
      </c>
      <c r="B3521" s="2" t="s">
        <v>1018</v>
      </c>
      <c r="C3521" s="5" t="s">
        <v>964</v>
      </c>
      <c r="D3521" s="2" t="s">
        <v>1042</v>
      </c>
    </row>
    <row r="3522" spans="1:4" ht="13.05" customHeight="1" x14ac:dyDescent="0.3">
      <c r="A3522" s="2" t="s">
        <v>388</v>
      </c>
      <c r="B3522" s="2" t="s">
        <v>1018</v>
      </c>
      <c r="C3522" s="5" t="s">
        <v>966</v>
      </c>
      <c r="D3522" s="2" t="s">
        <v>1022</v>
      </c>
    </row>
    <row r="3523" spans="1:4" ht="13.05" customHeight="1" x14ac:dyDescent="0.3">
      <c r="A3523" s="2" t="s">
        <v>388</v>
      </c>
      <c r="B3523" s="2" t="s">
        <v>1018</v>
      </c>
      <c r="C3523" s="5" t="s">
        <v>968</v>
      </c>
      <c r="D3523" s="2" t="s">
        <v>1023</v>
      </c>
    </row>
    <row r="3524" spans="1:4" ht="13.05" customHeight="1" x14ac:dyDescent="0.3">
      <c r="A3524" s="2" t="s">
        <v>388</v>
      </c>
      <c r="B3524" s="2" t="s">
        <v>1018</v>
      </c>
      <c r="C3524" s="5" t="s">
        <v>970</v>
      </c>
      <c r="D3524" s="2" t="s">
        <v>5962</v>
      </c>
    </row>
    <row r="3525" spans="1:4" ht="13.05" customHeight="1" x14ac:dyDescent="0.3">
      <c r="A3525" s="2" t="s">
        <v>391</v>
      </c>
      <c r="B3525" s="2" t="s">
        <v>1018</v>
      </c>
      <c r="C3525" s="5" t="s">
        <v>974</v>
      </c>
      <c r="D3525" s="2" t="s">
        <v>975</v>
      </c>
    </row>
    <row r="3526" spans="1:4" ht="13.05" customHeight="1" x14ac:dyDescent="0.3">
      <c r="A3526" s="2" t="s">
        <v>391</v>
      </c>
      <c r="B3526" s="2" t="s">
        <v>1018</v>
      </c>
      <c r="C3526" s="5" t="s">
        <v>960</v>
      </c>
      <c r="D3526" s="2" t="s">
        <v>961</v>
      </c>
    </row>
    <row r="3527" spans="1:4" ht="13.05" customHeight="1" x14ac:dyDescent="0.3">
      <c r="A3527" s="2" t="s">
        <v>393</v>
      </c>
      <c r="B3527" s="2" t="s">
        <v>985</v>
      </c>
      <c r="C3527" s="5" t="s">
        <v>974</v>
      </c>
      <c r="D3527" s="2" t="s">
        <v>975</v>
      </c>
    </row>
    <row r="3528" spans="1:4" ht="13.05" customHeight="1" x14ac:dyDescent="0.3">
      <c r="A3528" s="2" t="s">
        <v>393</v>
      </c>
      <c r="B3528" s="2" t="s">
        <v>985</v>
      </c>
      <c r="C3528" s="5" t="s">
        <v>956</v>
      </c>
      <c r="D3528" s="2" t="s">
        <v>957</v>
      </c>
    </row>
    <row r="3529" spans="1:4" ht="13.05" customHeight="1" x14ac:dyDescent="0.3">
      <c r="A3529" s="2" t="s">
        <v>393</v>
      </c>
      <c r="B3529" s="2" t="s">
        <v>985</v>
      </c>
      <c r="C3529" s="5" t="s">
        <v>958</v>
      </c>
      <c r="D3529" s="2" t="s">
        <v>959</v>
      </c>
    </row>
    <row r="3530" spans="1:4" ht="13.05" customHeight="1" x14ac:dyDescent="0.3">
      <c r="A3530" s="2" t="s">
        <v>393</v>
      </c>
      <c r="B3530" s="2" t="s">
        <v>985</v>
      </c>
      <c r="C3530" s="5" t="s">
        <v>960</v>
      </c>
      <c r="D3530" s="2" t="s">
        <v>961</v>
      </c>
    </row>
    <row r="3531" spans="1:4" ht="13.05" customHeight="1" x14ac:dyDescent="0.3">
      <c r="A3531" s="2" t="s">
        <v>395</v>
      </c>
      <c r="B3531" s="2" t="s">
        <v>985</v>
      </c>
      <c r="C3531" s="5" t="s">
        <v>1146</v>
      </c>
      <c r="D3531" s="2" t="s">
        <v>1025</v>
      </c>
    </row>
    <row r="3532" spans="1:4" ht="13.05" customHeight="1" x14ac:dyDescent="0.3">
      <c r="A3532" s="2" t="s">
        <v>395</v>
      </c>
      <c r="B3532" s="2" t="s">
        <v>985</v>
      </c>
      <c r="C3532" s="5" t="s">
        <v>1147</v>
      </c>
      <c r="D3532" s="2" t="s">
        <v>959</v>
      </c>
    </row>
    <row r="3533" spans="1:4" ht="13.05" customHeight="1" x14ac:dyDescent="0.3">
      <c r="A3533" s="2" t="s">
        <v>395</v>
      </c>
      <c r="B3533" s="2" t="s">
        <v>985</v>
      </c>
      <c r="C3533" s="5" t="s">
        <v>974</v>
      </c>
      <c r="D3533" s="2" t="s">
        <v>975</v>
      </c>
    </row>
    <row r="3534" spans="1:4" ht="13.05" customHeight="1" x14ac:dyDescent="0.3">
      <c r="A3534" s="2" t="s">
        <v>395</v>
      </c>
      <c r="B3534" s="2" t="s">
        <v>985</v>
      </c>
      <c r="C3534" s="5" t="s">
        <v>956</v>
      </c>
      <c r="D3534" s="2" t="s">
        <v>1025</v>
      </c>
    </row>
    <row r="3535" spans="1:4" ht="13.05" customHeight="1" x14ac:dyDescent="0.3">
      <c r="A3535" s="2" t="s">
        <v>395</v>
      </c>
      <c r="B3535" s="2" t="s">
        <v>985</v>
      </c>
      <c r="C3535" s="5" t="s">
        <v>958</v>
      </c>
      <c r="D3535" s="2" t="s">
        <v>959</v>
      </c>
    </row>
    <row r="3536" spans="1:4" ht="13.05" customHeight="1" x14ac:dyDescent="0.3">
      <c r="A3536" s="2" t="s">
        <v>398</v>
      </c>
      <c r="B3536" s="2" t="s">
        <v>985</v>
      </c>
      <c r="C3536" s="5" t="s">
        <v>974</v>
      </c>
      <c r="D3536" s="2" t="s">
        <v>975</v>
      </c>
    </row>
    <row r="3537" spans="1:4" ht="13.05" customHeight="1" x14ac:dyDescent="0.3">
      <c r="A3537" s="2" t="s">
        <v>398</v>
      </c>
      <c r="B3537" s="2" t="s">
        <v>985</v>
      </c>
      <c r="C3537" s="5" t="s">
        <v>956</v>
      </c>
      <c r="D3537" s="2" t="s">
        <v>957</v>
      </c>
    </row>
    <row r="3538" spans="1:4" ht="13.05" customHeight="1" x14ac:dyDescent="0.3">
      <c r="A3538" s="2" t="s">
        <v>398</v>
      </c>
      <c r="B3538" s="2" t="s">
        <v>985</v>
      </c>
      <c r="C3538" s="5" t="s">
        <v>958</v>
      </c>
      <c r="D3538" s="2" t="s">
        <v>959</v>
      </c>
    </row>
    <row r="3539" spans="1:4" ht="13.05" customHeight="1" x14ac:dyDescent="0.3">
      <c r="A3539" s="2" t="s">
        <v>398</v>
      </c>
      <c r="B3539" s="2" t="s">
        <v>985</v>
      </c>
      <c r="C3539" s="5" t="s">
        <v>960</v>
      </c>
      <c r="D3539" s="2" t="s">
        <v>961</v>
      </c>
    </row>
    <row r="3540" spans="1:4" ht="13.05" customHeight="1" x14ac:dyDescent="0.3">
      <c r="A3540" s="2" t="s">
        <v>402</v>
      </c>
      <c r="B3540" s="2" t="s">
        <v>1132</v>
      </c>
      <c r="C3540" s="5" t="s">
        <v>960</v>
      </c>
      <c r="D3540" s="2" t="s">
        <v>961</v>
      </c>
    </row>
    <row r="3541" spans="1:4" ht="13.05" customHeight="1" x14ac:dyDescent="0.3">
      <c r="A3541" s="2" t="s">
        <v>402</v>
      </c>
      <c r="B3541" s="2" t="s">
        <v>1132</v>
      </c>
      <c r="C3541" s="5" t="s">
        <v>962</v>
      </c>
      <c r="D3541" s="2" t="s">
        <v>1039</v>
      </c>
    </row>
    <row r="3542" spans="1:4" ht="13.05" customHeight="1" x14ac:dyDescent="0.3">
      <c r="A3542" s="2" t="s">
        <v>402</v>
      </c>
      <c r="B3542" s="2" t="s">
        <v>1132</v>
      </c>
      <c r="C3542" s="5" t="s">
        <v>964</v>
      </c>
      <c r="D3542" s="2" t="s">
        <v>1040</v>
      </c>
    </row>
    <row r="3543" spans="1:4" ht="13.05" customHeight="1" x14ac:dyDescent="0.3">
      <c r="A3543" s="2" t="s">
        <v>404</v>
      </c>
      <c r="B3543" s="2" t="s">
        <v>1132</v>
      </c>
      <c r="C3543" s="5" t="s">
        <v>960</v>
      </c>
      <c r="D3543" s="2" t="s">
        <v>961</v>
      </c>
    </row>
    <row r="3544" spans="1:4" ht="13.05" customHeight="1" x14ac:dyDescent="0.3">
      <c r="A3544" s="2" t="s">
        <v>404</v>
      </c>
      <c r="B3544" s="2" t="s">
        <v>1132</v>
      </c>
      <c r="C3544" s="5" t="s">
        <v>962</v>
      </c>
      <c r="D3544" s="2" t="s">
        <v>1039</v>
      </c>
    </row>
    <row r="3545" spans="1:4" ht="13.05" customHeight="1" x14ac:dyDescent="0.3">
      <c r="A3545" s="2" t="s">
        <v>404</v>
      </c>
      <c r="B3545" s="2" t="s">
        <v>1132</v>
      </c>
      <c r="C3545" s="5" t="s">
        <v>964</v>
      </c>
      <c r="D3545" s="2" t="s">
        <v>1040</v>
      </c>
    </row>
    <row r="3546" spans="1:4" ht="13.05" customHeight="1" x14ac:dyDescent="0.3">
      <c r="A3546" s="2" t="s">
        <v>406</v>
      </c>
      <c r="B3546" s="2" t="s">
        <v>1132</v>
      </c>
      <c r="C3546" s="5" t="s">
        <v>960</v>
      </c>
      <c r="D3546" s="2" t="s">
        <v>961</v>
      </c>
    </row>
    <row r="3547" spans="1:4" ht="13.05" customHeight="1" x14ac:dyDescent="0.3">
      <c r="A3547" s="2" t="s">
        <v>406</v>
      </c>
      <c r="B3547" s="2" t="s">
        <v>1132</v>
      </c>
      <c r="C3547" s="5" t="s">
        <v>962</v>
      </c>
      <c r="D3547" s="2" t="s">
        <v>1039</v>
      </c>
    </row>
    <row r="3548" spans="1:4" ht="13.05" customHeight="1" x14ac:dyDescent="0.3">
      <c r="A3548" s="2" t="s">
        <v>406</v>
      </c>
      <c r="B3548" s="2" t="s">
        <v>1132</v>
      </c>
      <c r="C3548" s="5" t="s">
        <v>964</v>
      </c>
      <c r="D3548" s="2" t="s">
        <v>1040</v>
      </c>
    </row>
    <row r="3549" spans="1:4" ht="13.05" customHeight="1" x14ac:dyDescent="0.3">
      <c r="A3549" s="2" t="s">
        <v>408</v>
      </c>
      <c r="B3549" s="2" t="s">
        <v>1132</v>
      </c>
      <c r="C3549" s="5" t="s">
        <v>960</v>
      </c>
      <c r="D3549" s="2" t="s">
        <v>961</v>
      </c>
    </row>
    <row r="3550" spans="1:4" ht="13.05" customHeight="1" x14ac:dyDescent="0.3">
      <c r="A3550" s="2" t="s">
        <v>408</v>
      </c>
      <c r="B3550" s="2" t="s">
        <v>1132</v>
      </c>
      <c r="C3550" s="5" t="s">
        <v>962</v>
      </c>
      <c r="D3550" s="2" t="s">
        <v>1039</v>
      </c>
    </row>
    <row r="3551" spans="1:4" ht="13.05" customHeight="1" x14ac:dyDescent="0.3">
      <c r="A3551" s="2" t="s">
        <v>408</v>
      </c>
      <c r="B3551" s="2" t="s">
        <v>1132</v>
      </c>
      <c r="C3551" s="5" t="s">
        <v>964</v>
      </c>
      <c r="D3551" s="2" t="s">
        <v>1040</v>
      </c>
    </row>
    <row r="3552" spans="1:4" ht="13.05" customHeight="1" x14ac:dyDescent="0.3">
      <c r="A3552" s="2" t="s">
        <v>410</v>
      </c>
      <c r="B3552" s="2" t="s">
        <v>1132</v>
      </c>
      <c r="C3552" s="5" t="s">
        <v>960</v>
      </c>
      <c r="D3552" s="2" t="s">
        <v>961</v>
      </c>
    </row>
    <row r="3553" spans="1:4" ht="13.05" customHeight="1" x14ac:dyDescent="0.3">
      <c r="A3553" s="2" t="s">
        <v>410</v>
      </c>
      <c r="B3553" s="2" t="s">
        <v>1132</v>
      </c>
      <c r="C3553" s="5" t="s">
        <v>962</v>
      </c>
      <c r="D3553" s="2" t="s">
        <v>1039</v>
      </c>
    </row>
    <row r="3554" spans="1:4" ht="13.05" customHeight="1" x14ac:dyDescent="0.3">
      <c r="A3554" s="2" t="s">
        <v>410</v>
      </c>
      <c r="B3554" s="2" t="s">
        <v>1132</v>
      </c>
      <c r="C3554" s="5" t="s">
        <v>964</v>
      </c>
      <c r="D3554" s="2" t="s">
        <v>1040</v>
      </c>
    </row>
    <row r="3555" spans="1:4" ht="13.05" customHeight="1" x14ac:dyDescent="0.3">
      <c r="A3555" s="2" t="s">
        <v>412</v>
      </c>
      <c r="B3555" s="2" t="s">
        <v>1132</v>
      </c>
      <c r="C3555" s="5" t="s">
        <v>960</v>
      </c>
      <c r="D3555" s="2" t="s">
        <v>961</v>
      </c>
    </row>
    <row r="3556" spans="1:4" ht="13.05" customHeight="1" x14ac:dyDescent="0.3">
      <c r="A3556" s="2" t="s">
        <v>412</v>
      </c>
      <c r="B3556" s="2" t="s">
        <v>1132</v>
      </c>
      <c r="C3556" s="5" t="s">
        <v>962</v>
      </c>
      <c r="D3556" s="2" t="s">
        <v>1039</v>
      </c>
    </row>
    <row r="3557" spans="1:4" ht="13.05" customHeight="1" x14ac:dyDescent="0.3">
      <c r="A3557" s="2" t="s">
        <v>412</v>
      </c>
      <c r="B3557" s="2" t="s">
        <v>1132</v>
      </c>
      <c r="C3557" s="5" t="s">
        <v>964</v>
      </c>
      <c r="D3557" s="2" t="s">
        <v>1040</v>
      </c>
    </row>
    <row r="3558" spans="1:4" ht="13.05" customHeight="1" x14ac:dyDescent="0.3">
      <c r="A3558" s="2" t="s">
        <v>414</v>
      </c>
      <c r="B3558" s="2" t="s">
        <v>1132</v>
      </c>
      <c r="C3558" s="5" t="s">
        <v>960</v>
      </c>
      <c r="D3558" s="2" t="s">
        <v>961</v>
      </c>
    </row>
    <row r="3559" spans="1:4" ht="13.05" customHeight="1" x14ac:dyDescent="0.3">
      <c r="A3559" s="2" t="s">
        <v>414</v>
      </c>
      <c r="B3559" s="2" t="s">
        <v>1132</v>
      </c>
      <c r="C3559" s="5" t="s">
        <v>962</v>
      </c>
      <c r="D3559" s="2" t="s">
        <v>1039</v>
      </c>
    </row>
    <row r="3560" spans="1:4" ht="13.05" customHeight="1" x14ac:dyDescent="0.3">
      <c r="A3560" s="2" t="s">
        <v>414</v>
      </c>
      <c r="B3560" s="2" t="s">
        <v>1132</v>
      </c>
      <c r="C3560" s="5" t="s">
        <v>964</v>
      </c>
      <c r="D3560" s="2" t="s">
        <v>1040</v>
      </c>
    </row>
    <row r="3561" spans="1:4" ht="13.05" customHeight="1" x14ac:dyDescent="0.3">
      <c r="A3561" s="2" t="s">
        <v>416</v>
      </c>
      <c r="B3561" s="2" t="s">
        <v>1132</v>
      </c>
      <c r="C3561" s="5" t="s">
        <v>960</v>
      </c>
      <c r="D3561" s="2" t="s">
        <v>961</v>
      </c>
    </row>
    <row r="3562" spans="1:4" ht="13.05" customHeight="1" x14ac:dyDescent="0.3">
      <c r="A3562" s="2" t="s">
        <v>416</v>
      </c>
      <c r="B3562" s="2" t="s">
        <v>1132</v>
      </c>
      <c r="C3562" s="5" t="s">
        <v>962</v>
      </c>
      <c r="D3562" s="2" t="s">
        <v>1039</v>
      </c>
    </row>
    <row r="3563" spans="1:4" ht="13.05" customHeight="1" x14ac:dyDescent="0.3">
      <c r="A3563" s="2" t="s">
        <v>416</v>
      </c>
      <c r="B3563" s="2" t="s">
        <v>1132</v>
      </c>
      <c r="C3563" s="5" t="s">
        <v>964</v>
      </c>
      <c r="D3563" s="2" t="s">
        <v>1040</v>
      </c>
    </row>
    <row r="3564" spans="1:4" ht="13.05" customHeight="1" x14ac:dyDescent="0.3">
      <c r="A3564" s="2" t="s">
        <v>418</v>
      </c>
      <c r="B3564" s="2" t="s">
        <v>1132</v>
      </c>
      <c r="C3564" s="5" t="s">
        <v>960</v>
      </c>
      <c r="D3564" s="2" t="s">
        <v>961</v>
      </c>
    </row>
    <row r="3565" spans="1:4" ht="13.05" customHeight="1" x14ac:dyDescent="0.3">
      <c r="A3565" s="2" t="s">
        <v>418</v>
      </c>
      <c r="B3565" s="2" t="s">
        <v>1132</v>
      </c>
      <c r="C3565" s="5" t="s">
        <v>962</v>
      </c>
      <c r="D3565" s="2" t="s">
        <v>1039</v>
      </c>
    </row>
    <row r="3566" spans="1:4" ht="13.05" customHeight="1" x14ac:dyDescent="0.3">
      <c r="A3566" s="2" t="s">
        <v>418</v>
      </c>
      <c r="B3566" s="2" t="s">
        <v>1132</v>
      </c>
      <c r="C3566" s="5" t="s">
        <v>964</v>
      </c>
      <c r="D3566" s="2" t="s">
        <v>1040</v>
      </c>
    </row>
    <row r="3567" spans="1:4" ht="13.05" customHeight="1" x14ac:dyDescent="0.3">
      <c r="A3567" s="2" t="s">
        <v>420</v>
      </c>
      <c r="B3567" s="2" t="s">
        <v>1132</v>
      </c>
      <c r="C3567" s="5" t="s">
        <v>960</v>
      </c>
      <c r="D3567" s="2" t="s">
        <v>961</v>
      </c>
    </row>
    <row r="3568" spans="1:4" ht="13.05" customHeight="1" x14ac:dyDescent="0.3">
      <c r="A3568" s="2" t="s">
        <v>420</v>
      </c>
      <c r="B3568" s="2" t="s">
        <v>1132</v>
      </c>
      <c r="C3568" s="5" t="s">
        <v>962</v>
      </c>
      <c r="D3568" s="2" t="s">
        <v>1039</v>
      </c>
    </row>
    <row r="3569" spans="1:4" ht="13.05" customHeight="1" x14ac:dyDescent="0.3">
      <c r="A3569" s="2" t="s">
        <v>420</v>
      </c>
      <c r="B3569" s="2" t="s">
        <v>1132</v>
      </c>
      <c r="C3569" s="5" t="s">
        <v>964</v>
      </c>
      <c r="D3569" s="2" t="s">
        <v>1040</v>
      </c>
    </row>
    <row r="3570" spans="1:4" ht="13.05" customHeight="1" x14ac:dyDescent="0.3">
      <c r="A3570" s="2" t="s">
        <v>422</v>
      </c>
      <c r="B3570" s="2" t="s">
        <v>1132</v>
      </c>
      <c r="C3570" s="5" t="s">
        <v>960</v>
      </c>
      <c r="D3570" s="2" t="s">
        <v>961</v>
      </c>
    </row>
    <row r="3571" spans="1:4" ht="13.05" customHeight="1" x14ac:dyDescent="0.3">
      <c r="A3571" s="2" t="s">
        <v>422</v>
      </c>
      <c r="B3571" s="2" t="s">
        <v>1132</v>
      </c>
      <c r="C3571" s="5" t="s">
        <v>962</v>
      </c>
      <c r="D3571" s="2" t="s">
        <v>1039</v>
      </c>
    </row>
    <row r="3572" spans="1:4" ht="13.05" customHeight="1" x14ac:dyDescent="0.3">
      <c r="A3572" s="2" t="s">
        <v>422</v>
      </c>
      <c r="B3572" s="2" t="s">
        <v>1132</v>
      </c>
      <c r="C3572" s="5" t="s">
        <v>964</v>
      </c>
      <c r="D3572" s="2" t="s">
        <v>1040</v>
      </c>
    </row>
    <row r="3573" spans="1:4" ht="13.05" customHeight="1" x14ac:dyDescent="0.3">
      <c r="A3573" s="2" t="s">
        <v>424</v>
      </c>
      <c r="B3573" s="2" t="s">
        <v>1132</v>
      </c>
      <c r="C3573" s="5" t="s">
        <v>960</v>
      </c>
      <c r="D3573" s="2" t="s">
        <v>961</v>
      </c>
    </row>
    <row r="3574" spans="1:4" ht="13.05" customHeight="1" x14ac:dyDescent="0.3">
      <c r="A3574" s="2" t="s">
        <v>424</v>
      </c>
      <c r="B3574" s="2" t="s">
        <v>1132</v>
      </c>
      <c r="C3574" s="5" t="s">
        <v>962</v>
      </c>
      <c r="D3574" s="2" t="s">
        <v>1039</v>
      </c>
    </row>
    <row r="3575" spans="1:4" ht="13.05" customHeight="1" x14ac:dyDescent="0.3">
      <c r="A3575" s="2" t="s">
        <v>424</v>
      </c>
      <c r="B3575" s="2" t="s">
        <v>1132</v>
      </c>
      <c r="C3575" s="5" t="s">
        <v>964</v>
      </c>
      <c r="D3575" s="2" t="s">
        <v>1040</v>
      </c>
    </row>
    <row r="3576" spans="1:4" ht="13.05" customHeight="1" x14ac:dyDescent="0.3">
      <c r="A3576" s="2" t="s">
        <v>426</v>
      </c>
      <c r="B3576" s="2" t="s">
        <v>1132</v>
      </c>
      <c r="C3576" s="5" t="s">
        <v>960</v>
      </c>
      <c r="D3576" s="2" t="s">
        <v>961</v>
      </c>
    </row>
    <row r="3577" spans="1:4" ht="13.05" customHeight="1" x14ac:dyDescent="0.3">
      <c r="A3577" s="2" t="s">
        <v>426</v>
      </c>
      <c r="B3577" s="2" t="s">
        <v>1132</v>
      </c>
      <c r="C3577" s="5" t="s">
        <v>962</v>
      </c>
      <c r="D3577" s="2" t="s">
        <v>1039</v>
      </c>
    </row>
    <row r="3578" spans="1:4" ht="13.05" customHeight="1" x14ac:dyDescent="0.3">
      <c r="A3578" s="2" t="s">
        <v>426</v>
      </c>
      <c r="B3578" s="2" t="s">
        <v>1132</v>
      </c>
      <c r="C3578" s="5" t="s">
        <v>964</v>
      </c>
      <c r="D3578" s="2" t="s">
        <v>1040</v>
      </c>
    </row>
    <row r="3579" spans="1:4" ht="13.05" customHeight="1" x14ac:dyDescent="0.3">
      <c r="A3579" s="2" t="s">
        <v>428</v>
      </c>
      <c r="B3579" s="2" t="s">
        <v>1132</v>
      </c>
      <c r="C3579" s="5" t="s">
        <v>960</v>
      </c>
      <c r="D3579" s="2" t="s">
        <v>961</v>
      </c>
    </row>
    <row r="3580" spans="1:4" ht="13.05" customHeight="1" x14ac:dyDescent="0.3">
      <c r="A3580" s="2" t="s">
        <v>428</v>
      </c>
      <c r="B3580" s="2" t="s">
        <v>1132</v>
      </c>
      <c r="C3580" s="5" t="s">
        <v>962</v>
      </c>
      <c r="D3580" s="2" t="s">
        <v>1039</v>
      </c>
    </row>
    <row r="3581" spans="1:4" ht="13.05" customHeight="1" x14ac:dyDescent="0.3">
      <c r="A3581" s="2" t="s">
        <v>428</v>
      </c>
      <c r="B3581" s="2" t="s">
        <v>1132</v>
      </c>
      <c r="C3581" s="5" t="s">
        <v>964</v>
      </c>
      <c r="D3581" s="2" t="s">
        <v>1040</v>
      </c>
    </row>
    <row r="3582" spans="1:4" ht="13.05" customHeight="1" x14ac:dyDescent="0.3">
      <c r="A3582" s="2" t="s">
        <v>430</v>
      </c>
      <c r="B3582" s="2" t="s">
        <v>1132</v>
      </c>
      <c r="C3582" s="5" t="s">
        <v>960</v>
      </c>
      <c r="D3582" s="2" t="s">
        <v>961</v>
      </c>
    </row>
    <row r="3583" spans="1:4" ht="13.05" customHeight="1" x14ac:dyDescent="0.3">
      <c r="A3583" s="2" t="s">
        <v>430</v>
      </c>
      <c r="B3583" s="2" t="s">
        <v>1132</v>
      </c>
      <c r="C3583" s="5" t="s">
        <v>962</v>
      </c>
      <c r="D3583" s="2" t="s">
        <v>1039</v>
      </c>
    </row>
    <row r="3584" spans="1:4" ht="13.05" customHeight="1" x14ac:dyDescent="0.3">
      <c r="A3584" s="2" t="s">
        <v>430</v>
      </c>
      <c r="B3584" s="2" t="s">
        <v>1132</v>
      </c>
      <c r="C3584" s="5" t="s">
        <v>964</v>
      </c>
      <c r="D3584" s="2" t="s">
        <v>1040</v>
      </c>
    </row>
    <row r="3585" spans="1:4" ht="13.05" customHeight="1" x14ac:dyDescent="0.3">
      <c r="A3585" s="2" t="s">
        <v>432</v>
      </c>
      <c r="B3585" s="2" t="s">
        <v>955</v>
      </c>
      <c r="C3585" s="5" t="s">
        <v>962</v>
      </c>
      <c r="D3585" s="2" t="s">
        <v>1039</v>
      </c>
    </row>
    <row r="3586" spans="1:4" ht="13.05" customHeight="1" x14ac:dyDescent="0.3">
      <c r="A3586" s="2" t="s">
        <v>432</v>
      </c>
      <c r="B3586" s="2" t="s">
        <v>955</v>
      </c>
      <c r="C3586" s="5" t="s">
        <v>964</v>
      </c>
      <c r="D3586" s="2" t="s">
        <v>1040</v>
      </c>
    </row>
    <row r="3587" spans="1:4" ht="13.05" customHeight="1" x14ac:dyDescent="0.3">
      <c r="A3587" s="2" t="s">
        <v>434</v>
      </c>
      <c r="B3587" s="2" t="s">
        <v>955</v>
      </c>
      <c r="C3587" s="5" t="s">
        <v>962</v>
      </c>
      <c r="D3587" s="2" t="s">
        <v>1039</v>
      </c>
    </row>
    <row r="3588" spans="1:4" ht="13.05" customHeight="1" x14ac:dyDescent="0.3">
      <c r="A3588" s="2" t="s">
        <v>434</v>
      </c>
      <c r="B3588" s="2" t="s">
        <v>955</v>
      </c>
      <c r="C3588" s="5" t="s">
        <v>964</v>
      </c>
      <c r="D3588" s="2" t="s">
        <v>1040</v>
      </c>
    </row>
    <row r="3589" spans="1:4" ht="13.05" customHeight="1" x14ac:dyDescent="0.3">
      <c r="A3589" s="2" t="s">
        <v>436</v>
      </c>
      <c r="B3589" s="2" t="s">
        <v>1018</v>
      </c>
      <c r="C3589" s="5" t="s">
        <v>956</v>
      </c>
      <c r="D3589" s="2" t="s">
        <v>1025</v>
      </c>
    </row>
    <row r="3590" spans="1:4" ht="13.05" customHeight="1" x14ac:dyDescent="0.3">
      <c r="A3590" s="2" t="s">
        <v>436</v>
      </c>
      <c r="B3590" s="2" t="s">
        <v>1018</v>
      </c>
      <c r="C3590" s="5" t="s">
        <v>958</v>
      </c>
      <c r="D3590" s="2" t="s">
        <v>959</v>
      </c>
    </row>
    <row r="3591" spans="1:4" ht="13.05" customHeight="1" x14ac:dyDescent="0.3">
      <c r="A3591" s="2" t="s">
        <v>436</v>
      </c>
      <c r="B3591" s="2" t="s">
        <v>1018</v>
      </c>
      <c r="C3591" s="5" t="s">
        <v>960</v>
      </c>
      <c r="D3591" s="2" t="s">
        <v>961</v>
      </c>
    </row>
    <row r="3592" spans="1:4" ht="13.05" customHeight="1" x14ac:dyDescent="0.3">
      <c r="A3592" s="2" t="s">
        <v>436</v>
      </c>
      <c r="B3592" s="2" t="s">
        <v>1018</v>
      </c>
      <c r="C3592" s="5" t="s">
        <v>962</v>
      </c>
      <c r="D3592" s="2" t="s">
        <v>1020</v>
      </c>
    </row>
    <row r="3593" spans="1:4" ht="13.05" customHeight="1" x14ac:dyDescent="0.3">
      <c r="A3593" s="2" t="s">
        <v>436</v>
      </c>
      <c r="B3593" s="2" t="s">
        <v>1018</v>
      </c>
      <c r="C3593" s="5" t="s">
        <v>964</v>
      </c>
      <c r="D3593" s="2" t="s">
        <v>1042</v>
      </c>
    </row>
    <row r="3594" spans="1:4" ht="13.05" customHeight="1" x14ac:dyDescent="0.3">
      <c r="A3594" s="2" t="s">
        <v>436</v>
      </c>
      <c r="B3594" s="2" t="s">
        <v>1018</v>
      </c>
      <c r="C3594" s="5" t="s">
        <v>966</v>
      </c>
      <c r="D3594" s="2" t="s">
        <v>1022</v>
      </c>
    </row>
    <row r="3595" spans="1:4" ht="13.05" customHeight="1" x14ac:dyDescent="0.3">
      <c r="A3595" s="2" t="s">
        <v>436</v>
      </c>
      <c r="B3595" s="2" t="s">
        <v>1018</v>
      </c>
      <c r="C3595" s="5" t="s">
        <v>968</v>
      </c>
      <c r="D3595" s="2" t="s">
        <v>1023</v>
      </c>
    </row>
    <row r="3596" spans="1:4" ht="13.05" customHeight="1" x14ac:dyDescent="0.3">
      <c r="A3596" s="2" t="s">
        <v>436</v>
      </c>
      <c r="B3596" s="2" t="s">
        <v>1018</v>
      </c>
      <c r="C3596" s="5" t="s">
        <v>970</v>
      </c>
      <c r="D3596" s="2" t="s">
        <v>5962</v>
      </c>
    </row>
    <row r="3597" spans="1:4" ht="13.05" customHeight="1" x14ac:dyDescent="0.3">
      <c r="A3597" s="2" t="s">
        <v>439</v>
      </c>
      <c r="B3597" s="2" t="s">
        <v>955</v>
      </c>
      <c r="C3597" s="5" t="s">
        <v>956</v>
      </c>
      <c r="D3597" s="2" t="s">
        <v>1025</v>
      </c>
    </row>
    <row r="3598" spans="1:4" ht="13.05" customHeight="1" x14ac:dyDescent="0.3">
      <c r="A3598" s="2" t="s">
        <v>439</v>
      </c>
      <c r="B3598" s="2" t="s">
        <v>955</v>
      </c>
      <c r="C3598" s="5" t="s">
        <v>958</v>
      </c>
      <c r="D3598" s="2" t="s">
        <v>1019</v>
      </c>
    </row>
    <row r="3599" spans="1:4" ht="13.05" customHeight="1" x14ac:dyDescent="0.3">
      <c r="A3599" s="2" t="s">
        <v>439</v>
      </c>
      <c r="B3599" s="2" t="s">
        <v>955</v>
      </c>
      <c r="C3599" s="5" t="s">
        <v>960</v>
      </c>
      <c r="D3599" s="2" t="s">
        <v>961</v>
      </c>
    </row>
    <row r="3600" spans="1:4" ht="13.05" customHeight="1" x14ac:dyDescent="0.3">
      <c r="A3600" s="2" t="s">
        <v>439</v>
      </c>
      <c r="B3600" s="2" t="s">
        <v>955</v>
      </c>
      <c r="C3600" s="5" t="s">
        <v>962</v>
      </c>
      <c r="D3600" s="2" t="s">
        <v>1039</v>
      </c>
    </row>
    <row r="3601" spans="1:4" ht="13.05" customHeight="1" x14ac:dyDescent="0.3">
      <c r="A3601" s="2" t="s">
        <v>439</v>
      </c>
      <c r="B3601" s="2" t="s">
        <v>955</v>
      </c>
      <c r="C3601" s="5" t="s">
        <v>964</v>
      </c>
      <c r="D3601" s="2" t="s">
        <v>1040</v>
      </c>
    </row>
    <row r="3602" spans="1:4" ht="13.05" customHeight="1" x14ac:dyDescent="0.3">
      <c r="A3602" s="2" t="s">
        <v>442</v>
      </c>
      <c r="B3602" s="2" t="s">
        <v>1018</v>
      </c>
      <c r="C3602" s="5" t="s">
        <v>956</v>
      </c>
      <c r="D3602" s="2" t="s">
        <v>1025</v>
      </c>
    </row>
    <row r="3603" spans="1:4" ht="13.05" customHeight="1" x14ac:dyDescent="0.3">
      <c r="A3603" s="2" t="s">
        <v>442</v>
      </c>
      <c r="B3603" s="2" t="s">
        <v>1018</v>
      </c>
      <c r="C3603" s="5" t="s">
        <v>958</v>
      </c>
      <c r="D3603" s="2" t="s">
        <v>959</v>
      </c>
    </row>
    <row r="3604" spans="1:4" ht="13.05" customHeight="1" x14ac:dyDescent="0.3">
      <c r="A3604" s="2" t="s">
        <v>442</v>
      </c>
      <c r="B3604" s="2" t="s">
        <v>1018</v>
      </c>
      <c r="C3604" s="5" t="s">
        <v>960</v>
      </c>
      <c r="D3604" s="2" t="s">
        <v>961</v>
      </c>
    </row>
    <row r="3605" spans="1:4" ht="13.05" customHeight="1" x14ac:dyDescent="0.3">
      <c r="A3605" s="2" t="s">
        <v>442</v>
      </c>
      <c r="B3605" s="2" t="s">
        <v>1018</v>
      </c>
      <c r="C3605" s="5" t="s">
        <v>962</v>
      </c>
      <c r="D3605" s="2" t="s">
        <v>1041</v>
      </c>
    </row>
    <row r="3606" spans="1:4" ht="13.05" customHeight="1" x14ac:dyDescent="0.3">
      <c r="A3606" s="2" t="s">
        <v>442</v>
      </c>
      <c r="B3606" s="2" t="s">
        <v>1018</v>
      </c>
      <c r="C3606" s="5" t="s">
        <v>964</v>
      </c>
      <c r="D3606" s="2" t="s">
        <v>1021</v>
      </c>
    </row>
    <row r="3607" spans="1:4" ht="13.05" customHeight="1" x14ac:dyDescent="0.3">
      <c r="A3607" s="2" t="s">
        <v>442</v>
      </c>
      <c r="B3607" s="2" t="s">
        <v>1018</v>
      </c>
      <c r="C3607" s="5" t="s">
        <v>966</v>
      </c>
      <c r="D3607" s="2" t="s">
        <v>1022</v>
      </c>
    </row>
    <row r="3608" spans="1:4" ht="13.05" customHeight="1" x14ac:dyDescent="0.3">
      <c r="A3608" s="2" t="s">
        <v>442</v>
      </c>
      <c r="B3608" s="2" t="s">
        <v>1018</v>
      </c>
      <c r="C3608" s="5" t="s">
        <v>968</v>
      </c>
      <c r="D3608" s="2" t="s">
        <v>1023</v>
      </c>
    </row>
    <row r="3609" spans="1:4" ht="13.05" customHeight="1" x14ac:dyDescent="0.3">
      <c r="A3609" s="2" t="s">
        <v>442</v>
      </c>
      <c r="B3609" s="2" t="s">
        <v>1018</v>
      </c>
      <c r="C3609" s="5" t="s">
        <v>970</v>
      </c>
      <c r="D3609" s="2" t="s">
        <v>5962</v>
      </c>
    </row>
    <row r="3610" spans="1:4" ht="13.05" customHeight="1" x14ac:dyDescent="0.3">
      <c r="A3610" s="2" t="s">
        <v>449</v>
      </c>
      <c r="B3610" s="2" t="s">
        <v>955</v>
      </c>
      <c r="C3610" s="5" t="s">
        <v>974</v>
      </c>
      <c r="D3610" s="2" t="s">
        <v>975</v>
      </c>
    </row>
    <row r="3611" spans="1:4" ht="13.05" customHeight="1" x14ac:dyDescent="0.3">
      <c r="A3611" s="2" t="s">
        <v>449</v>
      </c>
      <c r="B3611" s="2" t="s">
        <v>955</v>
      </c>
      <c r="C3611" s="5" t="s">
        <v>956</v>
      </c>
      <c r="D3611" s="2" t="s">
        <v>957</v>
      </c>
    </row>
    <row r="3612" spans="1:4" ht="13.05" customHeight="1" x14ac:dyDescent="0.3">
      <c r="A3612" s="2" t="s">
        <v>449</v>
      </c>
      <c r="B3612" s="2" t="s">
        <v>955</v>
      </c>
      <c r="C3612" s="5" t="s">
        <v>958</v>
      </c>
      <c r="D3612" s="2" t="s">
        <v>959</v>
      </c>
    </row>
    <row r="3613" spans="1:4" ht="13.05" customHeight="1" x14ac:dyDescent="0.3">
      <c r="A3613" s="2" t="s">
        <v>449</v>
      </c>
      <c r="B3613" s="2" t="s">
        <v>955</v>
      </c>
      <c r="C3613" s="5" t="s">
        <v>962</v>
      </c>
      <c r="D3613" s="2" t="s">
        <v>5963</v>
      </c>
    </row>
    <row r="3614" spans="1:4" ht="13.05" customHeight="1" x14ac:dyDescent="0.3">
      <c r="A3614" s="2" t="s">
        <v>449</v>
      </c>
      <c r="B3614" s="2" t="s">
        <v>955</v>
      </c>
      <c r="C3614" s="5" t="s">
        <v>964</v>
      </c>
      <c r="D3614" s="2" t="s">
        <v>5964</v>
      </c>
    </row>
    <row r="3615" spans="1:4" ht="13.05" customHeight="1" x14ac:dyDescent="0.3">
      <c r="A3615" s="2" t="s">
        <v>449</v>
      </c>
      <c r="B3615" s="2" t="s">
        <v>955</v>
      </c>
      <c r="C3615" s="5" t="s">
        <v>966</v>
      </c>
      <c r="D3615" s="2" t="s">
        <v>5965</v>
      </c>
    </row>
    <row r="3616" spans="1:4" ht="13.05" customHeight="1" x14ac:dyDescent="0.3">
      <c r="A3616" s="2" t="s">
        <v>452</v>
      </c>
      <c r="B3616" s="2" t="s">
        <v>1018</v>
      </c>
      <c r="C3616" s="5" t="s">
        <v>956</v>
      </c>
      <c r="D3616" s="2" t="s">
        <v>957</v>
      </c>
    </row>
    <row r="3617" spans="1:4" ht="13.05" customHeight="1" x14ac:dyDescent="0.3">
      <c r="A3617" s="2" t="s">
        <v>452</v>
      </c>
      <c r="B3617" s="2" t="s">
        <v>1018</v>
      </c>
      <c r="C3617" s="5" t="s">
        <v>958</v>
      </c>
      <c r="D3617" s="2" t="s">
        <v>959</v>
      </c>
    </row>
    <row r="3618" spans="1:4" ht="13.05" customHeight="1" x14ac:dyDescent="0.3">
      <c r="A3618" s="2" t="s">
        <v>452</v>
      </c>
      <c r="B3618" s="2" t="s">
        <v>1018</v>
      </c>
      <c r="C3618" s="5" t="s">
        <v>960</v>
      </c>
      <c r="D3618" s="2" t="s">
        <v>961</v>
      </c>
    </row>
    <row r="3619" spans="1:4" ht="13.05" customHeight="1" x14ac:dyDescent="0.3">
      <c r="A3619" s="2" t="s">
        <v>452</v>
      </c>
      <c r="B3619" s="2" t="s">
        <v>1018</v>
      </c>
      <c r="C3619" s="5" t="s">
        <v>962</v>
      </c>
      <c r="D3619" s="2" t="s">
        <v>1026</v>
      </c>
    </row>
    <row r="3620" spans="1:4" ht="13.05" customHeight="1" x14ac:dyDescent="0.3">
      <c r="A3620" s="2" t="s">
        <v>452</v>
      </c>
      <c r="B3620" s="2" t="s">
        <v>1018</v>
      </c>
      <c r="C3620" s="5" t="s">
        <v>964</v>
      </c>
      <c r="D3620" s="2" t="s">
        <v>1027</v>
      </c>
    </row>
    <row r="3621" spans="1:4" ht="13.05" customHeight="1" x14ac:dyDescent="0.3">
      <c r="A3621" s="2" t="s">
        <v>452</v>
      </c>
      <c r="B3621" s="2" t="s">
        <v>1018</v>
      </c>
      <c r="C3621" s="5" t="s">
        <v>966</v>
      </c>
      <c r="D3621" s="2" t="s">
        <v>1028</v>
      </c>
    </row>
    <row r="3622" spans="1:4" ht="13.05" customHeight="1" x14ac:dyDescent="0.3">
      <c r="A3622" s="2" t="s">
        <v>452</v>
      </c>
      <c r="B3622" s="2" t="s">
        <v>1018</v>
      </c>
      <c r="C3622" s="5" t="s">
        <v>968</v>
      </c>
      <c r="D3622" s="2" t="s">
        <v>1029</v>
      </c>
    </row>
    <row r="3623" spans="1:4" ht="13.05" customHeight="1" x14ac:dyDescent="0.3">
      <c r="A3623" s="2" t="s">
        <v>452</v>
      </c>
      <c r="B3623" s="2" t="s">
        <v>1018</v>
      </c>
      <c r="C3623" s="5" t="s">
        <v>970</v>
      </c>
      <c r="D3623" s="2" t="s">
        <v>1030</v>
      </c>
    </row>
    <row r="3624" spans="1:4" ht="13.05" customHeight="1" x14ac:dyDescent="0.3">
      <c r="A3624" s="2" t="s">
        <v>455</v>
      </c>
      <c r="B3624" s="2" t="s">
        <v>1018</v>
      </c>
      <c r="C3624" s="5" t="s">
        <v>956</v>
      </c>
      <c r="D3624" s="2" t="s">
        <v>957</v>
      </c>
    </row>
    <row r="3625" spans="1:4" ht="13.05" customHeight="1" x14ac:dyDescent="0.3">
      <c r="A3625" s="2" t="s">
        <v>455</v>
      </c>
      <c r="B3625" s="2" t="s">
        <v>1018</v>
      </c>
      <c r="C3625" s="5" t="s">
        <v>958</v>
      </c>
      <c r="D3625" s="2" t="s">
        <v>959</v>
      </c>
    </row>
    <row r="3626" spans="1:4" ht="13.05" customHeight="1" x14ac:dyDescent="0.3">
      <c r="A3626" s="2" t="s">
        <v>455</v>
      </c>
      <c r="B3626" s="2" t="s">
        <v>1018</v>
      </c>
      <c r="C3626" s="5" t="s">
        <v>960</v>
      </c>
      <c r="D3626" s="2" t="s">
        <v>961</v>
      </c>
    </row>
    <row r="3627" spans="1:4" ht="13.05" customHeight="1" x14ac:dyDescent="0.3">
      <c r="A3627" s="2" t="s">
        <v>455</v>
      </c>
      <c r="B3627" s="2" t="s">
        <v>1018</v>
      </c>
      <c r="C3627" s="5" t="s">
        <v>962</v>
      </c>
      <c r="D3627" s="2" t="s">
        <v>1026</v>
      </c>
    </row>
    <row r="3628" spans="1:4" ht="13.05" customHeight="1" x14ac:dyDescent="0.3">
      <c r="A3628" s="2" t="s">
        <v>455</v>
      </c>
      <c r="B3628" s="2" t="s">
        <v>1018</v>
      </c>
      <c r="C3628" s="5" t="s">
        <v>964</v>
      </c>
      <c r="D3628" s="2" t="s">
        <v>1027</v>
      </c>
    </row>
    <row r="3629" spans="1:4" ht="13.05" customHeight="1" x14ac:dyDescent="0.3">
      <c r="A3629" s="2" t="s">
        <v>455</v>
      </c>
      <c r="B3629" s="2" t="s">
        <v>1018</v>
      </c>
      <c r="C3629" s="5" t="s">
        <v>966</v>
      </c>
      <c r="D3629" s="2" t="s">
        <v>1028</v>
      </c>
    </row>
    <row r="3630" spans="1:4" ht="13.05" customHeight="1" x14ac:dyDescent="0.3">
      <c r="A3630" s="2" t="s">
        <v>455</v>
      </c>
      <c r="B3630" s="2" t="s">
        <v>1018</v>
      </c>
      <c r="C3630" s="5" t="s">
        <v>968</v>
      </c>
      <c r="D3630" s="2" t="s">
        <v>1029</v>
      </c>
    </row>
    <row r="3631" spans="1:4" ht="13.05" customHeight="1" x14ac:dyDescent="0.3">
      <c r="A3631" s="2" t="s">
        <v>455</v>
      </c>
      <c r="B3631" s="2" t="s">
        <v>1018</v>
      </c>
      <c r="C3631" s="5" t="s">
        <v>970</v>
      </c>
      <c r="D3631" s="2" t="s">
        <v>1030</v>
      </c>
    </row>
    <row r="3632" spans="1:4" ht="13.05" customHeight="1" x14ac:dyDescent="0.3">
      <c r="A3632" s="2" t="s">
        <v>458</v>
      </c>
      <c r="B3632" s="2" t="s">
        <v>955</v>
      </c>
      <c r="C3632" s="5" t="s">
        <v>974</v>
      </c>
      <c r="D3632" s="2" t="s">
        <v>975</v>
      </c>
    </row>
    <row r="3633" spans="1:4" ht="13.05" customHeight="1" x14ac:dyDescent="0.3">
      <c r="A3633" s="2" t="s">
        <v>458</v>
      </c>
      <c r="B3633" s="2" t="s">
        <v>955</v>
      </c>
      <c r="C3633" s="5" t="s">
        <v>956</v>
      </c>
      <c r="D3633" s="2" t="s">
        <v>957</v>
      </c>
    </row>
    <row r="3634" spans="1:4" ht="13.05" customHeight="1" x14ac:dyDescent="0.3">
      <c r="A3634" s="2" t="s">
        <v>458</v>
      </c>
      <c r="B3634" s="2" t="s">
        <v>955</v>
      </c>
      <c r="C3634" s="5" t="s">
        <v>958</v>
      </c>
      <c r="D3634" s="2" t="s">
        <v>959</v>
      </c>
    </row>
    <row r="3635" spans="1:4" ht="13.05" customHeight="1" x14ac:dyDescent="0.3">
      <c r="A3635" s="2" t="s">
        <v>458</v>
      </c>
      <c r="B3635" s="2" t="s">
        <v>955</v>
      </c>
      <c r="C3635" s="5" t="s">
        <v>960</v>
      </c>
      <c r="D3635" s="2" t="s">
        <v>961</v>
      </c>
    </row>
    <row r="3636" spans="1:4" ht="13.05" customHeight="1" x14ac:dyDescent="0.3">
      <c r="A3636" s="2" t="s">
        <v>458</v>
      </c>
      <c r="B3636" s="2" t="s">
        <v>955</v>
      </c>
      <c r="C3636" s="5" t="s">
        <v>962</v>
      </c>
      <c r="D3636" s="2" t="s">
        <v>5966</v>
      </c>
    </row>
    <row r="3637" spans="1:4" ht="13.05" customHeight="1" x14ac:dyDescent="0.3">
      <c r="A3637" s="2" t="s">
        <v>458</v>
      </c>
      <c r="B3637" s="2" t="s">
        <v>955</v>
      </c>
      <c r="C3637" s="5" t="s">
        <v>964</v>
      </c>
      <c r="D3637" s="2" t="s">
        <v>5967</v>
      </c>
    </row>
    <row r="3638" spans="1:4" ht="13.05" customHeight="1" x14ac:dyDescent="0.3">
      <c r="A3638" s="2" t="s">
        <v>458</v>
      </c>
      <c r="B3638" s="2" t="s">
        <v>955</v>
      </c>
      <c r="C3638" s="5" t="s">
        <v>966</v>
      </c>
      <c r="D3638" s="2" t="s">
        <v>5968</v>
      </c>
    </row>
    <row r="3639" spans="1:4" ht="13.05" customHeight="1" x14ac:dyDescent="0.3">
      <c r="A3639" s="2" t="s">
        <v>458</v>
      </c>
      <c r="B3639" s="2" t="s">
        <v>955</v>
      </c>
      <c r="C3639" s="5" t="s">
        <v>968</v>
      </c>
      <c r="D3639" s="2" t="s">
        <v>5969</v>
      </c>
    </row>
    <row r="3640" spans="1:4" ht="13.05" customHeight="1" x14ac:dyDescent="0.3">
      <c r="A3640" s="2" t="s">
        <v>458</v>
      </c>
      <c r="B3640" s="2" t="s">
        <v>955</v>
      </c>
      <c r="C3640" s="5" t="s">
        <v>970</v>
      </c>
      <c r="D3640" s="2" t="s">
        <v>5970</v>
      </c>
    </row>
    <row r="3641" spans="1:4" ht="13.05" customHeight="1" x14ac:dyDescent="0.3">
      <c r="A3641" s="2" t="s">
        <v>458</v>
      </c>
      <c r="B3641" s="2" t="s">
        <v>955</v>
      </c>
      <c r="C3641" s="5" t="s">
        <v>972</v>
      </c>
      <c r="D3641" s="2" t="s">
        <v>5971</v>
      </c>
    </row>
    <row r="3642" spans="1:4" ht="13.05" customHeight="1" x14ac:dyDescent="0.3">
      <c r="A3642" s="2" t="s">
        <v>458</v>
      </c>
      <c r="B3642" s="2" t="s">
        <v>955</v>
      </c>
      <c r="C3642" s="5" t="s">
        <v>983</v>
      </c>
      <c r="D3642" s="2" t="s">
        <v>1015</v>
      </c>
    </row>
    <row r="3643" spans="1:4" ht="13.05" customHeight="1" x14ac:dyDescent="0.3">
      <c r="A3643" s="2" t="s">
        <v>461</v>
      </c>
      <c r="B3643" s="2" t="s">
        <v>955</v>
      </c>
      <c r="C3643" s="5" t="s">
        <v>962</v>
      </c>
      <c r="D3643" s="2" t="s">
        <v>5972</v>
      </c>
    </row>
    <row r="3644" spans="1:4" ht="13.05" customHeight="1" x14ac:dyDescent="0.3">
      <c r="A3644" s="2" t="s">
        <v>461</v>
      </c>
      <c r="B3644" s="2" t="s">
        <v>955</v>
      </c>
      <c r="C3644" s="5" t="s">
        <v>964</v>
      </c>
      <c r="D3644" s="2" t="s">
        <v>5973</v>
      </c>
    </row>
    <row r="3645" spans="1:4" ht="13.05" customHeight="1" x14ac:dyDescent="0.3">
      <c r="A3645" s="2" t="s">
        <v>463</v>
      </c>
      <c r="B3645" s="2" t="s">
        <v>1132</v>
      </c>
      <c r="C3645" s="5" t="s">
        <v>960</v>
      </c>
      <c r="D3645" s="2" t="s">
        <v>961</v>
      </c>
    </row>
    <row r="3646" spans="1:4" ht="13.05" customHeight="1" x14ac:dyDescent="0.3">
      <c r="A3646" s="2" t="s">
        <v>463</v>
      </c>
      <c r="B3646" s="2" t="s">
        <v>1132</v>
      </c>
      <c r="C3646" s="5" t="s">
        <v>962</v>
      </c>
      <c r="D3646" s="2" t="s">
        <v>1039</v>
      </c>
    </row>
    <row r="3647" spans="1:4" ht="13.05" customHeight="1" x14ac:dyDescent="0.3">
      <c r="A3647" s="2" t="s">
        <v>463</v>
      </c>
      <c r="B3647" s="2" t="s">
        <v>1132</v>
      </c>
      <c r="C3647" s="5" t="s">
        <v>964</v>
      </c>
      <c r="D3647" s="2" t="s">
        <v>1040</v>
      </c>
    </row>
    <row r="3648" spans="1:4" ht="13.05" customHeight="1" x14ac:dyDescent="0.3">
      <c r="A3648" s="2" t="s">
        <v>465</v>
      </c>
      <c r="B3648" s="2" t="s">
        <v>1018</v>
      </c>
      <c r="C3648" s="5" t="s">
        <v>956</v>
      </c>
      <c r="D3648" s="2" t="s">
        <v>1025</v>
      </c>
    </row>
    <row r="3649" spans="1:4" ht="13.05" customHeight="1" x14ac:dyDescent="0.3">
      <c r="A3649" s="2" t="s">
        <v>465</v>
      </c>
      <c r="B3649" s="2" t="s">
        <v>1018</v>
      </c>
      <c r="C3649" s="5" t="s">
        <v>958</v>
      </c>
      <c r="D3649" s="2" t="s">
        <v>959</v>
      </c>
    </row>
    <row r="3650" spans="1:4" ht="13.05" customHeight="1" x14ac:dyDescent="0.3">
      <c r="A3650" s="2" t="s">
        <v>465</v>
      </c>
      <c r="B3650" s="2" t="s">
        <v>1018</v>
      </c>
      <c r="C3650" s="5" t="s">
        <v>960</v>
      </c>
      <c r="D3650" s="2" t="s">
        <v>961</v>
      </c>
    </row>
    <row r="3651" spans="1:4" ht="13.05" customHeight="1" x14ac:dyDescent="0.3">
      <c r="A3651" s="2" t="s">
        <v>465</v>
      </c>
      <c r="B3651" s="2" t="s">
        <v>1018</v>
      </c>
      <c r="C3651" s="5" t="s">
        <v>962</v>
      </c>
      <c r="D3651" s="2" t="s">
        <v>1026</v>
      </c>
    </row>
    <row r="3652" spans="1:4" ht="13.05" customHeight="1" x14ac:dyDescent="0.3">
      <c r="A3652" s="2" t="s">
        <v>465</v>
      </c>
      <c r="B3652" s="2" t="s">
        <v>1018</v>
      </c>
      <c r="C3652" s="5" t="s">
        <v>964</v>
      </c>
      <c r="D3652" s="2" t="s">
        <v>1027</v>
      </c>
    </row>
    <row r="3653" spans="1:4" ht="13.05" customHeight="1" x14ac:dyDescent="0.3">
      <c r="A3653" s="2" t="s">
        <v>465</v>
      </c>
      <c r="B3653" s="2" t="s">
        <v>1018</v>
      </c>
      <c r="C3653" s="5" t="s">
        <v>966</v>
      </c>
      <c r="D3653" s="2" t="s">
        <v>1028</v>
      </c>
    </row>
    <row r="3654" spans="1:4" ht="13.05" customHeight="1" x14ac:dyDescent="0.3">
      <c r="A3654" s="2" t="s">
        <v>465</v>
      </c>
      <c r="B3654" s="2" t="s">
        <v>1018</v>
      </c>
      <c r="C3654" s="5" t="s">
        <v>968</v>
      </c>
      <c r="D3654" s="2" t="s">
        <v>1029</v>
      </c>
    </row>
    <row r="3655" spans="1:4" ht="13.05" customHeight="1" x14ac:dyDescent="0.3">
      <c r="A3655" s="2" t="s">
        <v>465</v>
      </c>
      <c r="B3655" s="2" t="s">
        <v>1018</v>
      </c>
      <c r="C3655" s="5" t="s">
        <v>970</v>
      </c>
      <c r="D3655" s="2" t="s">
        <v>1030</v>
      </c>
    </row>
    <row r="3656" spans="1:4" ht="13.05" customHeight="1" x14ac:dyDescent="0.3">
      <c r="A3656" s="2" t="s">
        <v>468</v>
      </c>
      <c r="B3656" s="2" t="s">
        <v>955</v>
      </c>
      <c r="C3656" s="5" t="s">
        <v>974</v>
      </c>
      <c r="D3656" s="2" t="s">
        <v>975</v>
      </c>
    </row>
    <row r="3657" spans="1:4" ht="13.05" customHeight="1" x14ac:dyDescent="0.3">
      <c r="A3657" s="2" t="s">
        <v>468</v>
      </c>
      <c r="B3657" s="2" t="s">
        <v>955</v>
      </c>
      <c r="C3657" s="5" t="s">
        <v>956</v>
      </c>
      <c r="D3657" s="2" t="s">
        <v>1025</v>
      </c>
    </row>
    <row r="3658" spans="1:4" ht="13.05" customHeight="1" x14ac:dyDescent="0.3">
      <c r="A3658" s="2" t="s">
        <v>468</v>
      </c>
      <c r="B3658" s="2" t="s">
        <v>955</v>
      </c>
      <c r="C3658" s="5" t="s">
        <v>958</v>
      </c>
      <c r="D3658" s="2" t="s">
        <v>1019</v>
      </c>
    </row>
    <row r="3659" spans="1:4" ht="13.05" customHeight="1" x14ac:dyDescent="0.3">
      <c r="A3659" s="2" t="s">
        <v>471</v>
      </c>
      <c r="B3659" s="2" t="s">
        <v>955</v>
      </c>
      <c r="C3659" s="5" t="s">
        <v>974</v>
      </c>
      <c r="D3659" s="2" t="s">
        <v>975</v>
      </c>
    </row>
    <row r="3660" spans="1:4" ht="13.05" customHeight="1" x14ac:dyDescent="0.3">
      <c r="A3660" s="2" t="s">
        <v>471</v>
      </c>
      <c r="B3660" s="2" t="s">
        <v>955</v>
      </c>
      <c r="C3660" s="5" t="s">
        <v>956</v>
      </c>
      <c r="D3660" s="2" t="s">
        <v>957</v>
      </c>
    </row>
    <row r="3661" spans="1:4" ht="13.05" customHeight="1" x14ac:dyDescent="0.3">
      <c r="A3661" s="2" t="s">
        <v>471</v>
      </c>
      <c r="B3661" s="2" t="s">
        <v>955</v>
      </c>
      <c r="C3661" s="5" t="s">
        <v>958</v>
      </c>
      <c r="D3661" s="2" t="s">
        <v>959</v>
      </c>
    </row>
    <row r="3662" spans="1:4" ht="13.05" customHeight="1" x14ac:dyDescent="0.3">
      <c r="A3662" s="2" t="s">
        <v>471</v>
      </c>
      <c r="B3662" s="2" t="s">
        <v>955</v>
      </c>
      <c r="C3662" s="5" t="s">
        <v>960</v>
      </c>
      <c r="D3662" s="2" t="s">
        <v>961</v>
      </c>
    </row>
    <row r="3663" spans="1:4" ht="13.05" customHeight="1" x14ac:dyDescent="0.3">
      <c r="A3663" s="2" t="s">
        <v>474</v>
      </c>
      <c r="B3663" s="2" t="s">
        <v>1132</v>
      </c>
      <c r="C3663" s="5" t="s">
        <v>962</v>
      </c>
      <c r="D3663" s="2" t="s">
        <v>1039</v>
      </c>
    </row>
    <row r="3664" spans="1:4" ht="13.05" customHeight="1" x14ac:dyDescent="0.3">
      <c r="A3664" s="2" t="s">
        <v>474</v>
      </c>
      <c r="B3664" s="2" t="s">
        <v>1132</v>
      </c>
      <c r="C3664" s="5" t="s">
        <v>964</v>
      </c>
      <c r="D3664" s="2" t="s">
        <v>1040</v>
      </c>
    </row>
    <row r="3665" spans="1:4" ht="13.05" customHeight="1" x14ac:dyDescent="0.3">
      <c r="A3665" s="2" t="s">
        <v>476</v>
      </c>
      <c r="B3665" s="2" t="s">
        <v>955</v>
      </c>
      <c r="C3665" s="5" t="s">
        <v>962</v>
      </c>
      <c r="D3665" s="2" t="s">
        <v>1039</v>
      </c>
    </row>
    <row r="3666" spans="1:4" ht="13.05" customHeight="1" x14ac:dyDescent="0.3">
      <c r="A3666" s="2" t="s">
        <v>476</v>
      </c>
      <c r="B3666" s="2" t="s">
        <v>955</v>
      </c>
      <c r="C3666" s="5" t="s">
        <v>964</v>
      </c>
      <c r="D3666" s="2" t="s">
        <v>1040</v>
      </c>
    </row>
    <row r="3667" spans="1:4" ht="13.05" customHeight="1" x14ac:dyDescent="0.3">
      <c r="A3667" s="2" t="s">
        <v>478</v>
      </c>
      <c r="B3667" s="2" t="s">
        <v>955</v>
      </c>
      <c r="C3667" s="5" t="s">
        <v>962</v>
      </c>
      <c r="D3667" s="2" t="s">
        <v>1039</v>
      </c>
    </row>
    <row r="3668" spans="1:4" ht="13.05" customHeight="1" x14ac:dyDescent="0.3">
      <c r="A3668" s="2" t="s">
        <v>478</v>
      </c>
      <c r="B3668" s="2" t="s">
        <v>955</v>
      </c>
      <c r="C3668" s="5" t="s">
        <v>964</v>
      </c>
      <c r="D3668" s="2" t="s">
        <v>1040</v>
      </c>
    </row>
    <row r="3669" spans="1:4" ht="13.05" customHeight="1" x14ac:dyDescent="0.3">
      <c r="A3669" s="2" t="s">
        <v>480</v>
      </c>
      <c r="B3669" s="2" t="s">
        <v>955</v>
      </c>
      <c r="C3669" s="5" t="s">
        <v>962</v>
      </c>
      <c r="D3669" s="2" t="s">
        <v>1039</v>
      </c>
    </row>
    <row r="3670" spans="1:4" ht="13.05" customHeight="1" x14ac:dyDescent="0.3">
      <c r="A3670" s="2" t="s">
        <v>480</v>
      </c>
      <c r="B3670" s="2" t="s">
        <v>955</v>
      </c>
      <c r="C3670" s="5" t="s">
        <v>964</v>
      </c>
      <c r="D3670" s="2" t="s">
        <v>1040</v>
      </c>
    </row>
    <row r="3671" spans="1:4" ht="13.05" customHeight="1" x14ac:dyDescent="0.3">
      <c r="A3671" s="2" t="s">
        <v>482</v>
      </c>
      <c r="B3671" s="2" t="s">
        <v>955</v>
      </c>
      <c r="C3671" s="5" t="s">
        <v>962</v>
      </c>
      <c r="D3671" s="2" t="s">
        <v>1039</v>
      </c>
    </row>
    <row r="3672" spans="1:4" ht="13.05" customHeight="1" x14ac:dyDescent="0.3">
      <c r="A3672" s="2" t="s">
        <v>482</v>
      </c>
      <c r="B3672" s="2" t="s">
        <v>955</v>
      </c>
      <c r="C3672" s="5" t="s">
        <v>964</v>
      </c>
      <c r="D3672" s="2" t="s">
        <v>1040</v>
      </c>
    </row>
    <row r="3673" spans="1:4" ht="13.05" customHeight="1" x14ac:dyDescent="0.3">
      <c r="A3673" s="2" t="s">
        <v>484</v>
      </c>
      <c r="B3673" s="2" t="s">
        <v>955</v>
      </c>
      <c r="C3673" s="5" t="s">
        <v>962</v>
      </c>
      <c r="D3673" s="2" t="s">
        <v>1039</v>
      </c>
    </row>
    <row r="3674" spans="1:4" ht="13.05" customHeight="1" x14ac:dyDescent="0.3">
      <c r="A3674" s="2" t="s">
        <v>484</v>
      </c>
      <c r="B3674" s="2" t="s">
        <v>955</v>
      </c>
      <c r="C3674" s="5" t="s">
        <v>964</v>
      </c>
      <c r="D3674" s="2" t="s">
        <v>1040</v>
      </c>
    </row>
    <row r="3675" spans="1:4" ht="13.05" customHeight="1" x14ac:dyDescent="0.3">
      <c r="A3675" s="2" t="s">
        <v>486</v>
      </c>
      <c r="B3675" s="2" t="s">
        <v>955</v>
      </c>
      <c r="C3675" s="5" t="s">
        <v>956</v>
      </c>
      <c r="D3675" s="2" t="s">
        <v>957</v>
      </c>
    </row>
    <row r="3676" spans="1:4" ht="13.05" customHeight="1" x14ac:dyDescent="0.3">
      <c r="A3676" s="2" t="s">
        <v>486</v>
      </c>
      <c r="B3676" s="2" t="s">
        <v>955</v>
      </c>
      <c r="C3676" s="5" t="s">
        <v>958</v>
      </c>
      <c r="D3676" s="2" t="s">
        <v>959</v>
      </c>
    </row>
    <row r="3677" spans="1:4" ht="13.05" customHeight="1" x14ac:dyDescent="0.3">
      <c r="A3677" s="2" t="s">
        <v>486</v>
      </c>
      <c r="B3677" s="2" t="s">
        <v>955</v>
      </c>
      <c r="C3677" s="5" t="s">
        <v>960</v>
      </c>
      <c r="D3677" s="2" t="s">
        <v>961</v>
      </c>
    </row>
    <row r="3678" spans="1:4" ht="13.05" customHeight="1" x14ac:dyDescent="0.3">
      <c r="A3678" s="2" t="s">
        <v>486</v>
      </c>
      <c r="B3678" s="2" t="s">
        <v>955</v>
      </c>
      <c r="C3678" s="5" t="s">
        <v>962</v>
      </c>
      <c r="D3678" s="2" t="s">
        <v>2989</v>
      </c>
    </row>
    <row r="3679" spans="1:4" ht="13.05" customHeight="1" x14ac:dyDescent="0.3">
      <c r="A3679" s="2" t="s">
        <v>486</v>
      </c>
      <c r="B3679" s="2" t="s">
        <v>955</v>
      </c>
      <c r="C3679" s="5" t="s">
        <v>964</v>
      </c>
      <c r="D3679" s="2" t="s">
        <v>2990</v>
      </c>
    </row>
    <row r="3680" spans="1:4" ht="13.05" customHeight="1" x14ac:dyDescent="0.3">
      <c r="A3680" s="2" t="s">
        <v>486</v>
      </c>
      <c r="B3680" s="2" t="s">
        <v>955</v>
      </c>
      <c r="C3680" s="5" t="s">
        <v>966</v>
      </c>
      <c r="D3680" s="2" t="s">
        <v>2991</v>
      </c>
    </row>
    <row r="3681" spans="1:4" ht="13.05" customHeight="1" x14ac:dyDescent="0.3">
      <c r="A3681" s="2" t="s">
        <v>486</v>
      </c>
      <c r="B3681" s="2" t="s">
        <v>955</v>
      </c>
      <c r="C3681" s="5" t="s">
        <v>968</v>
      </c>
      <c r="D3681" s="2" t="s">
        <v>5974</v>
      </c>
    </row>
    <row r="3682" spans="1:4" ht="13.05" customHeight="1" x14ac:dyDescent="0.3">
      <c r="A3682" s="2" t="s">
        <v>486</v>
      </c>
      <c r="B3682" s="2" t="s">
        <v>955</v>
      </c>
      <c r="C3682" s="5" t="s">
        <v>970</v>
      </c>
      <c r="D3682" s="2" t="s">
        <v>5975</v>
      </c>
    </row>
    <row r="3683" spans="1:4" ht="13.05" customHeight="1" x14ac:dyDescent="0.3">
      <c r="A3683" s="2" t="s">
        <v>486</v>
      </c>
      <c r="B3683" s="2" t="s">
        <v>955</v>
      </c>
      <c r="C3683" s="5" t="s">
        <v>983</v>
      </c>
      <c r="D3683" s="2" t="s">
        <v>2995</v>
      </c>
    </row>
    <row r="3684" spans="1:4" ht="13.05" customHeight="1" x14ac:dyDescent="0.3">
      <c r="A3684" s="2" t="s">
        <v>489</v>
      </c>
      <c r="B3684" s="2" t="s">
        <v>955</v>
      </c>
      <c r="C3684" s="5" t="s">
        <v>956</v>
      </c>
      <c r="D3684" s="2" t="s">
        <v>957</v>
      </c>
    </row>
    <row r="3685" spans="1:4" ht="13.05" customHeight="1" x14ac:dyDescent="0.3">
      <c r="A3685" s="2" t="s">
        <v>489</v>
      </c>
      <c r="B3685" s="2" t="s">
        <v>955</v>
      </c>
      <c r="C3685" s="5" t="s">
        <v>958</v>
      </c>
      <c r="D3685" s="2" t="s">
        <v>959</v>
      </c>
    </row>
    <row r="3686" spans="1:4" ht="13.05" customHeight="1" x14ac:dyDescent="0.3">
      <c r="A3686" s="2" t="s">
        <v>489</v>
      </c>
      <c r="B3686" s="2" t="s">
        <v>955</v>
      </c>
      <c r="C3686" s="5" t="s">
        <v>960</v>
      </c>
      <c r="D3686" s="2" t="s">
        <v>961</v>
      </c>
    </row>
    <row r="3687" spans="1:4" ht="13.05" customHeight="1" x14ac:dyDescent="0.3">
      <c r="A3687" s="2" t="s">
        <v>489</v>
      </c>
      <c r="B3687" s="2" t="s">
        <v>955</v>
      </c>
      <c r="C3687" s="5" t="s">
        <v>962</v>
      </c>
      <c r="D3687" s="2" t="s">
        <v>2989</v>
      </c>
    </row>
    <row r="3688" spans="1:4" ht="13.05" customHeight="1" x14ac:dyDescent="0.3">
      <c r="A3688" s="2" t="s">
        <v>489</v>
      </c>
      <c r="B3688" s="2" t="s">
        <v>955</v>
      </c>
      <c r="C3688" s="5" t="s">
        <v>964</v>
      </c>
      <c r="D3688" s="2" t="s">
        <v>2990</v>
      </c>
    </row>
    <row r="3689" spans="1:4" ht="13.05" customHeight="1" x14ac:dyDescent="0.3">
      <c r="A3689" s="2" t="s">
        <v>489</v>
      </c>
      <c r="B3689" s="2" t="s">
        <v>955</v>
      </c>
      <c r="C3689" s="5" t="s">
        <v>966</v>
      </c>
      <c r="D3689" s="2" t="s">
        <v>2991</v>
      </c>
    </row>
    <row r="3690" spans="1:4" ht="13.05" customHeight="1" x14ac:dyDescent="0.3">
      <c r="A3690" s="2" t="s">
        <v>489</v>
      </c>
      <c r="B3690" s="2" t="s">
        <v>955</v>
      </c>
      <c r="C3690" s="5" t="s">
        <v>968</v>
      </c>
      <c r="D3690" s="2" t="s">
        <v>5974</v>
      </c>
    </row>
    <row r="3691" spans="1:4" ht="13.05" customHeight="1" x14ac:dyDescent="0.3">
      <c r="A3691" s="2" t="s">
        <v>489</v>
      </c>
      <c r="B3691" s="2" t="s">
        <v>955</v>
      </c>
      <c r="C3691" s="5" t="s">
        <v>970</v>
      </c>
      <c r="D3691" s="2" t="s">
        <v>5975</v>
      </c>
    </row>
    <row r="3692" spans="1:4" ht="13.05" customHeight="1" x14ac:dyDescent="0.3">
      <c r="A3692" s="2" t="s">
        <v>489</v>
      </c>
      <c r="B3692" s="2" t="s">
        <v>955</v>
      </c>
      <c r="C3692" s="5" t="s">
        <v>983</v>
      </c>
      <c r="D3692" s="2" t="s">
        <v>2995</v>
      </c>
    </row>
    <row r="3693" spans="1:4" ht="13.05" customHeight="1" x14ac:dyDescent="0.3">
      <c r="A3693" s="2" t="s">
        <v>491</v>
      </c>
      <c r="B3693" s="2" t="s">
        <v>955</v>
      </c>
      <c r="C3693" s="5" t="s">
        <v>956</v>
      </c>
      <c r="D3693" s="2" t="s">
        <v>957</v>
      </c>
    </row>
    <row r="3694" spans="1:4" ht="13.05" customHeight="1" x14ac:dyDescent="0.3">
      <c r="A3694" s="2" t="s">
        <v>491</v>
      </c>
      <c r="B3694" s="2" t="s">
        <v>955</v>
      </c>
      <c r="C3694" s="5" t="s">
        <v>958</v>
      </c>
      <c r="D3694" s="2" t="s">
        <v>959</v>
      </c>
    </row>
    <row r="3695" spans="1:4" ht="13.05" customHeight="1" x14ac:dyDescent="0.3">
      <c r="A3695" s="2" t="s">
        <v>491</v>
      </c>
      <c r="B3695" s="2" t="s">
        <v>955</v>
      </c>
      <c r="C3695" s="5" t="s">
        <v>960</v>
      </c>
      <c r="D3695" s="2" t="s">
        <v>961</v>
      </c>
    </row>
    <row r="3696" spans="1:4" ht="13.05" customHeight="1" x14ac:dyDescent="0.3">
      <c r="A3696" s="2" t="s">
        <v>491</v>
      </c>
      <c r="B3696" s="2" t="s">
        <v>955</v>
      </c>
      <c r="C3696" s="5" t="s">
        <v>962</v>
      </c>
      <c r="D3696" s="2" t="s">
        <v>2989</v>
      </c>
    </row>
    <row r="3697" spans="1:4" ht="13.05" customHeight="1" x14ac:dyDescent="0.3">
      <c r="A3697" s="2" t="s">
        <v>491</v>
      </c>
      <c r="B3697" s="2" t="s">
        <v>955</v>
      </c>
      <c r="C3697" s="5" t="s">
        <v>964</v>
      </c>
      <c r="D3697" s="2" t="s">
        <v>2990</v>
      </c>
    </row>
    <row r="3698" spans="1:4" ht="13.05" customHeight="1" x14ac:dyDescent="0.3">
      <c r="A3698" s="2" t="s">
        <v>491</v>
      </c>
      <c r="B3698" s="2" t="s">
        <v>955</v>
      </c>
      <c r="C3698" s="5" t="s">
        <v>966</v>
      </c>
      <c r="D3698" s="2" t="s">
        <v>2991</v>
      </c>
    </row>
    <row r="3699" spans="1:4" ht="13.05" customHeight="1" x14ac:dyDescent="0.3">
      <c r="A3699" s="2" t="s">
        <v>491</v>
      </c>
      <c r="B3699" s="2" t="s">
        <v>955</v>
      </c>
      <c r="C3699" s="5" t="s">
        <v>968</v>
      </c>
      <c r="D3699" s="2" t="s">
        <v>5974</v>
      </c>
    </row>
    <row r="3700" spans="1:4" ht="13.05" customHeight="1" x14ac:dyDescent="0.3">
      <c r="A3700" s="2" t="s">
        <v>491</v>
      </c>
      <c r="B3700" s="2" t="s">
        <v>955</v>
      </c>
      <c r="C3700" s="5" t="s">
        <v>970</v>
      </c>
      <c r="D3700" s="2" t="s">
        <v>5975</v>
      </c>
    </row>
    <row r="3701" spans="1:4" ht="13.05" customHeight="1" x14ac:dyDescent="0.3">
      <c r="A3701" s="2" t="s">
        <v>491</v>
      </c>
      <c r="B3701" s="2" t="s">
        <v>955</v>
      </c>
      <c r="C3701" s="5" t="s">
        <v>983</v>
      </c>
      <c r="D3701" s="2" t="s">
        <v>2995</v>
      </c>
    </row>
    <row r="3702" spans="1:4" ht="13.05" customHeight="1" x14ac:dyDescent="0.3">
      <c r="A3702" s="2" t="s">
        <v>493</v>
      </c>
      <c r="B3702" s="2" t="s">
        <v>955</v>
      </c>
      <c r="C3702" s="5" t="s">
        <v>956</v>
      </c>
      <c r="D3702" s="2" t="s">
        <v>957</v>
      </c>
    </row>
    <row r="3703" spans="1:4" ht="13.05" customHeight="1" x14ac:dyDescent="0.3">
      <c r="A3703" s="2" t="s">
        <v>493</v>
      </c>
      <c r="B3703" s="2" t="s">
        <v>955</v>
      </c>
      <c r="C3703" s="5" t="s">
        <v>958</v>
      </c>
      <c r="D3703" s="2" t="s">
        <v>959</v>
      </c>
    </row>
    <row r="3704" spans="1:4" ht="13.05" customHeight="1" x14ac:dyDescent="0.3">
      <c r="A3704" s="2" t="s">
        <v>493</v>
      </c>
      <c r="B3704" s="2" t="s">
        <v>955</v>
      </c>
      <c r="C3704" s="5" t="s">
        <v>960</v>
      </c>
      <c r="D3704" s="2" t="s">
        <v>961</v>
      </c>
    </row>
    <row r="3705" spans="1:4" ht="13.05" customHeight="1" x14ac:dyDescent="0.3">
      <c r="A3705" s="2" t="s">
        <v>493</v>
      </c>
      <c r="B3705" s="2" t="s">
        <v>955</v>
      </c>
      <c r="C3705" s="5" t="s">
        <v>962</v>
      </c>
      <c r="D3705" s="2" t="s">
        <v>2989</v>
      </c>
    </row>
    <row r="3706" spans="1:4" ht="13.05" customHeight="1" x14ac:dyDescent="0.3">
      <c r="A3706" s="2" t="s">
        <v>493</v>
      </c>
      <c r="B3706" s="2" t="s">
        <v>955</v>
      </c>
      <c r="C3706" s="5" t="s">
        <v>964</v>
      </c>
      <c r="D3706" s="2" t="s">
        <v>2990</v>
      </c>
    </row>
    <row r="3707" spans="1:4" ht="13.05" customHeight="1" x14ac:dyDescent="0.3">
      <c r="A3707" s="2" t="s">
        <v>493</v>
      </c>
      <c r="B3707" s="2" t="s">
        <v>955</v>
      </c>
      <c r="C3707" s="5" t="s">
        <v>966</v>
      </c>
      <c r="D3707" s="2" t="s">
        <v>2991</v>
      </c>
    </row>
    <row r="3708" spans="1:4" ht="13.05" customHeight="1" x14ac:dyDescent="0.3">
      <c r="A3708" s="2" t="s">
        <v>493</v>
      </c>
      <c r="B3708" s="2" t="s">
        <v>955</v>
      </c>
      <c r="C3708" s="5" t="s">
        <v>968</v>
      </c>
      <c r="D3708" s="2" t="s">
        <v>5974</v>
      </c>
    </row>
    <row r="3709" spans="1:4" ht="13.05" customHeight="1" x14ac:dyDescent="0.3">
      <c r="A3709" s="2" t="s">
        <v>493</v>
      </c>
      <c r="B3709" s="2" t="s">
        <v>955</v>
      </c>
      <c r="C3709" s="5" t="s">
        <v>970</v>
      </c>
      <c r="D3709" s="2" t="s">
        <v>5975</v>
      </c>
    </row>
    <row r="3710" spans="1:4" ht="13.05" customHeight="1" x14ac:dyDescent="0.3">
      <c r="A3710" s="2" t="s">
        <v>493</v>
      </c>
      <c r="B3710" s="2" t="s">
        <v>955</v>
      </c>
      <c r="C3710" s="5" t="s">
        <v>983</v>
      </c>
      <c r="D3710" s="2" t="s">
        <v>2995</v>
      </c>
    </row>
    <row r="3711" spans="1:4" ht="13.05" customHeight="1" x14ac:dyDescent="0.3">
      <c r="A3711" s="2" t="s">
        <v>495</v>
      </c>
      <c r="B3711" s="2" t="s">
        <v>955</v>
      </c>
      <c r="C3711" s="5" t="s">
        <v>956</v>
      </c>
      <c r="D3711" s="2" t="s">
        <v>957</v>
      </c>
    </row>
    <row r="3712" spans="1:4" ht="13.05" customHeight="1" x14ac:dyDescent="0.3">
      <c r="A3712" s="2" t="s">
        <v>495</v>
      </c>
      <c r="B3712" s="2" t="s">
        <v>955</v>
      </c>
      <c r="C3712" s="5" t="s">
        <v>958</v>
      </c>
      <c r="D3712" s="2" t="s">
        <v>959</v>
      </c>
    </row>
    <row r="3713" spans="1:4" ht="13.05" customHeight="1" x14ac:dyDescent="0.3">
      <c r="A3713" s="2" t="s">
        <v>495</v>
      </c>
      <c r="B3713" s="2" t="s">
        <v>955</v>
      </c>
      <c r="C3713" s="5" t="s">
        <v>960</v>
      </c>
      <c r="D3713" s="2" t="s">
        <v>961</v>
      </c>
    </row>
    <row r="3714" spans="1:4" ht="13.05" customHeight="1" x14ac:dyDescent="0.3">
      <c r="A3714" s="2" t="s">
        <v>495</v>
      </c>
      <c r="B3714" s="2" t="s">
        <v>955</v>
      </c>
      <c r="C3714" s="5" t="s">
        <v>962</v>
      </c>
      <c r="D3714" s="2" t="s">
        <v>2989</v>
      </c>
    </row>
    <row r="3715" spans="1:4" ht="13.05" customHeight="1" x14ac:dyDescent="0.3">
      <c r="A3715" s="2" t="s">
        <v>495</v>
      </c>
      <c r="B3715" s="2" t="s">
        <v>955</v>
      </c>
      <c r="C3715" s="5" t="s">
        <v>964</v>
      </c>
      <c r="D3715" s="2" t="s">
        <v>2990</v>
      </c>
    </row>
    <row r="3716" spans="1:4" ht="13.05" customHeight="1" x14ac:dyDescent="0.3">
      <c r="A3716" s="2" t="s">
        <v>495</v>
      </c>
      <c r="B3716" s="2" t="s">
        <v>955</v>
      </c>
      <c r="C3716" s="5" t="s">
        <v>966</v>
      </c>
      <c r="D3716" s="2" t="s">
        <v>2991</v>
      </c>
    </row>
    <row r="3717" spans="1:4" ht="13.05" customHeight="1" x14ac:dyDescent="0.3">
      <c r="A3717" s="2" t="s">
        <v>495</v>
      </c>
      <c r="B3717" s="2" t="s">
        <v>955</v>
      </c>
      <c r="C3717" s="5" t="s">
        <v>968</v>
      </c>
      <c r="D3717" s="2" t="s">
        <v>5974</v>
      </c>
    </row>
    <row r="3718" spans="1:4" ht="13.05" customHeight="1" x14ac:dyDescent="0.3">
      <c r="A3718" s="2" t="s">
        <v>495</v>
      </c>
      <c r="B3718" s="2" t="s">
        <v>955</v>
      </c>
      <c r="C3718" s="5" t="s">
        <v>970</v>
      </c>
      <c r="D3718" s="2" t="s">
        <v>5975</v>
      </c>
    </row>
    <row r="3719" spans="1:4" ht="13.05" customHeight="1" x14ac:dyDescent="0.3">
      <c r="A3719" s="2" t="s">
        <v>495</v>
      </c>
      <c r="B3719" s="2" t="s">
        <v>955</v>
      </c>
      <c r="C3719" s="5" t="s">
        <v>983</v>
      </c>
      <c r="D3719" s="2" t="s">
        <v>2995</v>
      </c>
    </row>
    <row r="3720" spans="1:4" ht="13.05" customHeight="1" x14ac:dyDescent="0.3">
      <c r="A3720" s="2" t="s">
        <v>497</v>
      </c>
      <c r="B3720" s="2" t="s">
        <v>955</v>
      </c>
      <c r="C3720" s="5" t="s">
        <v>956</v>
      </c>
      <c r="D3720" s="2" t="s">
        <v>957</v>
      </c>
    </row>
    <row r="3721" spans="1:4" ht="13.05" customHeight="1" x14ac:dyDescent="0.3">
      <c r="A3721" s="2" t="s">
        <v>497</v>
      </c>
      <c r="B3721" s="2" t="s">
        <v>955</v>
      </c>
      <c r="C3721" s="5" t="s">
        <v>958</v>
      </c>
      <c r="D3721" s="2" t="s">
        <v>959</v>
      </c>
    </row>
    <row r="3722" spans="1:4" ht="13.05" customHeight="1" x14ac:dyDescent="0.3">
      <c r="A3722" s="2" t="s">
        <v>497</v>
      </c>
      <c r="B3722" s="2" t="s">
        <v>955</v>
      </c>
      <c r="C3722" s="5" t="s">
        <v>960</v>
      </c>
      <c r="D3722" s="2" t="s">
        <v>961</v>
      </c>
    </row>
    <row r="3723" spans="1:4" ht="13.05" customHeight="1" x14ac:dyDescent="0.3">
      <c r="A3723" s="2" t="s">
        <v>497</v>
      </c>
      <c r="B3723" s="2" t="s">
        <v>955</v>
      </c>
      <c r="C3723" s="5" t="s">
        <v>962</v>
      </c>
      <c r="D3723" s="2" t="s">
        <v>2989</v>
      </c>
    </row>
    <row r="3724" spans="1:4" ht="13.05" customHeight="1" x14ac:dyDescent="0.3">
      <c r="A3724" s="2" t="s">
        <v>497</v>
      </c>
      <c r="B3724" s="2" t="s">
        <v>955</v>
      </c>
      <c r="C3724" s="5" t="s">
        <v>964</v>
      </c>
      <c r="D3724" s="2" t="s">
        <v>2990</v>
      </c>
    </row>
    <row r="3725" spans="1:4" ht="13.05" customHeight="1" x14ac:dyDescent="0.3">
      <c r="A3725" s="2" t="s">
        <v>497</v>
      </c>
      <c r="B3725" s="2" t="s">
        <v>955</v>
      </c>
      <c r="C3725" s="5" t="s">
        <v>966</v>
      </c>
      <c r="D3725" s="2" t="s">
        <v>2991</v>
      </c>
    </row>
    <row r="3726" spans="1:4" ht="13.05" customHeight="1" x14ac:dyDescent="0.3">
      <c r="A3726" s="2" t="s">
        <v>497</v>
      </c>
      <c r="B3726" s="2" t="s">
        <v>955</v>
      </c>
      <c r="C3726" s="5" t="s">
        <v>968</v>
      </c>
      <c r="D3726" s="2" t="s">
        <v>5974</v>
      </c>
    </row>
    <row r="3727" spans="1:4" ht="13.05" customHeight="1" x14ac:dyDescent="0.3">
      <c r="A3727" s="2" t="s">
        <v>497</v>
      </c>
      <c r="B3727" s="2" t="s">
        <v>955</v>
      </c>
      <c r="C3727" s="5" t="s">
        <v>970</v>
      </c>
      <c r="D3727" s="2" t="s">
        <v>5975</v>
      </c>
    </row>
    <row r="3728" spans="1:4" ht="13.05" customHeight="1" x14ac:dyDescent="0.3">
      <c r="A3728" s="2" t="s">
        <v>497</v>
      </c>
      <c r="B3728" s="2" t="s">
        <v>955</v>
      </c>
      <c r="C3728" s="5" t="s">
        <v>983</v>
      </c>
      <c r="D3728" s="2" t="s">
        <v>2995</v>
      </c>
    </row>
    <row r="3729" spans="1:4" ht="13.05" customHeight="1" x14ac:dyDescent="0.3">
      <c r="A3729" s="2" t="s">
        <v>499</v>
      </c>
      <c r="B3729" s="2" t="s">
        <v>955</v>
      </c>
      <c r="C3729" s="5" t="s">
        <v>958</v>
      </c>
      <c r="D3729" s="2" t="s">
        <v>959</v>
      </c>
    </row>
    <row r="3730" spans="1:4" ht="13.05" customHeight="1" x14ac:dyDescent="0.3">
      <c r="A3730" s="2" t="s">
        <v>499</v>
      </c>
      <c r="B3730" s="2" t="s">
        <v>955</v>
      </c>
      <c r="C3730" s="5" t="s">
        <v>960</v>
      </c>
      <c r="D3730" s="2" t="s">
        <v>961</v>
      </c>
    </row>
    <row r="3731" spans="1:4" ht="13.05" customHeight="1" x14ac:dyDescent="0.3">
      <c r="A3731" s="2" t="s">
        <v>502</v>
      </c>
      <c r="B3731" s="2" t="s">
        <v>955</v>
      </c>
      <c r="C3731" s="5" t="s">
        <v>956</v>
      </c>
      <c r="D3731" s="2" t="s">
        <v>957</v>
      </c>
    </row>
    <row r="3732" spans="1:4" ht="13.05" customHeight="1" x14ac:dyDescent="0.3">
      <c r="A3732" s="2" t="s">
        <v>502</v>
      </c>
      <c r="B3732" s="2" t="s">
        <v>955</v>
      </c>
      <c r="C3732" s="5" t="s">
        <v>958</v>
      </c>
      <c r="D3732" s="2" t="s">
        <v>959</v>
      </c>
    </row>
    <row r="3733" spans="1:4" ht="13.05" customHeight="1" x14ac:dyDescent="0.3">
      <c r="A3733" s="2" t="s">
        <v>502</v>
      </c>
      <c r="B3733" s="2" t="s">
        <v>955</v>
      </c>
      <c r="C3733" s="5" t="s">
        <v>960</v>
      </c>
      <c r="D3733" s="2" t="s">
        <v>961</v>
      </c>
    </row>
    <row r="3734" spans="1:4" ht="13.05" customHeight="1" x14ac:dyDescent="0.3">
      <c r="A3734" s="2" t="s">
        <v>502</v>
      </c>
      <c r="B3734" s="2" t="s">
        <v>955</v>
      </c>
      <c r="C3734" s="5" t="s">
        <v>962</v>
      </c>
      <c r="D3734" s="2" t="s">
        <v>2989</v>
      </c>
    </row>
    <row r="3735" spans="1:4" ht="13.05" customHeight="1" x14ac:dyDescent="0.3">
      <c r="A3735" s="2" t="s">
        <v>502</v>
      </c>
      <c r="B3735" s="2" t="s">
        <v>955</v>
      </c>
      <c r="C3735" s="5" t="s">
        <v>964</v>
      </c>
      <c r="D3735" s="2" t="s">
        <v>2990</v>
      </c>
    </row>
    <row r="3736" spans="1:4" ht="13.05" customHeight="1" x14ac:dyDescent="0.3">
      <c r="A3736" s="2" t="s">
        <v>502</v>
      </c>
      <c r="B3736" s="2" t="s">
        <v>955</v>
      </c>
      <c r="C3736" s="5" t="s">
        <v>966</v>
      </c>
      <c r="D3736" s="2" t="s">
        <v>2991</v>
      </c>
    </row>
    <row r="3737" spans="1:4" ht="13.05" customHeight="1" x14ac:dyDescent="0.3">
      <c r="A3737" s="2" t="s">
        <v>502</v>
      </c>
      <c r="B3737" s="2" t="s">
        <v>955</v>
      </c>
      <c r="C3737" s="5" t="s">
        <v>968</v>
      </c>
      <c r="D3737" s="2" t="s">
        <v>5974</v>
      </c>
    </row>
    <row r="3738" spans="1:4" ht="13.05" customHeight="1" x14ac:dyDescent="0.3">
      <c r="A3738" s="2" t="s">
        <v>502</v>
      </c>
      <c r="B3738" s="2" t="s">
        <v>955</v>
      </c>
      <c r="C3738" s="5" t="s">
        <v>970</v>
      </c>
      <c r="D3738" s="2" t="s">
        <v>5975</v>
      </c>
    </row>
    <row r="3739" spans="1:4" ht="13.05" customHeight="1" x14ac:dyDescent="0.3">
      <c r="A3739" s="2" t="s">
        <v>502</v>
      </c>
      <c r="B3739" s="2" t="s">
        <v>955</v>
      </c>
      <c r="C3739" s="5" t="s">
        <v>983</v>
      </c>
      <c r="D3739" s="2" t="s">
        <v>2995</v>
      </c>
    </row>
    <row r="3740" spans="1:4" ht="13.05" customHeight="1" x14ac:dyDescent="0.3">
      <c r="A3740" s="2" t="s">
        <v>504</v>
      </c>
      <c r="B3740" s="2" t="s">
        <v>955</v>
      </c>
      <c r="C3740" s="5" t="s">
        <v>956</v>
      </c>
      <c r="D3740" s="2" t="s">
        <v>957</v>
      </c>
    </row>
    <row r="3741" spans="1:4" ht="13.05" customHeight="1" x14ac:dyDescent="0.3">
      <c r="A3741" s="2" t="s">
        <v>504</v>
      </c>
      <c r="B3741" s="2" t="s">
        <v>955</v>
      </c>
      <c r="C3741" s="5" t="s">
        <v>958</v>
      </c>
      <c r="D3741" s="2" t="s">
        <v>959</v>
      </c>
    </row>
    <row r="3742" spans="1:4" ht="13.05" customHeight="1" x14ac:dyDescent="0.3">
      <c r="A3742" s="2" t="s">
        <v>504</v>
      </c>
      <c r="B3742" s="2" t="s">
        <v>955</v>
      </c>
      <c r="C3742" s="5" t="s">
        <v>960</v>
      </c>
      <c r="D3742" s="2" t="s">
        <v>961</v>
      </c>
    </row>
    <row r="3743" spans="1:4" ht="13.05" customHeight="1" x14ac:dyDescent="0.3">
      <c r="A3743" s="2" t="s">
        <v>504</v>
      </c>
      <c r="B3743" s="2" t="s">
        <v>955</v>
      </c>
      <c r="C3743" s="5" t="s">
        <v>962</v>
      </c>
      <c r="D3743" s="2" t="s">
        <v>2989</v>
      </c>
    </row>
    <row r="3744" spans="1:4" ht="13.05" customHeight="1" x14ac:dyDescent="0.3">
      <c r="A3744" s="2" t="s">
        <v>504</v>
      </c>
      <c r="B3744" s="2" t="s">
        <v>955</v>
      </c>
      <c r="C3744" s="5" t="s">
        <v>964</v>
      </c>
      <c r="D3744" s="2" t="s">
        <v>2990</v>
      </c>
    </row>
    <row r="3745" spans="1:4" ht="13.05" customHeight="1" x14ac:dyDescent="0.3">
      <c r="A3745" s="2" t="s">
        <v>504</v>
      </c>
      <c r="B3745" s="2" t="s">
        <v>955</v>
      </c>
      <c r="C3745" s="5" t="s">
        <v>966</v>
      </c>
      <c r="D3745" s="2" t="s">
        <v>2991</v>
      </c>
    </row>
    <row r="3746" spans="1:4" ht="13.05" customHeight="1" x14ac:dyDescent="0.3">
      <c r="A3746" s="2" t="s">
        <v>504</v>
      </c>
      <c r="B3746" s="2" t="s">
        <v>955</v>
      </c>
      <c r="C3746" s="5" t="s">
        <v>968</v>
      </c>
      <c r="D3746" s="2" t="s">
        <v>5974</v>
      </c>
    </row>
    <row r="3747" spans="1:4" ht="13.05" customHeight="1" x14ac:dyDescent="0.3">
      <c r="A3747" s="2" t="s">
        <v>504</v>
      </c>
      <c r="B3747" s="2" t="s">
        <v>955</v>
      </c>
      <c r="C3747" s="5" t="s">
        <v>970</v>
      </c>
      <c r="D3747" s="2" t="s">
        <v>5975</v>
      </c>
    </row>
    <row r="3748" spans="1:4" ht="13.05" customHeight="1" x14ac:dyDescent="0.3">
      <c r="A3748" s="2" t="s">
        <v>504</v>
      </c>
      <c r="B3748" s="2" t="s">
        <v>955</v>
      </c>
      <c r="C3748" s="5" t="s">
        <v>983</v>
      </c>
      <c r="D3748" s="2" t="s">
        <v>2995</v>
      </c>
    </row>
    <row r="3749" spans="1:4" ht="13.05" customHeight="1" x14ac:dyDescent="0.3">
      <c r="A3749" s="2" t="s">
        <v>506</v>
      </c>
      <c r="B3749" s="2" t="s">
        <v>955</v>
      </c>
      <c r="C3749" s="5" t="s">
        <v>974</v>
      </c>
      <c r="D3749" s="2" t="s">
        <v>975</v>
      </c>
    </row>
    <row r="3750" spans="1:4" ht="13.05" customHeight="1" x14ac:dyDescent="0.3">
      <c r="A3750" s="2" t="s">
        <v>506</v>
      </c>
      <c r="B3750" s="2" t="s">
        <v>955</v>
      </c>
      <c r="C3750" s="5" t="s">
        <v>956</v>
      </c>
      <c r="D3750" s="2" t="s">
        <v>957</v>
      </c>
    </row>
    <row r="3751" spans="1:4" ht="13.05" customHeight="1" x14ac:dyDescent="0.3">
      <c r="A3751" s="2" t="s">
        <v>506</v>
      </c>
      <c r="B3751" s="2" t="s">
        <v>955</v>
      </c>
      <c r="C3751" s="5" t="s">
        <v>958</v>
      </c>
      <c r="D3751" s="2" t="s">
        <v>959</v>
      </c>
    </row>
    <row r="3752" spans="1:4" ht="13.05" customHeight="1" x14ac:dyDescent="0.3">
      <c r="A3752" s="2" t="s">
        <v>511</v>
      </c>
      <c r="B3752" s="2" t="s">
        <v>1018</v>
      </c>
      <c r="C3752" s="5" t="s">
        <v>962</v>
      </c>
      <c r="D3752" s="2" t="s">
        <v>5976</v>
      </c>
    </row>
    <row r="3753" spans="1:4" ht="13.05" customHeight="1" x14ac:dyDescent="0.3">
      <c r="A3753" s="2" t="s">
        <v>511</v>
      </c>
      <c r="B3753" s="2" t="s">
        <v>1018</v>
      </c>
      <c r="C3753" s="5" t="s">
        <v>964</v>
      </c>
      <c r="D3753" s="2" t="s">
        <v>5977</v>
      </c>
    </row>
    <row r="3754" spans="1:4" ht="13.05" customHeight="1" x14ac:dyDescent="0.3">
      <c r="A3754" s="2" t="s">
        <v>513</v>
      </c>
      <c r="B3754" s="2" t="s">
        <v>1018</v>
      </c>
      <c r="C3754" s="5" t="s">
        <v>962</v>
      </c>
      <c r="D3754" s="2" t="s">
        <v>5978</v>
      </c>
    </row>
    <row r="3755" spans="1:4" ht="13.05" customHeight="1" x14ac:dyDescent="0.3">
      <c r="A3755" s="2" t="s">
        <v>513</v>
      </c>
      <c r="B3755" s="2" t="s">
        <v>1018</v>
      </c>
      <c r="C3755" s="5" t="s">
        <v>964</v>
      </c>
      <c r="D3755" s="2" t="s">
        <v>5979</v>
      </c>
    </row>
    <row r="3756" spans="1:4" ht="13.05" customHeight="1" x14ac:dyDescent="0.3">
      <c r="A3756" s="2" t="s">
        <v>513</v>
      </c>
      <c r="B3756" s="2" t="s">
        <v>1018</v>
      </c>
      <c r="C3756" s="5" t="s">
        <v>966</v>
      </c>
      <c r="D3756" s="2" t="s">
        <v>5980</v>
      </c>
    </row>
    <row r="3757" spans="1:4" ht="13.05" customHeight="1" x14ac:dyDescent="0.3">
      <c r="A3757" s="2" t="s">
        <v>517</v>
      </c>
      <c r="B3757" s="2" t="s">
        <v>1018</v>
      </c>
      <c r="C3757" s="5" t="s">
        <v>964</v>
      </c>
      <c r="D3757" s="2" t="s">
        <v>5979</v>
      </c>
    </row>
    <row r="3758" spans="1:4" ht="13.05" customHeight="1" x14ac:dyDescent="0.3">
      <c r="A3758" s="2" t="s">
        <v>517</v>
      </c>
      <c r="B3758" s="2" t="s">
        <v>1018</v>
      </c>
      <c r="C3758" s="5" t="s">
        <v>966</v>
      </c>
      <c r="D3758" s="2" t="s">
        <v>5980</v>
      </c>
    </row>
    <row r="3759" spans="1:4" ht="13.05" customHeight="1" x14ac:dyDescent="0.3">
      <c r="A3759" s="2" t="s">
        <v>519</v>
      </c>
      <c r="B3759" s="2" t="s">
        <v>955</v>
      </c>
      <c r="C3759" s="5" t="s">
        <v>956</v>
      </c>
      <c r="D3759" s="2" t="s">
        <v>957</v>
      </c>
    </row>
    <row r="3760" spans="1:4" ht="13.05" customHeight="1" x14ac:dyDescent="0.3">
      <c r="A3760" s="2" t="s">
        <v>519</v>
      </c>
      <c r="B3760" s="2" t="s">
        <v>955</v>
      </c>
      <c r="C3760" s="5" t="s">
        <v>958</v>
      </c>
      <c r="D3760" s="2" t="s">
        <v>959</v>
      </c>
    </row>
    <row r="3761" spans="1:4" ht="13.05" customHeight="1" x14ac:dyDescent="0.3">
      <c r="A3761" s="2" t="s">
        <v>519</v>
      </c>
      <c r="B3761" s="2" t="s">
        <v>955</v>
      </c>
      <c r="C3761" s="5" t="s">
        <v>962</v>
      </c>
      <c r="D3761" s="2" t="s">
        <v>5981</v>
      </c>
    </row>
    <row r="3762" spans="1:4" ht="13.05" customHeight="1" x14ac:dyDescent="0.3">
      <c r="A3762" s="2" t="s">
        <v>519</v>
      </c>
      <c r="B3762" s="2" t="s">
        <v>955</v>
      </c>
      <c r="C3762" s="5" t="s">
        <v>964</v>
      </c>
      <c r="D3762" s="2" t="s">
        <v>5982</v>
      </c>
    </row>
    <row r="3763" spans="1:4" ht="13.05" customHeight="1" x14ac:dyDescent="0.3">
      <c r="A3763" s="2" t="s">
        <v>524</v>
      </c>
      <c r="B3763" s="2" t="s">
        <v>955</v>
      </c>
      <c r="C3763" s="5" t="s">
        <v>974</v>
      </c>
      <c r="D3763" s="2" t="s">
        <v>975</v>
      </c>
    </row>
    <row r="3764" spans="1:4" ht="13.05" customHeight="1" x14ac:dyDescent="0.3">
      <c r="A3764" s="2" t="s">
        <v>524</v>
      </c>
      <c r="B3764" s="2" t="s">
        <v>955</v>
      </c>
      <c r="C3764" s="5" t="s">
        <v>956</v>
      </c>
      <c r="D3764" s="2" t="s">
        <v>1025</v>
      </c>
    </row>
    <row r="3765" spans="1:4" ht="13.05" customHeight="1" x14ac:dyDescent="0.3">
      <c r="A3765" s="2" t="s">
        <v>524</v>
      </c>
      <c r="B3765" s="2" t="s">
        <v>955</v>
      </c>
      <c r="C3765" s="5" t="s">
        <v>958</v>
      </c>
      <c r="D3765" s="2" t="s">
        <v>1019</v>
      </c>
    </row>
    <row r="3766" spans="1:4" ht="13.05" customHeight="1" x14ac:dyDescent="0.3">
      <c r="A3766" s="2" t="s">
        <v>524</v>
      </c>
      <c r="B3766" s="2" t="s">
        <v>955</v>
      </c>
      <c r="C3766" s="5" t="s">
        <v>960</v>
      </c>
      <c r="D3766" s="2" t="s">
        <v>961</v>
      </c>
    </row>
    <row r="3767" spans="1:4" ht="13.05" customHeight="1" x14ac:dyDescent="0.3">
      <c r="A3767" s="2" t="s">
        <v>527</v>
      </c>
      <c r="B3767" s="2" t="s">
        <v>955</v>
      </c>
      <c r="C3767" s="5" t="s">
        <v>974</v>
      </c>
      <c r="D3767" s="2" t="s">
        <v>975</v>
      </c>
    </row>
    <row r="3768" spans="1:4" ht="13.05" customHeight="1" x14ac:dyDescent="0.3">
      <c r="A3768" s="2" t="s">
        <v>527</v>
      </c>
      <c r="B3768" s="2" t="s">
        <v>955</v>
      </c>
      <c r="C3768" s="5" t="s">
        <v>956</v>
      </c>
      <c r="D3768" s="2" t="s">
        <v>2988</v>
      </c>
    </row>
    <row r="3769" spans="1:4" ht="13.05" customHeight="1" x14ac:dyDescent="0.3">
      <c r="A3769" s="2" t="s">
        <v>527</v>
      </c>
      <c r="B3769" s="2" t="s">
        <v>955</v>
      </c>
      <c r="C3769" s="5" t="s">
        <v>958</v>
      </c>
      <c r="D3769" s="2" t="s">
        <v>2987</v>
      </c>
    </row>
    <row r="3770" spans="1:4" ht="13.05" customHeight="1" x14ac:dyDescent="0.3">
      <c r="A3770" s="2" t="s">
        <v>527</v>
      </c>
      <c r="B3770" s="2" t="s">
        <v>955</v>
      </c>
      <c r="C3770" s="5" t="s">
        <v>962</v>
      </c>
      <c r="D3770" s="2" t="s">
        <v>2989</v>
      </c>
    </row>
    <row r="3771" spans="1:4" ht="13.05" customHeight="1" x14ac:dyDescent="0.3">
      <c r="A3771" s="2" t="s">
        <v>527</v>
      </c>
      <c r="B3771" s="2" t="s">
        <v>955</v>
      </c>
      <c r="C3771" s="5" t="s">
        <v>964</v>
      </c>
      <c r="D3771" s="2" t="s">
        <v>2990</v>
      </c>
    </row>
    <row r="3772" spans="1:4" ht="13.05" customHeight="1" x14ac:dyDescent="0.3">
      <c r="A3772" s="2" t="s">
        <v>527</v>
      </c>
      <c r="B3772" s="2" t="s">
        <v>955</v>
      </c>
      <c r="C3772" s="5" t="s">
        <v>966</v>
      </c>
      <c r="D3772" s="2" t="s">
        <v>2991</v>
      </c>
    </row>
    <row r="3773" spans="1:4" ht="13.05" customHeight="1" x14ac:dyDescent="0.3">
      <c r="A3773" s="2" t="s">
        <v>527</v>
      </c>
      <c r="B3773" s="2" t="s">
        <v>955</v>
      </c>
      <c r="C3773" s="5" t="s">
        <v>968</v>
      </c>
      <c r="D3773" s="2" t="s">
        <v>2992</v>
      </c>
    </row>
    <row r="3774" spans="1:4" ht="13.05" customHeight="1" x14ac:dyDescent="0.3">
      <c r="A3774" s="2" t="s">
        <v>527</v>
      </c>
      <c r="B3774" s="2" t="s">
        <v>955</v>
      </c>
      <c r="C3774" s="5" t="s">
        <v>970</v>
      </c>
      <c r="D3774" s="2" t="s">
        <v>2993</v>
      </c>
    </row>
    <row r="3775" spans="1:4" ht="13.05" customHeight="1" x14ac:dyDescent="0.3">
      <c r="A3775" s="2" t="s">
        <v>527</v>
      </c>
      <c r="B3775" s="2" t="s">
        <v>955</v>
      </c>
      <c r="C3775" s="5" t="s">
        <v>972</v>
      </c>
      <c r="D3775" s="2" t="s">
        <v>2994</v>
      </c>
    </row>
    <row r="3776" spans="1:4" ht="13.05" customHeight="1" x14ac:dyDescent="0.3">
      <c r="A3776" s="2" t="s">
        <v>527</v>
      </c>
      <c r="B3776" s="2" t="s">
        <v>955</v>
      </c>
      <c r="C3776" s="5" t="s">
        <v>983</v>
      </c>
      <c r="D3776" s="2" t="s">
        <v>2995</v>
      </c>
    </row>
    <row r="3777" spans="1:4" ht="13.05" customHeight="1" x14ac:dyDescent="0.3">
      <c r="A3777" s="2" t="s">
        <v>531</v>
      </c>
      <c r="B3777" s="2" t="s">
        <v>955</v>
      </c>
      <c r="C3777" s="5" t="s">
        <v>956</v>
      </c>
      <c r="D3777" s="2" t="s">
        <v>957</v>
      </c>
    </row>
    <row r="3778" spans="1:4" ht="13.05" customHeight="1" x14ac:dyDescent="0.3">
      <c r="A3778" s="2" t="s">
        <v>531</v>
      </c>
      <c r="B3778" s="2" t="s">
        <v>955</v>
      </c>
      <c r="C3778" s="5" t="s">
        <v>958</v>
      </c>
      <c r="D3778" s="2" t="s">
        <v>959</v>
      </c>
    </row>
    <row r="3779" spans="1:4" ht="13.05" customHeight="1" x14ac:dyDescent="0.3">
      <c r="A3779" s="2" t="s">
        <v>531</v>
      </c>
      <c r="B3779" s="2" t="s">
        <v>955</v>
      </c>
      <c r="C3779" s="5" t="s">
        <v>962</v>
      </c>
      <c r="D3779" s="2" t="s">
        <v>5983</v>
      </c>
    </row>
    <row r="3780" spans="1:4" ht="13.05" customHeight="1" x14ac:dyDescent="0.3">
      <c r="A3780" s="2" t="s">
        <v>531</v>
      </c>
      <c r="B3780" s="2" t="s">
        <v>955</v>
      </c>
      <c r="C3780" s="5" t="s">
        <v>964</v>
      </c>
      <c r="D3780" s="2" t="s">
        <v>5984</v>
      </c>
    </row>
    <row r="3781" spans="1:4" ht="13.05" customHeight="1" x14ac:dyDescent="0.3">
      <c r="A3781" s="2" t="s">
        <v>531</v>
      </c>
      <c r="B3781" s="2" t="s">
        <v>955</v>
      </c>
      <c r="C3781" s="5" t="s">
        <v>966</v>
      </c>
      <c r="D3781" s="2" t="s">
        <v>5985</v>
      </c>
    </row>
    <row r="3782" spans="1:4" ht="13.05" customHeight="1" x14ac:dyDescent="0.3">
      <c r="A3782" s="2" t="s">
        <v>531</v>
      </c>
      <c r="B3782" s="2" t="s">
        <v>955</v>
      </c>
      <c r="C3782" s="5" t="s">
        <v>968</v>
      </c>
      <c r="D3782" s="2" t="s">
        <v>5986</v>
      </c>
    </row>
    <row r="3783" spans="1:4" ht="13.05" customHeight="1" x14ac:dyDescent="0.3">
      <c r="A3783" s="2" t="s">
        <v>531</v>
      </c>
      <c r="B3783" s="2" t="s">
        <v>955</v>
      </c>
      <c r="C3783" s="5" t="s">
        <v>970</v>
      </c>
      <c r="D3783" s="2" t="s">
        <v>5987</v>
      </c>
    </row>
    <row r="3784" spans="1:4" ht="13.05" customHeight="1" x14ac:dyDescent="0.3">
      <c r="A3784" s="2" t="s">
        <v>531</v>
      </c>
      <c r="B3784" s="2" t="s">
        <v>955</v>
      </c>
      <c r="C3784" s="5" t="s">
        <v>972</v>
      </c>
      <c r="D3784" s="2" t="s">
        <v>5988</v>
      </c>
    </row>
    <row r="3785" spans="1:4" ht="13.05" customHeight="1" x14ac:dyDescent="0.3">
      <c r="A3785" s="2" t="s">
        <v>531</v>
      </c>
      <c r="B3785" s="2" t="s">
        <v>955</v>
      </c>
      <c r="C3785" s="5" t="s">
        <v>981</v>
      </c>
      <c r="D3785" s="2" t="s">
        <v>5989</v>
      </c>
    </row>
    <row r="3786" spans="1:4" ht="13.05" customHeight="1" x14ac:dyDescent="0.3">
      <c r="A3786" s="2" t="s">
        <v>534</v>
      </c>
      <c r="B3786" s="2" t="s">
        <v>955</v>
      </c>
      <c r="C3786" s="5" t="s">
        <v>964</v>
      </c>
      <c r="D3786" s="2" t="s">
        <v>5979</v>
      </c>
    </row>
    <row r="3787" spans="1:4" ht="13.05" customHeight="1" x14ac:dyDescent="0.3">
      <c r="A3787" s="2" t="s">
        <v>534</v>
      </c>
      <c r="B3787" s="2" t="s">
        <v>955</v>
      </c>
      <c r="C3787" s="5" t="s">
        <v>966</v>
      </c>
      <c r="D3787" s="2" t="s">
        <v>5980</v>
      </c>
    </row>
    <row r="3788" spans="1:4" ht="13.05" customHeight="1" x14ac:dyDescent="0.3">
      <c r="A3788" s="2" t="s">
        <v>535</v>
      </c>
      <c r="B3788" s="2" t="s">
        <v>955</v>
      </c>
      <c r="C3788" s="5" t="s">
        <v>974</v>
      </c>
      <c r="D3788" s="2" t="s">
        <v>975</v>
      </c>
    </row>
    <row r="3789" spans="1:4" ht="13.05" customHeight="1" x14ac:dyDescent="0.3">
      <c r="A3789" s="2" t="s">
        <v>535</v>
      </c>
      <c r="B3789" s="2" t="s">
        <v>955</v>
      </c>
      <c r="C3789" s="5" t="s">
        <v>956</v>
      </c>
      <c r="D3789" s="2" t="s">
        <v>1025</v>
      </c>
    </row>
    <row r="3790" spans="1:4" ht="13.05" customHeight="1" x14ac:dyDescent="0.3">
      <c r="A3790" s="2" t="s">
        <v>535</v>
      </c>
      <c r="B3790" s="2" t="s">
        <v>955</v>
      </c>
      <c r="C3790" s="5" t="s">
        <v>958</v>
      </c>
      <c r="D3790" s="2" t="s">
        <v>1019</v>
      </c>
    </row>
    <row r="3791" spans="1:4" ht="13.05" customHeight="1" x14ac:dyDescent="0.3">
      <c r="A3791" s="2" t="s">
        <v>535</v>
      </c>
      <c r="B3791" s="2" t="s">
        <v>955</v>
      </c>
      <c r="C3791" s="5" t="s">
        <v>962</v>
      </c>
      <c r="D3791" s="2" t="s">
        <v>5990</v>
      </c>
    </row>
    <row r="3792" spans="1:4" ht="13.05" customHeight="1" x14ac:dyDescent="0.3">
      <c r="A3792" s="2" t="s">
        <v>535</v>
      </c>
      <c r="B3792" s="2" t="s">
        <v>955</v>
      </c>
      <c r="C3792" s="5" t="s">
        <v>964</v>
      </c>
      <c r="D3792" s="2" t="s">
        <v>5991</v>
      </c>
    </row>
    <row r="3793" spans="1:4" ht="13.05" customHeight="1" x14ac:dyDescent="0.3">
      <c r="A3793" s="2" t="s">
        <v>540</v>
      </c>
      <c r="B3793" s="2" t="s">
        <v>955</v>
      </c>
      <c r="C3793" s="5" t="s">
        <v>974</v>
      </c>
      <c r="D3793" s="2" t="s">
        <v>975</v>
      </c>
    </row>
    <row r="3794" spans="1:4" ht="13.05" customHeight="1" x14ac:dyDescent="0.3">
      <c r="A3794" s="2" t="s">
        <v>540</v>
      </c>
      <c r="B3794" s="2" t="s">
        <v>955</v>
      </c>
      <c r="C3794" s="5" t="s">
        <v>956</v>
      </c>
      <c r="D3794" s="2" t="s">
        <v>957</v>
      </c>
    </row>
    <row r="3795" spans="1:4" ht="13.05" customHeight="1" x14ac:dyDescent="0.3">
      <c r="A3795" s="2" t="s">
        <v>540</v>
      </c>
      <c r="B3795" s="2" t="s">
        <v>955</v>
      </c>
      <c r="C3795" s="5" t="s">
        <v>958</v>
      </c>
      <c r="D3795" s="2" t="s">
        <v>959</v>
      </c>
    </row>
    <row r="3796" spans="1:4" ht="13.05" customHeight="1" x14ac:dyDescent="0.3">
      <c r="A3796" s="2" t="s">
        <v>540</v>
      </c>
      <c r="B3796" s="2" t="s">
        <v>955</v>
      </c>
      <c r="C3796" s="5" t="s">
        <v>960</v>
      </c>
      <c r="D3796" s="2" t="s">
        <v>961</v>
      </c>
    </row>
    <row r="3797" spans="1:4" ht="13.05" customHeight="1" x14ac:dyDescent="0.3">
      <c r="A3797" s="2" t="s">
        <v>540</v>
      </c>
      <c r="B3797" s="2" t="s">
        <v>955</v>
      </c>
      <c r="C3797" s="5" t="s">
        <v>962</v>
      </c>
      <c r="D3797" s="2" t="s">
        <v>5992</v>
      </c>
    </row>
    <row r="3798" spans="1:4" ht="13.05" customHeight="1" x14ac:dyDescent="0.3">
      <c r="A3798" s="2" t="s">
        <v>540</v>
      </c>
      <c r="B3798" s="2" t="s">
        <v>955</v>
      </c>
      <c r="C3798" s="5" t="s">
        <v>964</v>
      </c>
      <c r="D3798" s="2" t="s">
        <v>5993</v>
      </c>
    </row>
    <row r="3799" spans="1:4" ht="13.05" customHeight="1" x14ac:dyDescent="0.3">
      <c r="A3799" s="2" t="s">
        <v>540</v>
      </c>
      <c r="B3799" s="2" t="s">
        <v>955</v>
      </c>
      <c r="C3799" s="5" t="s">
        <v>966</v>
      </c>
      <c r="D3799" s="2" t="s">
        <v>5994</v>
      </c>
    </row>
    <row r="3800" spans="1:4" ht="13.05" customHeight="1" x14ac:dyDescent="0.3">
      <c r="A3800" s="2" t="s">
        <v>540</v>
      </c>
      <c r="B3800" s="2" t="s">
        <v>955</v>
      </c>
      <c r="C3800" s="5" t="s">
        <v>968</v>
      </c>
      <c r="D3800" s="2" t="s">
        <v>5995</v>
      </c>
    </row>
    <row r="3801" spans="1:4" ht="13.05" customHeight="1" x14ac:dyDescent="0.3">
      <c r="A3801" s="2" t="s">
        <v>540</v>
      </c>
      <c r="B3801" s="2" t="s">
        <v>955</v>
      </c>
      <c r="C3801" s="5" t="s">
        <v>970</v>
      </c>
      <c r="D3801" s="2" t="s">
        <v>5996</v>
      </c>
    </row>
    <row r="3802" spans="1:4" ht="13.05" customHeight="1" x14ac:dyDescent="0.3">
      <c r="A3802" s="2" t="s">
        <v>540</v>
      </c>
      <c r="B3802" s="2" t="s">
        <v>955</v>
      </c>
      <c r="C3802" s="5" t="s">
        <v>972</v>
      </c>
      <c r="D3802" s="2" t="s">
        <v>5997</v>
      </c>
    </row>
    <row r="3803" spans="1:4" ht="13.05" customHeight="1" x14ac:dyDescent="0.3">
      <c r="A3803" s="2" t="s">
        <v>540</v>
      </c>
      <c r="B3803" s="2" t="s">
        <v>955</v>
      </c>
      <c r="C3803" s="5" t="s">
        <v>981</v>
      </c>
      <c r="D3803" s="2" t="s">
        <v>5998</v>
      </c>
    </row>
    <row r="3804" spans="1:4" ht="13.05" customHeight="1" x14ac:dyDescent="0.3">
      <c r="A3804" s="2" t="s">
        <v>540</v>
      </c>
      <c r="B3804" s="2" t="s">
        <v>955</v>
      </c>
      <c r="C3804" s="5" t="s">
        <v>991</v>
      </c>
      <c r="D3804" s="2" t="s">
        <v>5999</v>
      </c>
    </row>
    <row r="3805" spans="1:4" ht="13.05" customHeight="1" x14ac:dyDescent="0.3">
      <c r="A3805" s="2" t="s">
        <v>540</v>
      </c>
      <c r="B3805" s="2" t="s">
        <v>955</v>
      </c>
      <c r="C3805" s="5" t="s">
        <v>993</v>
      </c>
      <c r="D3805" s="2" t="s">
        <v>6000</v>
      </c>
    </row>
    <row r="3806" spans="1:4" ht="13.05" customHeight="1" x14ac:dyDescent="0.3">
      <c r="A3806" s="2" t="s">
        <v>540</v>
      </c>
      <c r="B3806" s="2" t="s">
        <v>955</v>
      </c>
      <c r="C3806" s="5" t="s">
        <v>995</v>
      </c>
      <c r="D3806" s="2" t="s">
        <v>6001</v>
      </c>
    </row>
    <row r="3807" spans="1:4" ht="13.05" customHeight="1" x14ac:dyDescent="0.3">
      <c r="A3807" s="2" t="s">
        <v>540</v>
      </c>
      <c r="B3807" s="2" t="s">
        <v>955</v>
      </c>
      <c r="C3807" s="5" t="s">
        <v>997</v>
      </c>
      <c r="D3807" s="2" t="s">
        <v>6002</v>
      </c>
    </row>
    <row r="3808" spans="1:4" ht="13.05" customHeight="1" x14ac:dyDescent="0.3">
      <c r="A3808" s="2" t="s">
        <v>540</v>
      </c>
      <c r="B3808" s="2" t="s">
        <v>955</v>
      </c>
      <c r="C3808" s="5" t="s">
        <v>983</v>
      </c>
      <c r="D3808" s="2" t="s">
        <v>1015</v>
      </c>
    </row>
    <row r="3809" spans="1:4" ht="13.05" customHeight="1" x14ac:dyDescent="0.3">
      <c r="A3809" s="2" t="s">
        <v>543</v>
      </c>
      <c r="B3809" s="2" t="s">
        <v>955</v>
      </c>
      <c r="C3809" s="5" t="s">
        <v>960</v>
      </c>
      <c r="D3809" s="2" t="s">
        <v>961</v>
      </c>
    </row>
    <row r="3810" spans="1:4" ht="13.05" customHeight="1" x14ac:dyDescent="0.3">
      <c r="A3810" s="2" t="s">
        <v>545</v>
      </c>
      <c r="B3810" s="2" t="s">
        <v>1018</v>
      </c>
      <c r="C3810" s="5" t="s">
        <v>1152</v>
      </c>
      <c r="D3810" s="2" t="s">
        <v>6003</v>
      </c>
    </row>
    <row r="3811" spans="1:4" ht="13.05" customHeight="1" x14ac:dyDescent="0.3">
      <c r="A3811" s="2" t="s">
        <v>545</v>
      </c>
      <c r="B3811" s="2" t="s">
        <v>1018</v>
      </c>
      <c r="C3811" s="5" t="s">
        <v>962</v>
      </c>
      <c r="D3811" s="2" t="s">
        <v>6004</v>
      </c>
    </row>
    <row r="3812" spans="1:4" ht="13.05" customHeight="1" x14ac:dyDescent="0.3">
      <c r="A3812" s="2" t="s">
        <v>545</v>
      </c>
      <c r="B3812" s="2" t="s">
        <v>1018</v>
      </c>
      <c r="C3812" s="5" t="s">
        <v>964</v>
      </c>
      <c r="D3812" s="2" t="s">
        <v>6005</v>
      </c>
    </row>
    <row r="3813" spans="1:4" ht="13.05" customHeight="1" x14ac:dyDescent="0.3">
      <c r="A3813" s="2" t="s">
        <v>545</v>
      </c>
      <c r="B3813" s="2" t="s">
        <v>1018</v>
      </c>
      <c r="C3813" s="5" t="s">
        <v>966</v>
      </c>
      <c r="D3813" s="2" t="s">
        <v>6006</v>
      </c>
    </row>
    <row r="3814" spans="1:4" ht="13.05" customHeight="1" x14ac:dyDescent="0.3">
      <c r="A3814" s="2" t="s">
        <v>545</v>
      </c>
      <c r="B3814" s="2" t="s">
        <v>1018</v>
      </c>
      <c r="C3814" s="5" t="s">
        <v>968</v>
      </c>
      <c r="D3814" s="2" t="s">
        <v>922</v>
      </c>
    </row>
    <row r="3815" spans="1:4" ht="13.05" customHeight="1" x14ac:dyDescent="0.3">
      <c r="A3815" s="2" t="s">
        <v>545</v>
      </c>
      <c r="B3815" s="2" t="s">
        <v>1018</v>
      </c>
      <c r="C3815" s="5" t="s">
        <v>970</v>
      </c>
      <c r="D3815" s="2" t="s">
        <v>6007</v>
      </c>
    </row>
    <row r="3816" spans="1:4" ht="13.05" customHeight="1" x14ac:dyDescent="0.3">
      <c r="A3816" s="2" t="s">
        <v>545</v>
      </c>
      <c r="B3816" s="2" t="s">
        <v>1018</v>
      </c>
      <c r="C3816" s="5" t="s">
        <v>972</v>
      </c>
      <c r="D3816" s="2" t="s">
        <v>6008</v>
      </c>
    </row>
    <row r="3817" spans="1:4" ht="13.05" customHeight="1" x14ac:dyDescent="0.3">
      <c r="A3817" s="2" t="s">
        <v>545</v>
      </c>
      <c r="B3817" s="2" t="s">
        <v>1018</v>
      </c>
      <c r="C3817" s="5" t="s">
        <v>981</v>
      </c>
      <c r="D3817" s="2" t="s">
        <v>6009</v>
      </c>
    </row>
    <row r="3818" spans="1:4" ht="13.05" customHeight="1" x14ac:dyDescent="0.3">
      <c r="A3818" s="2" t="s">
        <v>545</v>
      </c>
      <c r="B3818" s="2" t="s">
        <v>1018</v>
      </c>
      <c r="C3818" s="5" t="s">
        <v>991</v>
      </c>
      <c r="D3818" s="2" t="s">
        <v>6010</v>
      </c>
    </row>
    <row r="3819" spans="1:4" ht="13.05" customHeight="1" x14ac:dyDescent="0.3">
      <c r="A3819" s="2" t="s">
        <v>545</v>
      </c>
      <c r="B3819" s="2" t="s">
        <v>1018</v>
      </c>
      <c r="C3819" s="5" t="s">
        <v>993</v>
      </c>
      <c r="D3819" s="2" t="s">
        <v>6011</v>
      </c>
    </row>
    <row r="3820" spans="1:4" ht="13.05" customHeight="1" x14ac:dyDescent="0.3">
      <c r="A3820" s="2" t="s">
        <v>545</v>
      </c>
      <c r="B3820" s="2" t="s">
        <v>1018</v>
      </c>
      <c r="C3820" s="5" t="s">
        <v>995</v>
      </c>
      <c r="D3820" s="2" t="s">
        <v>6012</v>
      </c>
    </row>
    <row r="3821" spans="1:4" ht="13.05" customHeight="1" x14ac:dyDescent="0.3">
      <c r="A3821" s="2" t="s">
        <v>545</v>
      </c>
      <c r="B3821" s="2" t="s">
        <v>1018</v>
      </c>
      <c r="C3821" s="5" t="s">
        <v>997</v>
      </c>
      <c r="D3821" s="2" t="s">
        <v>6013</v>
      </c>
    </row>
    <row r="3822" spans="1:4" ht="13.05" customHeight="1" x14ac:dyDescent="0.3">
      <c r="A3822" s="2" t="s">
        <v>545</v>
      </c>
      <c r="B3822" s="2" t="s">
        <v>1018</v>
      </c>
      <c r="C3822" s="5" t="s">
        <v>999</v>
      </c>
      <c r="D3822" s="2" t="s">
        <v>6014</v>
      </c>
    </row>
    <row r="3823" spans="1:4" ht="13.05" customHeight="1" x14ac:dyDescent="0.3">
      <c r="A3823" s="2" t="s">
        <v>545</v>
      </c>
      <c r="B3823" s="2" t="s">
        <v>1018</v>
      </c>
      <c r="C3823" s="5" t="s">
        <v>1001</v>
      </c>
      <c r="D3823" s="2" t="s">
        <v>6015</v>
      </c>
    </row>
    <row r="3824" spans="1:4" ht="13.05" customHeight="1" x14ac:dyDescent="0.3">
      <c r="A3824" s="2" t="s">
        <v>547</v>
      </c>
      <c r="B3824" s="2" t="s">
        <v>1018</v>
      </c>
      <c r="C3824" s="5" t="s">
        <v>962</v>
      </c>
      <c r="D3824" s="2" t="s">
        <v>6016</v>
      </c>
    </row>
    <row r="3825" spans="1:4" ht="13.05" customHeight="1" x14ac:dyDescent="0.3">
      <c r="A3825" s="2" t="s">
        <v>547</v>
      </c>
      <c r="B3825" s="2" t="s">
        <v>1018</v>
      </c>
      <c r="C3825" s="5" t="s">
        <v>964</v>
      </c>
      <c r="D3825" s="2" t="s">
        <v>6017</v>
      </c>
    </row>
    <row r="3826" spans="1:4" ht="13.05" customHeight="1" x14ac:dyDescent="0.3">
      <c r="A3826" s="2" t="s">
        <v>547</v>
      </c>
      <c r="B3826" s="2" t="s">
        <v>1018</v>
      </c>
      <c r="C3826" s="5" t="s">
        <v>966</v>
      </c>
      <c r="D3826" s="2" t="s">
        <v>6018</v>
      </c>
    </row>
    <row r="3827" spans="1:4" ht="13.05" customHeight="1" x14ac:dyDescent="0.3">
      <c r="A3827" s="2" t="s">
        <v>547</v>
      </c>
      <c r="B3827" s="2" t="s">
        <v>1018</v>
      </c>
      <c r="C3827" s="5" t="s">
        <v>968</v>
      </c>
      <c r="D3827" s="2" t="s">
        <v>6019</v>
      </c>
    </row>
    <row r="3828" spans="1:4" ht="13.05" customHeight="1" x14ac:dyDescent="0.3">
      <c r="A3828" s="2" t="s">
        <v>549</v>
      </c>
      <c r="B3828" s="2" t="s">
        <v>955</v>
      </c>
      <c r="C3828" s="5" t="s">
        <v>974</v>
      </c>
      <c r="D3828" s="2" t="s">
        <v>975</v>
      </c>
    </row>
    <row r="3829" spans="1:4" ht="13.05" customHeight="1" x14ac:dyDescent="0.3">
      <c r="A3829" s="2" t="s">
        <v>549</v>
      </c>
      <c r="B3829" s="2" t="s">
        <v>955</v>
      </c>
      <c r="C3829" s="5" t="s">
        <v>956</v>
      </c>
      <c r="D3829" s="2" t="s">
        <v>957</v>
      </c>
    </row>
    <row r="3830" spans="1:4" ht="13.05" customHeight="1" x14ac:dyDescent="0.3">
      <c r="A3830" s="2" t="s">
        <v>549</v>
      </c>
      <c r="B3830" s="2" t="s">
        <v>955</v>
      </c>
      <c r="C3830" s="5" t="s">
        <v>958</v>
      </c>
      <c r="D3830" s="2" t="s">
        <v>959</v>
      </c>
    </row>
    <row r="3831" spans="1:4" ht="13.05" customHeight="1" x14ac:dyDescent="0.3">
      <c r="A3831" s="2" t="s">
        <v>549</v>
      </c>
      <c r="B3831" s="2" t="s">
        <v>955</v>
      </c>
      <c r="C3831" s="5" t="s">
        <v>960</v>
      </c>
      <c r="D3831" s="2" t="s">
        <v>961</v>
      </c>
    </row>
    <row r="3832" spans="1:4" ht="13.05" customHeight="1" x14ac:dyDescent="0.3">
      <c r="A3832" s="2" t="s">
        <v>549</v>
      </c>
      <c r="B3832" s="2" t="s">
        <v>955</v>
      </c>
      <c r="C3832" s="5" t="s">
        <v>962</v>
      </c>
      <c r="D3832" s="2" t="s">
        <v>827</v>
      </c>
    </row>
    <row r="3833" spans="1:4" ht="13.05" customHeight="1" x14ac:dyDescent="0.3">
      <c r="A3833" s="2" t="s">
        <v>549</v>
      </c>
      <c r="B3833" s="2" t="s">
        <v>955</v>
      </c>
      <c r="C3833" s="5" t="s">
        <v>964</v>
      </c>
      <c r="D3833" s="2" t="s">
        <v>979</v>
      </c>
    </row>
    <row r="3834" spans="1:4" ht="13.05" customHeight="1" x14ac:dyDescent="0.3">
      <c r="A3834" s="2" t="s">
        <v>549</v>
      </c>
      <c r="B3834" s="2" t="s">
        <v>955</v>
      </c>
      <c r="C3834" s="5" t="s">
        <v>966</v>
      </c>
      <c r="D3834" s="2" t="s">
        <v>6020</v>
      </c>
    </row>
    <row r="3835" spans="1:4" ht="13.05" customHeight="1" x14ac:dyDescent="0.3">
      <c r="A3835" s="2" t="s">
        <v>549</v>
      </c>
      <c r="B3835" s="2" t="s">
        <v>955</v>
      </c>
      <c r="C3835" s="5" t="s">
        <v>968</v>
      </c>
      <c r="D3835" s="2" t="s">
        <v>6021</v>
      </c>
    </row>
    <row r="3836" spans="1:4" ht="13.05" customHeight="1" x14ac:dyDescent="0.3">
      <c r="A3836" s="2" t="s">
        <v>549</v>
      </c>
      <c r="B3836" s="2" t="s">
        <v>955</v>
      </c>
      <c r="C3836" s="5" t="s">
        <v>970</v>
      </c>
      <c r="D3836" s="2" t="s">
        <v>4481</v>
      </c>
    </row>
    <row r="3837" spans="1:4" ht="13.05" customHeight="1" x14ac:dyDescent="0.3">
      <c r="A3837" s="2" t="s">
        <v>549</v>
      </c>
      <c r="B3837" s="2" t="s">
        <v>955</v>
      </c>
      <c r="C3837" s="5" t="s">
        <v>972</v>
      </c>
      <c r="D3837" s="2" t="s">
        <v>6022</v>
      </c>
    </row>
    <row r="3838" spans="1:4" ht="13.05" customHeight="1" x14ac:dyDescent="0.3">
      <c r="A3838" s="2" t="s">
        <v>549</v>
      </c>
      <c r="B3838" s="2" t="s">
        <v>955</v>
      </c>
      <c r="C3838" s="5" t="s">
        <v>981</v>
      </c>
      <c r="D3838" s="2" t="s">
        <v>6023</v>
      </c>
    </row>
    <row r="3839" spans="1:4" ht="13.05" customHeight="1" x14ac:dyDescent="0.3">
      <c r="A3839" s="2" t="s">
        <v>549</v>
      </c>
      <c r="B3839" s="2" t="s">
        <v>955</v>
      </c>
      <c r="C3839" s="5" t="s">
        <v>991</v>
      </c>
      <c r="D3839" s="2" t="s">
        <v>6024</v>
      </c>
    </row>
    <row r="3840" spans="1:4" ht="13.05" customHeight="1" x14ac:dyDescent="0.3">
      <c r="A3840" s="2" t="s">
        <v>549</v>
      </c>
      <c r="B3840" s="2" t="s">
        <v>955</v>
      </c>
      <c r="C3840" s="5" t="s">
        <v>993</v>
      </c>
      <c r="D3840" s="2" t="s">
        <v>6025</v>
      </c>
    </row>
    <row r="3841" spans="1:4" ht="13.05" customHeight="1" x14ac:dyDescent="0.3">
      <c r="A3841" s="2" t="s">
        <v>549</v>
      </c>
      <c r="B3841" s="2" t="s">
        <v>955</v>
      </c>
      <c r="C3841" s="5" t="s">
        <v>995</v>
      </c>
      <c r="D3841" s="2" t="s">
        <v>6026</v>
      </c>
    </row>
    <row r="3842" spans="1:4" ht="13.05" customHeight="1" x14ac:dyDescent="0.3">
      <c r="A3842" s="2" t="s">
        <v>549</v>
      </c>
      <c r="B3842" s="2" t="s">
        <v>955</v>
      </c>
      <c r="C3842" s="5" t="s">
        <v>997</v>
      </c>
      <c r="D3842" s="2" t="s">
        <v>6027</v>
      </c>
    </row>
    <row r="3843" spans="1:4" ht="13.05" customHeight="1" x14ac:dyDescent="0.3">
      <c r="A3843" s="2" t="s">
        <v>549</v>
      </c>
      <c r="B3843" s="2" t="s">
        <v>955</v>
      </c>
      <c r="C3843" s="5" t="s">
        <v>999</v>
      </c>
      <c r="D3843" s="2" t="s">
        <v>6028</v>
      </c>
    </row>
    <row r="3844" spans="1:4" ht="13.05" customHeight="1" x14ac:dyDescent="0.3">
      <c r="A3844" s="2" t="s">
        <v>549</v>
      </c>
      <c r="B3844" s="2" t="s">
        <v>955</v>
      </c>
      <c r="C3844" s="5" t="s">
        <v>1001</v>
      </c>
      <c r="D3844" s="2" t="s">
        <v>6029</v>
      </c>
    </row>
    <row r="3845" spans="1:4" ht="13.05" customHeight="1" x14ac:dyDescent="0.3">
      <c r="A3845" s="2" t="s">
        <v>549</v>
      </c>
      <c r="B3845" s="2" t="s">
        <v>955</v>
      </c>
      <c r="C3845" s="5" t="s">
        <v>1003</v>
      </c>
      <c r="D3845" s="2" t="s">
        <v>6030</v>
      </c>
    </row>
    <row r="3846" spans="1:4" ht="13.05" customHeight="1" x14ac:dyDescent="0.3">
      <c r="A3846" s="2" t="s">
        <v>549</v>
      </c>
      <c r="B3846" s="2" t="s">
        <v>955</v>
      </c>
      <c r="C3846" s="5" t="s">
        <v>1005</v>
      </c>
      <c r="D3846" s="2" t="s">
        <v>6031</v>
      </c>
    </row>
    <row r="3847" spans="1:4" ht="13.05" customHeight="1" x14ac:dyDescent="0.3">
      <c r="A3847" s="2" t="s">
        <v>549</v>
      </c>
      <c r="B3847" s="2" t="s">
        <v>955</v>
      </c>
      <c r="C3847" s="5" t="s">
        <v>1007</v>
      </c>
      <c r="D3847" s="2" t="s">
        <v>6032</v>
      </c>
    </row>
    <row r="3848" spans="1:4" ht="13.05" customHeight="1" x14ac:dyDescent="0.3">
      <c r="A3848" s="2" t="s">
        <v>549</v>
      </c>
      <c r="B3848" s="2" t="s">
        <v>955</v>
      </c>
      <c r="C3848" s="5" t="s">
        <v>1009</v>
      </c>
      <c r="D3848" s="2" t="s">
        <v>6033</v>
      </c>
    </row>
    <row r="3849" spans="1:4" ht="13.05" customHeight="1" x14ac:dyDescent="0.3">
      <c r="A3849" s="2" t="s">
        <v>549</v>
      </c>
      <c r="B3849" s="2" t="s">
        <v>955</v>
      </c>
      <c r="C3849" s="5" t="s">
        <v>1011</v>
      </c>
      <c r="D3849" s="2" t="s">
        <v>6034</v>
      </c>
    </row>
    <row r="3850" spans="1:4" ht="13.05" customHeight="1" x14ac:dyDescent="0.3">
      <c r="A3850" s="2" t="s">
        <v>549</v>
      </c>
      <c r="B3850" s="2" t="s">
        <v>955</v>
      </c>
      <c r="C3850" s="5" t="s">
        <v>1013</v>
      </c>
      <c r="D3850" s="2" t="s">
        <v>6035</v>
      </c>
    </row>
    <row r="3851" spans="1:4" ht="13.05" customHeight="1" x14ac:dyDescent="0.3">
      <c r="A3851" s="2" t="s">
        <v>549</v>
      </c>
      <c r="B3851" s="2" t="s">
        <v>955</v>
      </c>
      <c r="C3851" s="5" t="s">
        <v>1155</v>
      </c>
      <c r="D3851" s="2" t="s">
        <v>6036</v>
      </c>
    </row>
    <row r="3852" spans="1:4" ht="13.05" customHeight="1" x14ac:dyDescent="0.3">
      <c r="A3852" s="2" t="s">
        <v>549</v>
      </c>
      <c r="B3852" s="2" t="s">
        <v>955</v>
      </c>
      <c r="C3852" s="5" t="s">
        <v>983</v>
      </c>
      <c r="D3852" s="2" t="s">
        <v>984</v>
      </c>
    </row>
    <row r="3853" spans="1:4" ht="13.05" customHeight="1" x14ac:dyDescent="0.3">
      <c r="A3853" s="2" t="s">
        <v>552</v>
      </c>
      <c r="B3853" s="2" t="s">
        <v>955</v>
      </c>
      <c r="C3853" s="5" t="s">
        <v>960</v>
      </c>
      <c r="D3853" s="2" t="s">
        <v>961</v>
      </c>
    </row>
    <row r="3854" spans="1:4" ht="13.05" customHeight="1" x14ac:dyDescent="0.3">
      <c r="A3854" s="2" t="s">
        <v>555</v>
      </c>
      <c r="B3854" s="2" t="s">
        <v>955</v>
      </c>
      <c r="C3854" s="5" t="s">
        <v>974</v>
      </c>
      <c r="D3854" s="2" t="s">
        <v>975</v>
      </c>
    </row>
    <row r="3855" spans="1:4" ht="13.05" customHeight="1" x14ac:dyDescent="0.3">
      <c r="A3855" s="2" t="s">
        <v>555</v>
      </c>
      <c r="B3855" s="2" t="s">
        <v>955</v>
      </c>
      <c r="C3855" s="5" t="s">
        <v>956</v>
      </c>
      <c r="D3855" s="2" t="s">
        <v>957</v>
      </c>
    </row>
    <row r="3856" spans="1:4" ht="13.05" customHeight="1" x14ac:dyDescent="0.3">
      <c r="A3856" s="2" t="s">
        <v>555</v>
      </c>
      <c r="B3856" s="2" t="s">
        <v>955</v>
      </c>
      <c r="C3856" s="5" t="s">
        <v>958</v>
      </c>
      <c r="D3856" s="2" t="s">
        <v>959</v>
      </c>
    </row>
    <row r="3857" spans="1:4" ht="13.05" customHeight="1" x14ac:dyDescent="0.3">
      <c r="A3857" s="2" t="s">
        <v>555</v>
      </c>
      <c r="B3857" s="2" t="s">
        <v>955</v>
      </c>
      <c r="C3857" s="5" t="s">
        <v>960</v>
      </c>
      <c r="D3857" s="2" t="s">
        <v>961</v>
      </c>
    </row>
    <row r="3858" spans="1:4" ht="13.05" customHeight="1" x14ac:dyDescent="0.3">
      <c r="A3858" s="2" t="s">
        <v>555</v>
      </c>
      <c r="B3858" s="2" t="s">
        <v>955</v>
      </c>
      <c r="C3858" s="5" t="s">
        <v>962</v>
      </c>
      <c r="D3858" s="2" t="s">
        <v>827</v>
      </c>
    </row>
    <row r="3859" spans="1:4" ht="13.05" customHeight="1" x14ac:dyDescent="0.3">
      <c r="A3859" s="2" t="s">
        <v>555</v>
      </c>
      <c r="B3859" s="2" t="s">
        <v>955</v>
      </c>
      <c r="C3859" s="5" t="s">
        <v>964</v>
      </c>
      <c r="D3859" s="2" t="s">
        <v>979</v>
      </c>
    </row>
    <row r="3860" spans="1:4" ht="13.05" customHeight="1" x14ac:dyDescent="0.3">
      <c r="A3860" s="2" t="s">
        <v>555</v>
      </c>
      <c r="B3860" s="2" t="s">
        <v>955</v>
      </c>
      <c r="C3860" s="5" t="s">
        <v>966</v>
      </c>
      <c r="D3860" s="2" t="s">
        <v>6020</v>
      </c>
    </row>
    <row r="3861" spans="1:4" ht="13.05" customHeight="1" x14ac:dyDescent="0.3">
      <c r="A3861" s="2" t="s">
        <v>555</v>
      </c>
      <c r="B3861" s="2" t="s">
        <v>955</v>
      </c>
      <c r="C3861" s="5" t="s">
        <v>968</v>
      </c>
      <c r="D3861" s="2" t="s">
        <v>6021</v>
      </c>
    </row>
    <row r="3862" spans="1:4" ht="13.05" customHeight="1" x14ac:dyDescent="0.3">
      <c r="A3862" s="2" t="s">
        <v>555</v>
      </c>
      <c r="B3862" s="2" t="s">
        <v>955</v>
      </c>
      <c r="C3862" s="5" t="s">
        <v>970</v>
      </c>
      <c r="D3862" s="2" t="s">
        <v>4481</v>
      </c>
    </row>
    <row r="3863" spans="1:4" ht="13.05" customHeight="1" x14ac:dyDescent="0.3">
      <c r="A3863" s="2" t="s">
        <v>555</v>
      </c>
      <c r="B3863" s="2" t="s">
        <v>955</v>
      </c>
      <c r="C3863" s="5" t="s">
        <v>972</v>
      </c>
      <c r="D3863" s="2" t="s">
        <v>6022</v>
      </c>
    </row>
    <row r="3864" spans="1:4" ht="13.05" customHeight="1" x14ac:dyDescent="0.3">
      <c r="A3864" s="2" t="s">
        <v>555</v>
      </c>
      <c r="B3864" s="2" t="s">
        <v>955</v>
      </c>
      <c r="C3864" s="5" t="s">
        <v>981</v>
      </c>
      <c r="D3864" s="2" t="s">
        <v>6023</v>
      </c>
    </row>
    <row r="3865" spans="1:4" ht="13.05" customHeight="1" x14ac:dyDescent="0.3">
      <c r="A3865" s="2" t="s">
        <v>555</v>
      </c>
      <c r="B3865" s="2" t="s">
        <v>955</v>
      </c>
      <c r="C3865" s="5" t="s">
        <v>991</v>
      </c>
      <c r="D3865" s="2" t="s">
        <v>6024</v>
      </c>
    </row>
    <row r="3866" spans="1:4" ht="13.05" customHeight="1" x14ac:dyDescent="0.3">
      <c r="A3866" s="2" t="s">
        <v>555</v>
      </c>
      <c r="B3866" s="2" t="s">
        <v>955</v>
      </c>
      <c r="C3866" s="5" t="s">
        <v>993</v>
      </c>
      <c r="D3866" s="2" t="s">
        <v>6025</v>
      </c>
    </row>
    <row r="3867" spans="1:4" ht="13.05" customHeight="1" x14ac:dyDescent="0.3">
      <c r="A3867" s="2" t="s">
        <v>555</v>
      </c>
      <c r="B3867" s="2" t="s">
        <v>955</v>
      </c>
      <c r="C3867" s="5" t="s">
        <v>995</v>
      </c>
      <c r="D3867" s="2" t="s">
        <v>6026</v>
      </c>
    </row>
    <row r="3868" spans="1:4" ht="13.05" customHeight="1" x14ac:dyDescent="0.3">
      <c r="A3868" s="2" t="s">
        <v>555</v>
      </c>
      <c r="B3868" s="2" t="s">
        <v>955</v>
      </c>
      <c r="C3868" s="5" t="s">
        <v>997</v>
      </c>
      <c r="D3868" s="2" t="s">
        <v>6027</v>
      </c>
    </row>
    <row r="3869" spans="1:4" ht="13.05" customHeight="1" x14ac:dyDescent="0.3">
      <c r="A3869" s="2" t="s">
        <v>555</v>
      </c>
      <c r="B3869" s="2" t="s">
        <v>955</v>
      </c>
      <c r="C3869" s="5" t="s">
        <v>999</v>
      </c>
      <c r="D3869" s="2" t="s">
        <v>6028</v>
      </c>
    </row>
    <row r="3870" spans="1:4" ht="13.05" customHeight="1" x14ac:dyDescent="0.3">
      <c r="A3870" s="2" t="s">
        <v>555</v>
      </c>
      <c r="B3870" s="2" t="s">
        <v>955</v>
      </c>
      <c r="C3870" s="5" t="s">
        <v>1001</v>
      </c>
      <c r="D3870" s="2" t="s">
        <v>6029</v>
      </c>
    </row>
    <row r="3871" spans="1:4" ht="13.05" customHeight="1" x14ac:dyDescent="0.3">
      <c r="A3871" s="2" t="s">
        <v>555</v>
      </c>
      <c r="B3871" s="2" t="s">
        <v>955</v>
      </c>
      <c r="C3871" s="5" t="s">
        <v>1003</v>
      </c>
      <c r="D3871" s="2" t="s">
        <v>6030</v>
      </c>
    </row>
    <row r="3872" spans="1:4" ht="13.05" customHeight="1" x14ac:dyDescent="0.3">
      <c r="A3872" s="2" t="s">
        <v>555</v>
      </c>
      <c r="B3872" s="2" t="s">
        <v>955</v>
      </c>
      <c r="C3872" s="5" t="s">
        <v>1005</v>
      </c>
      <c r="D3872" s="2" t="s">
        <v>6031</v>
      </c>
    </row>
    <row r="3873" spans="1:4" ht="13.05" customHeight="1" x14ac:dyDescent="0.3">
      <c r="A3873" s="2" t="s">
        <v>555</v>
      </c>
      <c r="B3873" s="2" t="s">
        <v>955</v>
      </c>
      <c r="C3873" s="5" t="s">
        <v>1007</v>
      </c>
      <c r="D3873" s="2" t="s">
        <v>6032</v>
      </c>
    </row>
    <row r="3874" spans="1:4" ht="13.05" customHeight="1" x14ac:dyDescent="0.3">
      <c r="A3874" s="2" t="s">
        <v>555</v>
      </c>
      <c r="B3874" s="2" t="s">
        <v>955</v>
      </c>
      <c r="C3874" s="5" t="s">
        <v>1009</v>
      </c>
      <c r="D3874" s="2" t="s">
        <v>6033</v>
      </c>
    </row>
    <row r="3875" spans="1:4" ht="13.05" customHeight="1" x14ac:dyDescent="0.3">
      <c r="A3875" s="2" t="s">
        <v>555</v>
      </c>
      <c r="B3875" s="2" t="s">
        <v>955</v>
      </c>
      <c r="C3875" s="5" t="s">
        <v>1011</v>
      </c>
      <c r="D3875" s="2" t="s">
        <v>6034</v>
      </c>
    </row>
    <row r="3876" spans="1:4" ht="13.05" customHeight="1" x14ac:dyDescent="0.3">
      <c r="A3876" s="2" t="s">
        <v>555</v>
      </c>
      <c r="B3876" s="2" t="s">
        <v>955</v>
      </c>
      <c r="C3876" s="5" t="s">
        <v>1013</v>
      </c>
      <c r="D3876" s="2" t="s">
        <v>6035</v>
      </c>
    </row>
    <row r="3877" spans="1:4" ht="13.05" customHeight="1" x14ac:dyDescent="0.3">
      <c r="A3877" s="2" t="s">
        <v>555</v>
      </c>
      <c r="B3877" s="2" t="s">
        <v>955</v>
      </c>
      <c r="C3877" s="5" t="s">
        <v>1155</v>
      </c>
      <c r="D3877" s="2" t="s">
        <v>6036</v>
      </c>
    </row>
    <row r="3878" spans="1:4" ht="13.05" customHeight="1" x14ac:dyDescent="0.3">
      <c r="A3878" s="2" t="s">
        <v>555</v>
      </c>
      <c r="B3878" s="2" t="s">
        <v>955</v>
      </c>
      <c r="C3878" s="5" t="s">
        <v>983</v>
      </c>
      <c r="D3878" s="2" t="s">
        <v>984</v>
      </c>
    </row>
    <row r="3879" spans="1:4" ht="13.05" customHeight="1" x14ac:dyDescent="0.3">
      <c r="A3879" s="2" t="s">
        <v>558</v>
      </c>
      <c r="B3879" s="2" t="s">
        <v>955</v>
      </c>
      <c r="C3879" s="5" t="s">
        <v>960</v>
      </c>
      <c r="D3879" s="2" t="s">
        <v>961</v>
      </c>
    </row>
    <row r="3880" spans="1:4" ht="13.05" customHeight="1" x14ac:dyDescent="0.3">
      <c r="A3880" s="2" t="s">
        <v>561</v>
      </c>
      <c r="B3880" s="2" t="s">
        <v>955</v>
      </c>
      <c r="C3880" s="5" t="s">
        <v>974</v>
      </c>
      <c r="D3880" s="2" t="s">
        <v>975</v>
      </c>
    </row>
    <row r="3881" spans="1:4" ht="13.05" customHeight="1" x14ac:dyDescent="0.3">
      <c r="A3881" s="2" t="s">
        <v>561</v>
      </c>
      <c r="B3881" s="2" t="s">
        <v>955</v>
      </c>
      <c r="C3881" s="5" t="s">
        <v>956</v>
      </c>
      <c r="D3881" s="2" t="s">
        <v>957</v>
      </c>
    </row>
    <row r="3882" spans="1:4" ht="13.05" customHeight="1" x14ac:dyDescent="0.3">
      <c r="A3882" s="2" t="s">
        <v>561</v>
      </c>
      <c r="B3882" s="2" t="s">
        <v>955</v>
      </c>
      <c r="C3882" s="5" t="s">
        <v>958</v>
      </c>
      <c r="D3882" s="2" t="s">
        <v>959</v>
      </c>
    </row>
    <row r="3883" spans="1:4" ht="13.05" customHeight="1" x14ac:dyDescent="0.3">
      <c r="A3883" s="2" t="s">
        <v>561</v>
      </c>
      <c r="B3883" s="2" t="s">
        <v>955</v>
      </c>
      <c r="C3883" s="5" t="s">
        <v>960</v>
      </c>
      <c r="D3883" s="2" t="s">
        <v>961</v>
      </c>
    </row>
    <row r="3884" spans="1:4" ht="13.05" customHeight="1" x14ac:dyDescent="0.3">
      <c r="A3884" s="2" t="s">
        <v>561</v>
      </c>
      <c r="B3884" s="2" t="s">
        <v>955</v>
      </c>
      <c r="C3884" s="5" t="s">
        <v>962</v>
      </c>
      <c r="D3884" s="2" t="s">
        <v>6037</v>
      </c>
    </row>
    <row r="3885" spans="1:4" ht="13.05" customHeight="1" x14ac:dyDescent="0.3">
      <c r="A3885" s="2" t="s">
        <v>561</v>
      </c>
      <c r="B3885" s="2" t="s">
        <v>955</v>
      </c>
      <c r="C3885" s="5" t="s">
        <v>964</v>
      </c>
      <c r="D3885" s="2" t="s">
        <v>6038</v>
      </c>
    </row>
    <row r="3886" spans="1:4" ht="13.05" customHeight="1" x14ac:dyDescent="0.3">
      <c r="A3886" s="2" t="s">
        <v>561</v>
      </c>
      <c r="B3886" s="2" t="s">
        <v>955</v>
      </c>
      <c r="C3886" s="5" t="s">
        <v>966</v>
      </c>
      <c r="D3886" s="2" t="s">
        <v>6039</v>
      </c>
    </row>
    <row r="3887" spans="1:4" ht="13.05" customHeight="1" x14ac:dyDescent="0.3">
      <c r="A3887" s="2" t="s">
        <v>564</v>
      </c>
      <c r="B3887" s="2" t="s">
        <v>1018</v>
      </c>
      <c r="C3887" s="5" t="s">
        <v>960</v>
      </c>
      <c r="D3887" s="2" t="s">
        <v>961</v>
      </c>
    </row>
    <row r="3888" spans="1:4" ht="13.05" customHeight="1" x14ac:dyDescent="0.3">
      <c r="A3888" s="2" t="s">
        <v>566</v>
      </c>
      <c r="B3888" s="2" t="s">
        <v>1018</v>
      </c>
      <c r="C3888" s="5" t="s">
        <v>956</v>
      </c>
      <c r="D3888" s="2" t="s">
        <v>1025</v>
      </c>
    </row>
    <row r="3889" spans="1:4" ht="13.05" customHeight="1" x14ac:dyDescent="0.3">
      <c r="A3889" s="2" t="s">
        <v>566</v>
      </c>
      <c r="B3889" s="2" t="s">
        <v>1018</v>
      </c>
      <c r="C3889" s="5" t="s">
        <v>958</v>
      </c>
      <c r="D3889" s="2" t="s">
        <v>959</v>
      </c>
    </row>
    <row r="3890" spans="1:4" ht="13.05" customHeight="1" x14ac:dyDescent="0.3">
      <c r="A3890" s="2" t="s">
        <v>566</v>
      </c>
      <c r="B3890" s="2" t="s">
        <v>1018</v>
      </c>
      <c r="C3890" s="5" t="s">
        <v>960</v>
      </c>
      <c r="D3890" s="2" t="s">
        <v>961</v>
      </c>
    </row>
    <row r="3891" spans="1:4" ht="13.05" customHeight="1" x14ac:dyDescent="0.3">
      <c r="A3891" s="2" t="s">
        <v>566</v>
      </c>
      <c r="B3891" s="2" t="s">
        <v>1018</v>
      </c>
      <c r="C3891" s="5" t="s">
        <v>962</v>
      </c>
      <c r="D3891" s="2" t="s">
        <v>1020</v>
      </c>
    </row>
    <row r="3892" spans="1:4" ht="13.05" customHeight="1" x14ac:dyDescent="0.3">
      <c r="A3892" s="2" t="s">
        <v>566</v>
      </c>
      <c r="B3892" s="2" t="s">
        <v>1018</v>
      </c>
      <c r="C3892" s="5" t="s">
        <v>964</v>
      </c>
      <c r="D3892" s="2" t="s">
        <v>1042</v>
      </c>
    </row>
    <row r="3893" spans="1:4" ht="13.05" customHeight="1" x14ac:dyDescent="0.3">
      <c r="A3893" s="2" t="s">
        <v>566</v>
      </c>
      <c r="B3893" s="2" t="s">
        <v>1018</v>
      </c>
      <c r="C3893" s="5" t="s">
        <v>966</v>
      </c>
      <c r="D3893" s="2" t="s">
        <v>1022</v>
      </c>
    </row>
    <row r="3894" spans="1:4" ht="13.05" customHeight="1" x14ac:dyDescent="0.3">
      <c r="A3894" s="2" t="s">
        <v>566</v>
      </c>
      <c r="B3894" s="2" t="s">
        <v>1018</v>
      </c>
      <c r="C3894" s="5" t="s">
        <v>968</v>
      </c>
      <c r="D3894" s="2" t="s">
        <v>1023</v>
      </c>
    </row>
    <row r="3895" spans="1:4" ht="13.05" customHeight="1" x14ac:dyDescent="0.3">
      <c r="A3895" s="2" t="s">
        <v>566</v>
      </c>
      <c r="B3895" s="2" t="s">
        <v>1018</v>
      </c>
      <c r="C3895" s="5" t="s">
        <v>970</v>
      </c>
      <c r="D3895" s="2" t="s">
        <v>1024</v>
      </c>
    </row>
    <row r="3896" spans="1:4" ht="13.05" customHeight="1" x14ac:dyDescent="0.3">
      <c r="A3896" s="2" t="s">
        <v>569</v>
      </c>
      <c r="B3896" s="2" t="s">
        <v>1018</v>
      </c>
      <c r="C3896" s="5" t="s">
        <v>962</v>
      </c>
      <c r="D3896" s="2" t="s">
        <v>1039</v>
      </c>
    </row>
    <row r="3897" spans="1:4" ht="13.05" customHeight="1" x14ac:dyDescent="0.3">
      <c r="A3897" s="2" t="s">
        <v>569</v>
      </c>
      <c r="B3897" s="2" t="s">
        <v>1018</v>
      </c>
      <c r="C3897" s="5" t="s">
        <v>964</v>
      </c>
      <c r="D3897" s="2" t="s">
        <v>1040</v>
      </c>
    </row>
    <row r="3898" spans="1:4" ht="13.05" customHeight="1" x14ac:dyDescent="0.3">
      <c r="A3898" s="2" t="s">
        <v>571</v>
      </c>
      <c r="B3898" s="2" t="s">
        <v>1018</v>
      </c>
      <c r="C3898" s="5" t="s">
        <v>1152</v>
      </c>
      <c r="D3898" s="2" t="s">
        <v>6003</v>
      </c>
    </row>
    <row r="3899" spans="1:4" ht="13.05" customHeight="1" x14ac:dyDescent="0.3">
      <c r="A3899" s="2" t="s">
        <v>571</v>
      </c>
      <c r="B3899" s="2" t="s">
        <v>1018</v>
      </c>
      <c r="C3899" s="5" t="s">
        <v>962</v>
      </c>
      <c r="D3899" s="2" t="s">
        <v>6004</v>
      </c>
    </row>
    <row r="3900" spans="1:4" ht="13.05" customHeight="1" x14ac:dyDescent="0.3">
      <c r="A3900" s="2" t="s">
        <v>571</v>
      </c>
      <c r="B3900" s="2" t="s">
        <v>1018</v>
      </c>
      <c r="C3900" s="5" t="s">
        <v>964</v>
      </c>
      <c r="D3900" s="2" t="s">
        <v>6005</v>
      </c>
    </row>
    <row r="3901" spans="1:4" ht="13.05" customHeight="1" x14ac:dyDescent="0.3">
      <c r="A3901" s="2" t="s">
        <v>571</v>
      </c>
      <c r="B3901" s="2" t="s">
        <v>1018</v>
      </c>
      <c r="C3901" s="5" t="s">
        <v>966</v>
      </c>
      <c r="D3901" s="2" t="s">
        <v>6006</v>
      </c>
    </row>
    <row r="3902" spans="1:4" ht="13.05" customHeight="1" x14ac:dyDescent="0.3">
      <c r="A3902" s="2" t="s">
        <v>571</v>
      </c>
      <c r="B3902" s="2" t="s">
        <v>1018</v>
      </c>
      <c r="C3902" s="5" t="s">
        <v>968</v>
      </c>
      <c r="D3902" s="2" t="s">
        <v>922</v>
      </c>
    </row>
    <row r="3903" spans="1:4" ht="13.05" customHeight="1" x14ac:dyDescent="0.3">
      <c r="A3903" s="2" t="s">
        <v>571</v>
      </c>
      <c r="B3903" s="2" t="s">
        <v>1018</v>
      </c>
      <c r="C3903" s="5" t="s">
        <v>970</v>
      </c>
      <c r="D3903" s="2" t="s">
        <v>6007</v>
      </c>
    </row>
    <row r="3904" spans="1:4" ht="13.05" customHeight="1" x14ac:dyDescent="0.3">
      <c r="A3904" s="2" t="s">
        <v>571</v>
      </c>
      <c r="B3904" s="2" t="s">
        <v>1018</v>
      </c>
      <c r="C3904" s="5" t="s">
        <v>972</v>
      </c>
      <c r="D3904" s="2" t="s">
        <v>6008</v>
      </c>
    </row>
    <row r="3905" spans="1:4" ht="13.05" customHeight="1" x14ac:dyDescent="0.3">
      <c r="A3905" s="2" t="s">
        <v>571</v>
      </c>
      <c r="B3905" s="2" t="s">
        <v>1018</v>
      </c>
      <c r="C3905" s="5" t="s">
        <v>981</v>
      </c>
      <c r="D3905" s="2" t="s">
        <v>6009</v>
      </c>
    </row>
    <row r="3906" spans="1:4" ht="13.05" customHeight="1" x14ac:dyDescent="0.3">
      <c r="A3906" s="2" t="s">
        <v>571</v>
      </c>
      <c r="B3906" s="2" t="s">
        <v>1018</v>
      </c>
      <c r="C3906" s="5" t="s">
        <v>991</v>
      </c>
      <c r="D3906" s="2" t="s">
        <v>6010</v>
      </c>
    </row>
    <row r="3907" spans="1:4" ht="13.05" customHeight="1" x14ac:dyDescent="0.3">
      <c r="A3907" s="2" t="s">
        <v>571</v>
      </c>
      <c r="B3907" s="2" t="s">
        <v>1018</v>
      </c>
      <c r="C3907" s="5" t="s">
        <v>993</v>
      </c>
      <c r="D3907" s="2" t="s">
        <v>6040</v>
      </c>
    </row>
    <row r="3908" spans="1:4" ht="13.05" customHeight="1" x14ac:dyDescent="0.3">
      <c r="A3908" s="2" t="s">
        <v>571</v>
      </c>
      <c r="B3908" s="2" t="s">
        <v>1018</v>
      </c>
      <c r="C3908" s="5" t="s">
        <v>995</v>
      </c>
      <c r="D3908" s="2" t="s">
        <v>6012</v>
      </c>
    </row>
    <row r="3909" spans="1:4" ht="13.05" customHeight="1" x14ac:dyDescent="0.3">
      <c r="A3909" s="2" t="s">
        <v>571</v>
      </c>
      <c r="B3909" s="2" t="s">
        <v>1018</v>
      </c>
      <c r="C3909" s="5" t="s">
        <v>997</v>
      </c>
      <c r="D3909" s="2" t="s">
        <v>6013</v>
      </c>
    </row>
    <row r="3910" spans="1:4" ht="13.05" customHeight="1" x14ac:dyDescent="0.3">
      <c r="A3910" s="2" t="s">
        <v>571</v>
      </c>
      <c r="B3910" s="2" t="s">
        <v>1018</v>
      </c>
      <c r="C3910" s="5" t="s">
        <v>1001</v>
      </c>
      <c r="D3910" s="2" t="s">
        <v>6015</v>
      </c>
    </row>
    <row r="3911" spans="1:4" ht="13.05" customHeight="1" x14ac:dyDescent="0.3">
      <c r="A3911" s="2" t="s">
        <v>573</v>
      </c>
      <c r="B3911" s="2" t="s">
        <v>1038</v>
      </c>
      <c r="C3911" s="5" t="s">
        <v>974</v>
      </c>
      <c r="D3911" s="2" t="s">
        <v>975</v>
      </c>
    </row>
    <row r="3912" spans="1:4" ht="13.05" customHeight="1" x14ac:dyDescent="0.3">
      <c r="A3912" s="2" t="s">
        <v>575</v>
      </c>
      <c r="B3912" s="2" t="s">
        <v>1038</v>
      </c>
      <c r="C3912" s="5" t="s">
        <v>974</v>
      </c>
      <c r="D3912" s="2" t="s">
        <v>975</v>
      </c>
    </row>
    <row r="3913" spans="1:4" ht="13.05" customHeight="1" x14ac:dyDescent="0.3">
      <c r="A3913" s="2" t="s">
        <v>590</v>
      </c>
      <c r="B3913" s="2" t="s">
        <v>1018</v>
      </c>
      <c r="C3913" s="5" t="s">
        <v>956</v>
      </c>
      <c r="D3913" s="2" t="s">
        <v>1025</v>
      </c>
    </row>
    <row r="3914" spans="1:4" ht="13.05" customHeight="1" x14ac:dyDescent="0.3">
      <c r="A3914" s="2" t="s">
        <v>590</v>
      </c>
      <c r="B3914" s="2" t="s">
        <v>1018</v>
      </c>
      <c r="C3914" s="5" t="s">
        <v>958</v>
      </c>
      <c r="D3914" s="2" t="s">
        <v>959</v>
      </c>
    </row>
    <row r="3915" spans="1:4" ht="13.05" customHeight="1" x14ac:dyDescent="0.3">
      <c r="A3915" s="2" t="s">
        <v>590</v>
      </c>
      <c r="B3915" s="2" t="s">
        <v>1018</v>
      </c>
      <c r="C3915" s="5" t="s">
        <v>960</v>
      </c>
      <c r="D3915" s="2" t="s">
        <v>961</v>
      </c>
    </row>
    <row r="3916" spans="1:4" ht="13.05" customHeight="1" x14ac:dyDescent="0.3">
      <c r="A3916" s="2" t="s">
        <v>590</v>
      </c>
      <c r="B3916" s="2" t="s">
        <v>1018</v>
      </c>
      <c r="C3916" s="5" t="s">
        <v>962</v>
      </c>
      <c r="D3916" s="2" t="s">
        <v>1020</v>
      </c>
    </row>
    <row r="3917" spans="1:4" ht="13.05" customHeight="1" x14ac:dyDescent="0.3">
      <c r="A3917" s="2" t="s">
        <v>590</v>
      </c>
      <c r="B3917" s="2" t="s">
        <v>1018</v>
      </c>
      <c r="C3917" s="5" t="s">
        <v>964</v>
      </c>
      <c r="D3917" s="2" t="s">
        <v>1042</v>
      </c>
    </row>
    <row r="3918" spans="1:4" ht="13.05" customHeight="1" x14ac:dyDescent="0.3">
      <c r="A3918" s="2" t="s">
        <v>590</v>
      </c>
      <c r="B3918" s="2" t="s">
        <v>1018</v>
      </c>
      <c r="C3918" s="5" t="s">
        <v>966</v>
      </c>
      <c r="D3918" s="2" t="s">
        <v>1022</v>
      </c>
    </row>
    <row r="3919" spans="1:4" ht="13.05" customHeight="1" x14ac:dyDescent="0.3">
      <c r="A3919" s="2" t="s">
        <v>590</v>
      </c>
      <c r="B3919" s="2" t="s">
        <v>1018</v>
      </c>
      <c r="C3919" s="5" t="s">
        <v>968</v>
      </c>
      <c r="D3919" s="2" t="s">
        <v>1023</v>
      </c>
    </row>
    <row r="3920" spans="1:4" ht="13.05" customHeight="1" x14ac:dyDescent="0.3">
      <c r="A3920" s="2" t="s">
        <v>590</v>
      </c>
      <c r="B3920" s="2" t="s">
        <v>1018</v>
      </c>
      <c r="C3920" s="5" t="s">
        <v>970</v>
      </c>
      <c r="D3920" s="2" t="s">
        <v>5962</v>
      </c>
    </row>
    <row r="3921" spans="1:4" ht="13.05" customHeight="1" x14ac:dyDescent="0.3">
      <c r="A3921" s="2" t="s">
        <v>593</v>
      </c>
      <c r="B3921" s="2" t="s">
        <v>1018</v>
      </c>
      <c r="C3921" s="5" t="s">
        <v>956</v>
      </c>
      <c r="D3921" s="2" t="s">
        <v>1025</v>
      </c>
    </row>
    <row r="3922" spans="1:4" ht="13.05" customHeight="1" x14ac:dyDescent="0.3">
      <c r="A3922" s="2" t="s">
        <v>593</v>
      </c>
      <c r="B3922" s="2" t="s">
        <v>1018</v>
      </c>
      <c r="C3922" s="5" t="s">
        <v>958</v>
      </c>
      <c r="D3922" s="2" t="s">
        <v>959</v>
      </c>
    </row>
    <row r="3923" spans="1:4" ht="13.05" customHeight="1" x14ac:dyDescent="0.3">
      <c r="A3923" s="2" t="s">
        <v>593</v>
      </c>
      <c r="B3923" s="2" t="s">
        <v>1018</v>
      </c>
      <c r="C3923" s="5" t="s">
        <v>960</v>
      </c>
      <c r="D3923" s="2" t="s">
        <v>961</v>
      </c>
    </row>
    <row r="3924" spans="1:4" ht="13.05" customHeight="1" x14ac:dyDescent="0.3">
      <c r="A3924" s="2" t="s">
        <v>593</v>
      </c>
      <c r="B3924" s="2" t="s">
        <v>1018</v>
      </c>
      <c r="C3924" s="5" t="s">
        <v>962</v>
      </c>
      <c r="D3924" s="2" t="s">
        <v>1020</v>
      </c>
    </row>
    <row r="3925" spans="1:4" ht="13.05" customHeight="1" x14ac:dyDescent="0.3">
      <c r="A3925" s="2" t="s">
        <v>593</v>
      </c>
      <c r="B3925" s="2" t="s">
        <v>1018</v>
      </c>
      <c r="C3925" s="5" t="s">
        <v>964</v>
      </c>
      <c r="D3925" s="2" t="s">
        <v>1021</v>
      </c>
    </row>
    <row r="3926" spans="1:4" ht="13.05" customHeight="1" x14ac:dyDescent="0.3">
      <c r="A3926" s="2" t="s">
        <v>593</v>
      </c>
      <c r="B3926" s="2" t="s">
        <v>1018</v>
      </c>
      <c r="C3926" s="5" t="s">
        <v>966</v>
      </c>
      <c r="D3926" s="2" t="s">
        <v>1022</v>
      </c>
    </row>
    <row r="3927" spans="1:4" ht="13.05" customHeight="1" x14ac:dyDescent="0.3">
      <c r="A3927" s="2" t="s">
        <v>593</v>
      </c>
      <c r="B3927" s="2" t="s">
        <v>1018</v>
      </c>
      <c r="C3927" s="5" t="s">
        <v>968</v>
      </c>
      <c r="D3927" s="2" t="s">
        <v>1023</v>
      </c>
    </row>
    <row r="3928" spans="1:4" ht="13.05" customHeight="1" x14ac:dyDescent="0.3">
      <c r="A3928" s="2" t="s">
        <v>593</v>
      </c>
      <c r="B3928" s="2" t="s">
        <v>1018</v>
      </c>
      <c r="C3928" s="5" t="s">
        <v>970</v>
      </c>
      <c r="D3928" s="2" t="s">
        <v>5962</v>
      </c>
    </row>
    <row r="3929" spans="1:4" ht="13.05" customHeight="1" x14ac:dyDescent="0.3">
      <c r="A3929" s="2" t="s">
        <v>602</v>
      </c>
      <c r="B3929" s="2" t="s">
        <v>955</v>
      </c>
      <c r="C3929" s="5" t="s">
        <v>962</v>
      </c>
      <c r="D3929" s="2" t="s">
        <v>1039</v>
      </c>
    </row>
    <row r="3930" spans="1:4" ht="13.05" customHeight="1" x14ac:dyDescent="0.3">
      <c r="A3930" s="2" t="s">
        <v>602</v>
      </c>
      <c r="B3930" s="2" t="s">
        <v>955</v>
      </c>
      <c r="C3930" s="5" t="s">
        <v>964</v>
      </c>
      <c r="D3930" s="2" t="s">
        <v>1040</v>
      </c>
    </row>
    <row r="3931" spans="1:4" ht="13.05" customHeight="1" x14ac:dyDescent="0.3">
      <c r="A3931" s="2" t="s">
        <v>606</v>
      </c>
      <c r="B3931" s="2" t="s">
        <v>1132</v>
      </c>
      <c r="C3931" s="5" t="s">
        <v>962</v>
      </c>
      <c r="D3931" s="2" t="s">
        <v>1039</v>
      </c>
    </row>
    <row r="3932" spans="1:4" ht="13.05" customHeight="1" x14ac:dyDescent="0.3">
      <c r="A3932" s="2" t="s">
        <v>606</v>
      </c>
      <c r="B3932" s="2" t="s">
        <v>1132</v>
      </c>
      <c r="C3932" s="5" t="s">
        <v>964</v>
      </c>
      <c r="D3932" s="2" t="s">
        <v>1040</v>
      </c>
    </row>
    <row r="3933" spans="1:4" ht="13.05" customHeight="1" x14ac:dyDescent="0.3">
      <c r="A3933" s="2" t="s">
        <v>608</v>
      </c>
      <c r="B3933" s="2" t="s">
        <v>955</v>
      </c>
      <c r="C3933" s="5" t="s">
        <v>974</v>
      </c>
      <c r="D3933" s="2" t="s">
        <v>975</v>
      </c>
    </row>
    <row r="3934" spans="1:4" ht="13.05" customHeight="1" x14ac:dyDescent="0.3">
      <c r="A3934" s="2" t="s">
        <v>608</v>
      </c>
      <c r="B3934" s="2" t="s">
        <v>955</v>
      </c>
      <c r="C3934" s="5" t="s">
        <v>956</v>
      </c>
      <c r="D3934" s="2" t="s">
        <v>957</v>
      </c>
    </row>
    <row r="3935" spans="1:4" ht="13.05" customHeight="1" x14ac:dyDescent="0.3">
      <c r="A3935" s="2" t="s">
        <v>608</v>
      </c>
      <c r="B3935" s="2" t="s">
        <v>955</v>
      </c>
      <c r="C3935" s="5" t="s">
        <v>958</v>
      </c>
      <c r="D3935" s="2" t="s">
        <v>959</v>
      </c>
    </row>
    <row r="3936" spans="1:4" ht="13.05" customHeight="1" x14ac:dyDescent="0.3">
      <c r="A3936" s="2" t="s">
        <v>608</v>
      </c>
      <c r="B3936" s="2" t="s">
        <v>955</v>
      </c>
      <c r="C3936" s="5" t="s">
        <v>960</v>
      </c>
      <c r="D3936" s="2" t="s">
        <v>961</v>
      </c>
    </row>
    <row r="3937" spans="1:4" ht="13.05" customHeight="1" x14ac:dyDescent="0.3">
      <c r="A3937" s="2" t="s">
        <v>613</v>
      </c>
      <c r="B3937" s="2" t="s">
        <v>1132</v>
      </c>
      <c r="C3937" s="5" t="s">
        <v>974</v>
      </c>
      <c r="D3937" s="2" t="s">
        <v>975</v>
      </c>
    </row>
    <row r="3938" spans="1:4" ht="13.05" customHeight="1" x14ac:dyDescent="0.3">
      <c r="A3938" s="2" t="s">
        <v>613</v>
      </c>
      <c r="B3938" s="2" t="s">
        <v>1132</v>
      </c>
      <c r="C3938" s="5" t="s">
        <v>956</v>
      </c>
      <c r="D3938" s="2" t="s">
        <v>1025</v>
      </c>
    </row>
    <row r="3939" spans="1:4" ht="13.05" customHeight="1" x14ac:dyDescent="0.3">
      <c r="A3939" s="2" t="s">
        <v>613</v>
      </c>
      <c r="B3939" s="2" t="s">
        <v>1132</v>
      </c>
      <c r="C3939" s="5" t="s">
        <v>958</v>
      </c>
      <c r="D3939" s="2" t="s">
        <v>1019</v>
      </c>
    </row>
    <row r="3940" spans="1:4" ht="13.05" customHeight="1" x14ac:dyDescent="0.3">
      <c r="A3940" s="2" t="s">
        <v>613</v>
      </c>
      <c r="B3940" s="2" t="s">
        <v>1132</v>
      </c>
      <c r="C3940" s="5" t="s">
        <v>960</v>
      </c>
      <c r="D3940" s="2" t="s">
        <v>961</v>
      </c>
    </row>
    <row r="3941" spans="1:4" ht="13.05" customHeight="1" x14ac:dyDescent="0.3">
      <c r="A3941" s="2" t="s">
        <v>613</v>
      </c>
      <c r="B3941" s="2" t="s">
        <v>1132</v>
      </c>
      <c r="C3941" s="5" t="s">
        <v>962</v>
      </c>
      <c r="D3941" s="2" t="s">
        <v>827</v>
      </c>
    </row>
    <row r="3942" spans="1:4" ht="13.05" customHeight="1" x14ac:dyDescent="0.3">
      <c r="A3942" s="2" t="s">
        <v>613</v>
      </c>
      <c r="B3942" s="2" t="s">
        <v>1132</v>
      </c>
      <c r="C3942" s="5" t="s">
        <v>964</v>
      </c>
      <c r="D3942" s="2" t="s">
        <v>6041</v>
      </c>
    </row>
    <row r="3943" spans="1:4" ht="13.05" customHeight="1" x14ac:dyDescent="0.3">
      <c r="A3943" s="2" t="s">
        <v>613</v>
      </c>
      <c r="B3943" s="2" t="s">
        <v>1132</v>
      </c>
      <c r="C3943" s="5" t="s">
        <v>966</v>
      </c>
      <c r="D3943" s="2" t="s">
        <v>6020</v>
      </c>
    </row>
    <row r="3944" spans="1:4" ht="13.05" customHeight="1" x14ac:dyDescent="0.3">
      <c r="A3944" s="2" t="s">
        <v>613</v>
      </c>
      <c r="B3944" s="2" t="s">
        <v>1132</v>
      </c>
      <c r="C3944" s="5" t="s">
        <v>968</v>
      </c>
      <c r="D3944" s="2" t="s">
        <v>6021</v>
      </c>
    </row>
    <row r="3945" spans="1:4" ht="13.05" customHeight="1" x14ac:dyDescent="0.3">
      <c r="A3945" s="2" t="s">
        <v>613</v>
      </c>
      <c r="B3945" s="2" t="s">
        <v>1132</v>
      </c>
      <c r="C3945" s="5" t="s">
        <v>970</v>
      </c>
      <c r="D3945" s="2" t="s">
        <v>6042</v>
      </c>
    </row>
    <row r="3946" spans="1:4" ht="13.05" customHeight="1" x14ac:dyDescent="0.3">
      <c r="A3946" s="2" t="s">
        <v>613</v>
      </c>
      <c r="B3946" s="2" t="s">
        <v>1132</v>
      </c>
      <c r="C3946" s="5" t="s">
        <v>972</v>
      </c>
      <c r="D3946" s="2" t="s">
        <v>6043</v>
      </c>
    </row>
    <row r="3947" spans="1:4" ht="13.05" customHeight="1" x14ac:dyDescent="0.3">
      <c r="A3947" s="2" t="s">
        <v>613</v>
      </c>
      <c r="B3947" s="2" t="s">
        <v>1132</v>
      </c>
      <c r="C3947" s="5" t="s">
        <v>981</v>
      </c>
      <c r="D3947" s="2" t="s">
        <v>6044</v>
      </c>
    </row>
    <row r="3948" spans="1:4" ht="13.05" customHeight="1" x14ac:dyDescent="0.3">
      <c r="A3948" s="2" t="s">
        <v>613</v>
      </c>
      <c r="B3948" s="2" t="s">
        <v>1132</v>
      </c>
      <c r="C3948" s="5" t="s">
        <v>991</v>
      </c>
      <c r="D3948" s="2" t="s">
        <v>6045</v>
      </c>
    </row>
    <row r="3949" spans="1:4" ht="13.05" customHeight="1" x14ac:dyDescent="0.3">
      <c r="A3949" s="2" t="s">
        <v>613</v>
      </c>
      <c r="B3949" s="2" t="s">
        <v>1132</v>
      </c>
      <c r="C3949" s="5" t="s">
        <v>993</v>
      </c>
      <c r="D3949" s="2" t="s">
        <v>6046</v>
      </c>
    </row>
    <row r="3950" spans="1:4" ht="13.05" customHeight="1" x14ac:dyDescent="0.3">
      <c r="A3950" s="2" t="s">
        <v>613</v>
      </c>
      <c r="B3950" s="2" t="s">
        <v>1132</v>
      </c>
      <c r="C3950" s="5" t="s">
        <v>995</v>
      </c>
      <c r="D3950" s="2" t="s">
        <v>6047</v>
      </c>
    </row>
    <row r="3951" spans="1:4" ht="13.05" customHeight="1" x14ac:dyDescent="0.3">
      <c r="A3951" s="2" t="s">
        <v>613</v>
      </c>
      <c r="B3951" s="2" t="s">
        <v>1132</v>
      </c>
      <c r="C3951" s="5" t="s">
        <v>997</v>
      </c>
      <c r="D3951" s="2" t="s">
        <v>6048</v>
      </c>
    </row>
    <row r="3952" spans="1:4" ht="13.05" customHeight="1" x14ac:dyDescent="0.3">
      <c r="A3952" s="2" t="s">
        <v>613</v>
      </c>
      <c r="B3952" s="2" t="s">
        <v>1132</v>
      </c>
      <c r="C3952" s="5" t="s">
        <v>999</v>
      </c>
      <c r="D3952" s="2" t="s">
        <v>6028</v>
      </c>
    </row>
    <row r="3953" spans="1:4" ht="13.05" customHeight="1" x14ac:dyDescent="0.3">
      <c r="A3953" s="2" t="s">
        <v>613</v>
      </c>
      <c r="B3953" s="2" t="s">
        <v>1132</v>
      </c>
      <c r="C3953" s="5" t="s">
        <v>1001</v>
      </c>
      <c r="D3953" s="2" t="s">
        <v>6049</v>
      </c>
    </row>
    <row r="3954" spans="1:4" ht="13.05" customHeight="1" x14ac:dyDescent="0.3">
      <c r="A3954" s="2" t="s">
        <v>613</v>
      </c>
      <c r="B3954" s="2" t="s">
        <v>1132</v>
      </c>
      <c r="C3954" s="5" t="s">
        <v>1003</v>
      </c>
      <c r="D3954" s="2" t="s">
        <v>6030</v>
      </c>
    </row>
    <row r="3955" spans="1:4" ht="13.05" customHeight="1" x14ac:dyDescent="0.3">
      <c r="A3955" s="2" t="s">
        <v>613</v>
      </c>
      <c r="B3955" s="2" t="s">
        <v>1132</v>
      </c>
      <c r="C3955" s="5" t="s">
        <v>1005</v>
      </c>
      <c r="D3955" s="2" t="s">
        <v>6031</v>
      </c>
    </row>
    <row r="3956" spans="1:4" ht="13.05" customHeight="1" x14ac:dyDescent="0.3">
      <c r="A3956" s="2" t="s">
        <v>613</v>
      </c>
      <c r="B3956" s="2" t="s">
        <v>1132</v>
      </c>
      <c r="C3956" s="5" t="s">
        <v>1007</v>
      </c>
      <c r="D3956" s="2" t="s">
        <v>6050</v>
      </c>
    </row>
    <row r="3957" spans="1:4" ht="13.05" customHeight="1" x14ac:dyDescent="0.3">
      <c r="A3957" s="2" t="s">
        <v>613</v>
      </c>
      <c r="B3957" s="2" t="s">
        <v>1132</v>
      </c>
      <c r="C3957" s="5" t="s">
        <v>1009</v>
      </c>
      <c r="D3957" s="2" t="s">
        <v>6051</v>
      </c>
    </row>
    <row r="3958" spans="1:4" ht="13.05" customHeight="1" x14ac:dyDescent="0.3">
      <c r="A3958" s="2" t="s">
        <v>613</v>
      </c>
      <c r="B3958" s="2" t="s">
        <v>1132</v>
      </c>
      <c r="C3958" s="5" t="s">
        <v>1011</v>
      </c>
      <c r="D3958" s="2" t="s">
        <v>978</v>
      </c>
    </row>
    <row r="3959" spans="1:4" ht="13.05" customHeight="1" x14ac:dyDescent="0.3">
      <c r="A3959" s="2" t="s">
        <v>613</v>
      </c>
      <c r="B3959" s="2" t="s">
        <v>1132</v>
      </c>
      <c r="C3959" s="5" t="s">
        <v>1013</v>
      </c>
      <c r="D3959" s="2" t="s">
        <v>6052</v>
      </c>
    </row>
    <row r="3960" spans="1:4" ht="13.05" customHeight="1" x14ac:dyDescent="0.3">
      <c r="A3960" s="2" t="s">
        <v>613</v>
      </c>
      <c r="B3960" s="2" t="s">
        <v>1132</v>
      </c>
      <c r="C3960" s="5" t="s">
        <v>1155</v>
      </c>
      <c r="D3960" s="2" t="s">
        <v>6036</v>
      </c>
    </row>
    <row r="3961" spans="1:4" ht="13.05" customHeight="1" x14ac:dyDescent="0.3">
      <c r="A3961" s="2" t="s">
        <v>613</v>
      </c>
      <c r="B3961" s="2" t="s">
        <v>1132</v>
      </c>
      <c r="C3961" s="5" t="s">
        <v>983</v>
      </c>
      <c r="D3961" s="2" t="s">
        <v>6053</v>
      </c>
    </row>
    <row r="3962" spans="1:4" ht="13.05" customHeight="1" x14ac:dyDescent="0.3">
      <c r="A3962" s="2" t="s">
        <v>616</v>
      </c>
      <c r="B3962" s="2" t="s">
        <v>1132</v>
      </c>
      <c r="C3962" s="5" t="s">
        <v>974</v>
      </c>
      <c r="D3962" s="2" t="s">
        <v>975</v>
      </c>
    </row>
    <row r="3963" spans="1:4" ht="13.05" customHeight="1" x14ac:dyDescent="0.3">
      <c r="A3963" s="2" t="s">
        <v>616</v>
      </c>
      <c r="B3963" s="2" t="s">
        <v>1132</v>
      </c>
      <c r="C3963" s="5" t="s">
        <v>956</v>
      </c>
      <c r="D3963" s="2" t="s">
        <v>1025</v>
      </c>
    </row>
    <row r="3964" spans="1:4" ht="13.05" customHeight="1" x14ac:dyDescent="0.3">
      <c r="A3964" s="2" t="s">
        <v>616</v>
      </c>
      <c r="B3964" s="2" t="s">
        <v>1132</v>
      </c>
      <c r="C3964" s="5" t="s">
        <v>958</v>
      </c>
      <c r="D3964" s="2" t="s">
        <v>1019</v>
      </c>
    </row>
    <row r="3965" spans="1:4" ht="13.05" customHeight="1" x14ac:dyDescent="0.3">
      <c r="A3965" s="2" t="s">
        <v>616</v>
      </c>
      <c r="B3965" s="2" t="s">
        <v>1132</v>
      </c>
      <c r="C3965" s="5" t="s">
        <v>960</v>
      </c>
      <c r="D3965" s="2" t="s">
        <v>961</v>
      </c>
    </row>
    <row r="3966" spans="1:4" ht="13.05" customHeight="1" x14ac:dyDescent="0.3">
      <c r="A3966" s="2" t="s">
        <v>616</v>
      </c>
      <c r="B3966" s="2" t="s">
        <v>1132</v>
      </c>
      <c r="C3966" s="5" t="s">
        <v>962</v>
      </c>
      <c r="D3966" s="2" t="s">
        <v>827</v>
      </c>
    </row>
    <row r="3967" spans="1:4" ht="13.05" customHeight="1" x14ac:dyDescent="0.3">
      <c r="A3967" s="2" t="s">
        <v>616</v>
      </c>
      <c r="B3967" s="2" t="s">
        <v>1132</v>
      </c>
      <c r="C3967" s="5" t="s">
        <v>964</v>
      </c>
      <c r="D3967" s="2" t="s">
        <v>6041</v>
      </c>
    </row>
    <row r="3968" spans="1:4" ht="13.05" customHeight="1" x14ac:dyDescent="0.3">
      <c r="A3968" s="2" t="s">
        <v>616</v>
      </c>
      <c r="B3968" s="2" t="s">
        <v>1132</v>
      </c>
      <c r="C3968" s="5" t="s">
        <v>966</v>
      </c>
      <c r="D3968" s="2" t="s">
        <v>6020</v>
      </c>
    </row>
    <row r="3969" spans="1:4" ht="13.05" customHeight="1" x14ac:dyDescent="0.3">
      <c r="A3969" s="2" t="s">
        <v>616</v>
      </c>
      <c r="B3969" s="2" t="s">
        <v>1132</v>
      </c>
      <c r="C3969" s="5" t="s">
        <v>968</v>
      </c>
      <c r="D3969" s="2" t="s">
        <v>6021</v>
      </c>
    </row>
    <row r="3970" spans="1:4" ht="13.05" customHeight="1" x14ac:dyDescent="0.3">
      <c r="A3970" s="2" t="s">
        <v>616</v>
      </c>
      <c r="B3970" s="2" t="s">
        <v>1132</v>
      </c>
      <c r="C3970" s="5" t="s">
        <v>970</v>
      </c>
      <c r="D3970" s="2" t="s">
        <v>6042</v>
      </c>
    </row>
    <row r="3971" spans="1:4" ht="13.05" customHeight="1" x14ac:dyDescent="0.3">
      <c r="A3971" s="2" t="s">
        <v>616</v>
      </c>
      <c r="B3971" s="2" t="s">
        <v>1132</v>
      </c>
      <c r="C3971" s="5" t="s">
        <v>972</v>
      </c>
      <c r="D3971" s="2" t="s">
        <v>6043</v>
      </c>
    </row>
    <row r="3972" spans="1:4" ht="13.05" customHeight="1" x14ac:dyDescent="0.3">
      <c r="A3972" s="2" t="s">
        <v>616</v>
      </c>
      <c r="B3972" s="2" t="s">
        <v>1132</v>
      </c>
      <c r="C3972" s="5" t="s">
        <v>981</v>
      </c>
      <c r="D3972" s="2" t="s">
        <v>6044</v>
      </c>
    </row>
    <row r="3973" spans="1:4" ht="13.05" customHeight="1" x14ac:dyDescent="0.3">
      <c r="A3973" s="2" t="s">
        <v>616</v>
      </c>
      <c r="B3973" s="2" t="s">
        <v>1132</v>
      </c>
      <c r="C3973" s="5" t="s">
        <v>991</v>
      </c>
      <c r="D3973" s="2" t="s">
        <v>6045</v>
      </c>
    </row>
    <row r="3974" spans="1:4" ht="13.05" customHeight="1" x14ac:dyDescent="0.3">
      <c r="A3974" s="2" t="s">
        <v>616</v>
      </c>
      <c r="B3974" s="2" t="s">
        <v>1132</v>
      </c>
      <c r="C3974" s="5" t="s">
        <v>993</v>
      </c>
      <c r="D3974" s="2" t="s">
        <v>6046</v>
      </c>
    </row>
    <row r="3975" spans="1:4" ht="13.05" customHeight="1" x14ac:dyDescent="0.3">
      <c r="A3975" s="2" t="s">
        <v>616</v>
      </c>
      <c r="B3975" s="2" t="s">
        <v>1132</v>
      </c>
      <c r="C3975" s="5" t="s">
        <v>995</v>
      </c>
      <c r="D3975" s="2" t="s">
        <v>6047</v>
      </c>
    </row>
    <row r="3976" spans="1:4" ht="13.05" customHeight="1" x14ac:dyDescent="0.3">
      <c r="A3976" s="2" t="s">
        <v>616</v>
      </c>
      <c r="B3976" s="2" t="s">
        <v>1132</v>
      </c>
      <c r="C3976" s="5" t="s">
        <v>997</v>
      </c>
      <c r="D3976" s="2" t="s">
        <v>6048</v>
      </c>
    </row>
    <row r="3977" spans="1:4" ht="13.05" customHeight="1" x14ac:dyDescent="0.3">
      <c r="A3977" s="2" t="s">
        <v>616</v>
      </c>
      <c r="B3977" s="2" t="s">
        <v>1132</v>
      </c>
      <c r="C3977" s="5" t="s">
        <v>999</v>
      </c>
      <c r="D3977" s="2" t="s">
        <v>6028</v>
      </c>
    </row>
    <row r="3978" spans="1:4" ht="13.05" customHeight="1" x14ac:dyDescent="0.3">
      <c r="A3978" s="2" t="s">
        <v>616</v>
      </c>
      <c r="B3978" s="2" t="s">
        <v>1132</v>
      </c>
      <c r="C3978" s="5" t="s">
        <v>1001</v>
      </c>
      <c r="D3978" s="2" t="s">
        <v>6049</v>
      </c>
    </row>
    <row r="3979" spans="1:4" ht="13.05" customHeight="1" x14ac:dyDescent="0.3">
      <c r="A3979" s="2" t="s">
        <v>616</v>
      </c>
      <c r="B3979" s="2" t="s">
        <v>1132</v>
      </c>
      <c r="C3979" s="5" t="s">
        <v>1003</v>
      </c>
      <c r="D3979" s="2" t="s">
        <v>6030</v>
      </c>
    </row>
    <row r="3980" spans="1:4" ht="13.05" customHeight="1" x14ac:dyDescent="0.3">
      <c r="A3980" s="2" t="s">
        <v>616</v>
      </c>
      <c r="B3980" s="2" t="s">
        <v>1132</v>
      </c>
      <c r="C3980" s="5" t="s">
        <v>1005</v>
      </c>
      <c r="D3980" s="2" t="s">
        <v>6031</v>
      </c>
    </row>
    <row r="3981" spans="1:4" ht="13.05" customHeight="1" x14ac:dyDescent="0.3">
      <c r="A3981" s="2" t="s">
        <v>616</v>
      </c>
      <c r="B3981" s="2" t="s">
        <v>1132</v>
      </c>
      <c r="C3981" s="5" t="s">
        <v>1007</v>
      </c>
      <c r="D3981" s="2" t="s">
        <v>6050</v>
      </c>
    </row>
    <row r="3982" spans="1:4" ht="13.05" customHeight="1" x14ac:dyDescent="0.3">
      <c r="A3982" s="2" t="s">
        <v>616</v>
      </c>
      <c r="B3982" s="2" t="s">
        <v>1132</v>
      </c>
      <c r="C3982" s="5" t="s">
        <v>1009</v>
      </c>
      <c r="D3982" s="2" t="s">
        <v>6051</v>
      </c>
    </row>
    <row r="3983" spans="1:4" ht="13.05" customHeight="1" x14ac:dyDescent="0.3">
      <c r="A3983" s="2" t="s">
        <v>616</v>
      </c>
      <c r="B3983" s="2" t="s">
        <v>1132</v>
      </c>
      <c r="C3983" s="5" t="s">
        <v>1011</v>
      </c>
      <c r="D3983" s="2" t="s">
        <v>978</v>
      </c>
    </row>
    <row r="3984" spans="1:4" ht="13.05" customHeight="1" x14ac:dyDescent="0.3">
      <c r="A3984" s="2" t="s">
        <v>616</v>
      </c>
      <c r="B3984" s="2" t="s">
        <v>1132</v>
      </c>
      <c r="C3984" s="5" t="s">
        <v>1013</v>
      </c>
      <c r="D3984" s="2" t="s">
        <v>6052</v>
      </c>
    </row>
    <row r="3985" spans="1:4" ht="13.05" customHeight="1" x14ac:dyDescent="0.3">
      <c r="A3985" s="2" t="s">
        <v>616</v>
      </c>
      <c r="B3985" s="2" t="s">
        <v>1132</v>
      </c>
      <c r="C3985" s="5" t="s">
        <v>1155</v>
      </c>
      <c r="D3985" s="2" t="s">
        <v>6036</v>
      </c>
    </row>
    <row r="3986" spans="1:4" ht="13.05" customHeight="1" x14ac:dyDescent="0.3">
      <c r="A3986" s="2" t="s">
        <v>616</v>
      </c>
      <c r="B3986" s="2" t="s">
        <v>1132</v>
      </c>
      <c r="C3986" s="5" t="s">
        <v>983</v>
      </c>
      <c r="D3986" s="2" t="s">
        <v>6053</v>
      </c>
    </row>
    <row r="3987" spans="1:4" ht="13.05" customHeight="1" x14ac:dyDescent="0.3">
      <c r="A3987" s="2" t="s">
        <v>618</v>
      </c>
      <c r="B3987" s="2" t="s">
        <v>1132</v>
      </c>
      <c r="C3987" s="5" t="s">
        <v>974</v>
      </c>
      <c r="D3987" s="2" t="s">
        <v>975</v>
      </c>
    </row>
    <row r="3988" spans="1:4" ht="13.05" customHeight="1" x14ac:dyDescent="0.3">
      <c r="A3988" s="2" t="s">
        <v>618</v>
      </c>
      <c r="B3988" s="2" t="s">
        <v>1132</v>
      </c>
      <c r="C3988" s="5" t="s">
        <v>956</v>
      </c>
      <c r="D3988" s="2" t="s">
        <v>1025</v>
      </c>
    </row>
    <row r="3989" spans="1:4" ht="13.05" customHeight="1" x14ac:dyDescent="0.3">
      <c r="A3989" s="2" t="s">
        <v>618</v>
      </c>
      <c r="B3989" s="2" t="s">
        <v>1132</v>
      </c>
      <c r="C3989" s="5" t="s">
        <v>958</v>
      </c>
      <c r="D3989" s="2" t="s">
        <v>1019</v>
      </c>
    </row>
    <row r="3990" spans="1:4" ht="13.05" customHeight="1" x14ac:dyDescent="0.3">
      <c r="A3990" s="2" t="s">
        <v>618</v>
      </c>
      <c r="B3990" s="2" t="s">
        <v>1132</v>
      </c>
      <c r="C3990" s="5" t="s">
        <v>960</v>
      </c>
      <c r="D3990" s="2" t="s">
        <v>961</v>
      </c>
    </row>
    <row r="3991" spans="1:4" ht="13.05" customHeight="1" x14ac:dyDescent="0.3">
      <c r="A3991" s="2" t="s">
        <v>618</v>
      </c>
      <c r="B3991" s="2" t="s">
        <v>1132</v>
      </c>
      <c r="C3991" s="5" t="s">
        <v>962</v>
      </c>
      <c r="D3991" s="2" t="s">
        <v>827</v>
      </c>
    </row>
    <row r="3992" spans="1:4" ht="13.05" customHeight="1" x14ac:dyDescent="0.3">
      <c r="A3992" s="2" t="s">
        <v>618</v>
      </c>
      <c r="B3992" s="2" t="s">
        <v>1132</v>
      </c>
      <c r="C3992" s="5" t="s">
        <v>964</v>
      </c>
      <c r="D3992" s="2" t="s">
        <v>6041</v>
      </c>
    </row>
    <row r="3993" spans="1:4" ht="13.05" customHeight="1" x14ac:dyDescent="0.3">
      <c r="A3993" s="2" t="s">
        <v>618</v>
      </c>
      <c r="B3993" s="2" t="s">
        <v>1132</v>
      </c>
      <c r="C3993" s="5" t="s">
        <v>966</v>
      </c>
      <c r="D3993" s="2" t="s">
        <v>6020</v>
      </c>
    </row>
    <row r="3994" spans="1:4" ht="13.05" customHeight="1" x14ac:dyDescent="0.3">
      <c r="A3994" s="2" t="s">
        <v>618</v>
      </c>
      <c r="B3994" s="2" t="s">
        <v>1132</v>
      </c>
      <c r="C3994" s="5" t="s">
        <v>968</v>
      </c>
      <c r="D3994" s="2" t="s">
        <v>6021</v>
      </c>
    </row>
    <row r="3995" spans="1:4" ht="13.05" customHeight="1" x14ac:dyDescent="0.3">
      <c r="A3995" s="2" t="s">
        <v>618</v>
      </c>
      <c r="B3995" s="2" t="s">
        <v>1132</v>
      </c>
      <c r="C3995" s="5" t="s">
        <v>970</v>
      </c>
      <c r="D3995" s="2" t="s">
        <v>6042</v>
      </c>
    </row>
    <row r="3996" spans="1:4" ht="13.05" customHeight="1" x14ac:dyDescent="0.3">
      <c r="A3996" s="2" t="s">
        <v>618</v>
      </c>
      <c r="B3996" s="2" t="s">
        <v>1132</v>
      </c>
      <c r="C3996" s="5" t="s">
        <v>972</v>
      </c>
      <c r="D3996" s="2" t="s">
        <v>6043</v>
      </c>
    </row>
    <row r="3997" spans="1:4" ht="13.05" customHeight="1" x14ac:dyDescent="0.3">
      <c r="A3997" s="2" t="s">
        <v>618</v>
      </c>
      <c r="B3997" s="2" t="s">
        <v>1132</v>
      </c>
      <c r="C3997" s="5" t="s">
        <v>981</v>
      </c>
      <c r="D3997" s="2" t="s">
        <v>6044</v>
      </c>
    </row>
    <row r="3998" spans="1:4" ht="13.05" customHeight="1" x14ac:dyDescent="0.3">
      <c r="A3998" s="2" t="s">
        <v>618</v>
      </c>
      <c r="B3998" s="2" t="s">
        <v>1132</v>
      </c>
      <c r="C3998" s="5" t="s">
        <v>991</v>
      </c>
      <c r="D3998" s="2" t="s">
        <v>6045</v>
      </c>
    </row>
    <row r="3999" spans="1:4" ht="13.05" customHeight="1" x14ac:dyDescent="0.3">
      <c r="A3999" s="2" t="s">
        <v>618</v>
      </c>
      <c r="B3999" s="2" t="s">
        <v>1132</v>
      </c>
      <c r="C3999" s="5" t="s">
        <v>993</v>
      </c>
      <c r="D3999" s="2" t="s">
        <v>6046</v>
      </c>
    </row>
    <row r="4000" spans="1:4" ht="13.05" customHeight="1" x14ac:dyDescent="0.3">
      <c r="A4000" s="2" t="s">
        <v>618</v>
      </c>
      <c r="B4000" s="2" t="s">
        <v>1132</v>
      </c>
      <c r="C4000" s="5" t="s">
        <v>995</v>
      </c>
      <c r="D4000" s="2" t="s">
        <v>6047</v>
      </c>
    </row>
    <row r="4001" spans="1:4" ht="13.05" customHeight="1" x14ac:dyDescent="0.3">
      <c r="A4001" s="2" t="s">
        <v>618</v>
      </c>
      <c r="B4001" s="2" t="s">
        <v>1132</v>
      </c>
      <c r="C4001" s="5" t="s">
        <v>997</v>
      </c>
      <c r="D4001" s="2" t="s">
        <v>6048</v>
      </c>
    </row>
    <row r="4002" spans="1:4" ht="13.05" customHeight="1" x14ac:dyDescent="0.3">
      <c r="A4002" s="2" t="s">
        <v>618</v>
      </c>
      <c r="B4002" s="2" t="s">
        <v>1132</v>
      </c>
      <c r="C4002" s="5" t="s">
        <v>999</v>
      </c>
      <c r="D4002" s="2" t="s">
        <v>6028</v>
      </c>
    </row>
    <row r="4003" spans="1:4" ht="13.05" customHeight="1" x14ac:dyDescent="0.3">
      <c r="A4003" s="2" t="s">
        <v>618</v>
      </c>
      <c r="B4003" s="2" t="s">
        <v>1132</v>
      </c>
      <c r="C4003" s="5" t="s">
        <v>1001</v>
      </c>
      <c r="D4003" s="2" t="s">
        <v>6049</v>
      </c>
    </row>
    <row r="4004" spans="1:4" ht="13.05" customHeight="1" x14ac:dyDescent="0.3">
      <c r="A4004" s="2" t="s">
        <v>618</v>
      </c>
      <c r="B4004" s="2" t="s">
        <v>1132</v>
      </c>
      <c r="C4004" s="5" t="s">
        <v>1003</v>
      </c>
      <c r="D4004" s="2" t="s">
        <v>6030</v>
      </c>
    </row>
    <row r="4005" spans="1:4" ht="13.05" customHeight="1" x14ac:dyDescent="0.3">
      <c r="A4005" s="2" t="s">
        <v>618</v>
      </c>
      <c r="B4005" s="2" t="s">
        <v>1132</v>
      </c>
      <c r="C4005" s="5" t="s">
        <v>1005</v>
      </c>
      <c r="D4005" s="2" t="s">
        <v>6031</v>
      </c>
    </row>
    <row r="4006" spans="1:4" ht="13.05" customHeight="1" x14ac:dyDescent="0.3">
      <c r="A4006" s="2" t="s">
        <v>618</v>
      </c>
      <c r="B4006" s="2" t="s">
        <v>1132</v>
      </c>
      <c r="C4006" s="5" t="s">
        <v>1007</v>
      </c>
      <c r="D4006" s="2" t="s">
        <v>6050</v>
      </c>
    </row>
    <row r="4007" spans="1:4" ht="13.05" customHeight="1" x14ac:dyDescent="0.3">
      <c r="A4007" s="2" t="s">
        <v>618</v>
      </c>
      <c r="B4007" s="2" t="s">
        <v>1132</v>
      </c>
      <c r="C4007" s="5" t="s">
        <v>1009</v>
      </c>
      <c r="D4007" s="2" t="s">
        <v>6051</v>
      </c>
    </row>
    <row r="4008" spans="1:4" ht="13.05" customHeight="1" x14ac:dyDescent="0.3">
      <c r="A4008" s="2" t="s">
        <v>618</v>
      </c>
      <c r="B4008" s="2" t="s">
        <v>1132</v>
      </c>
      <c r="C4008" s="5" t="s">
        <v>1011</v>
      </c>
      <c r="D4008" s="2" t="s">
        <v>978</v>
      </c>
    </row>
    <row r="4009" spans="1:4" ht="13.05" customHeight="1" x14ac:dyDescent="0.3">
      <c r="A4009" s="2" t="s">
        <v>618</v>
      </c>
      <c r="B4009" s="2" t="s">
        <v>1132</v>
      </c>
      <c r="C4009" s="5" t="s">
        <v>1013</v>
      </c>
      <c r="D4009" s="2" t="s">
        <v>6052</v>
      </c>
    </row>
    <row r="4010" spans="1:4" ht="13.05" customHeight="1" x14ac:dyDescent="0.3">
      <c r="A4010" s="2" t="s">
        <v>618</v>
      </c>
      <c r="B4010" s="2" t="s">
        <v>1132</v>
      </c>
      <c r="C4010" s="5" t="s">
        <v>1155</v>
      </c>
      <c r="D4010" s="2" t="s">
        <v>6036</v>
      </c>
    </row>
    <row r="4011" spans="1:4" ht="13.05" customHeight="1" x14ac:dyDescent="0.3">
      <c r="A4011" s="2" t="s">
        <v>618</v>
      </c>
      <c r="B4011" s="2" t="s">
        <v>1132</v>
      </c>
      <c r="C4011" s="5" t="s">
        <v>983</v>
      </c>
      <c r="D4011" s="2" t="s">
        <v>6053</v>
      </c>
    </row>
    <row r="4012" spans="1:4" ht="13.05" customHeight="1" x14ac:dyDescent="0.3">
      <c r="A4012" s="2" t="s">
        <v>620</v>
      </c>
      <c r="B4012" s="2" t="s">
        <v>1132</v>
      </c>
      <c r="C4012" s="5" t="s">
        <v>974</v>
      </c>
      <c r="D4012" s="2" t="s">
        <v>975</v>
      </c>
    </row>
    <row r="4013" spans="1:4" ht="13.05" customHeight="1" x14ac:dyDescent="0.3">
      <c r="A4013" s="2" t="s">
        <v>620</v>
      </c>
      <c r="B4013" s="2" t="s">
        <v>1132</v>
      </c>
      <c r="C4013" s="5" t="s">
        <v>956</v>
      </c>
      <c r="D4013" s="2" t="s">
        <v>1025</v>
      </c>
    </row>
    <row r="4014" spans="1:4" ht="13.05" customHeight="1" x14ac:dyDescent="0.3">
      <c r="A4014" s="2" t="s">
        <v>620</v>
      </c>
      <c r="B4014" s="2" t="s">
        <v>1132</v>
      </c>
      <c r="C4014" s="5" t="s">
        <v>958</v>
      </c>
      <c r="D4014" s="2" t="s">
        <v>1019</v>
      </c>
    </row>
    <row r="4015" spans="1:4" ht="13.05" customHeight="1" x14ac:dyDescent="0.3">
      <c r="A4015" s="2" t="s">
        <v>620</v>
      </c>
      <c r="B4015" s="2" t="s">
        <v>1132</v>
      </c>
      <c r="C4015" s="5" t="s">
        <v>960</v>
      </c>
      <c r="D4015" s="2" t="s">
        <v>961</v>
      </c>
    </row>
    <row r="4016" spans="1:4" ht="13.05" customHeight="1" x14ac:dyDescent="0.3">
      <c r="A4016" s="2" t="s">
        <v>620</v>
      </c>
      <c r="B4016" s="2" t="s">
        <v>1132</v>
      </c>
      <c r="C4016" s="5" t="s">
        <v>962</v>
      </c>
      <c r="D4016" s="2" t="s">
        <v>827</v>
      </c>
    </row>
    <row r="4017" spans="1:4" ht="13.05" customHeight="1" x14ac:dyDescent="0.3">
      <c r="A4017" s="2" t="s">
        <v>620</v>
      </c>
      <c r="B4017" s="2" t="s">
        <v>1132</v>
      </c>
      <c r="C4017" s="5" t="s">
        <v>964</v>
      </c>
      <c r="D4017" s="2" t="s">
        <v>6041</v>
      </c>
    </row>
    <row r="4018" spans="1:4" ht="13.05" customHeight="1" x14ac:dyDescent="0.3">
      <c r="A4018" s="2" t="s">
        <v>620</v>
      </c>
      <c r="B4018" s="2" t="s">
        <v>1132</v>
      </c>
      <c r="C4018" s="5" t="s">
        <v>966</v>
      </c>
      <c r="D4018" s="2" t="s">
        <v>6020</v>
      </c>
    </row>
    <row r="4019" spans="1:4" ht="13.05" customHeight="1" x14ac:dyDescent="0.3">
      <c r="A4019" s="2" t="s">
        <v>620</v>
      </c>
      <c r="B4019" s="2" t="s">
        <v>1132</v>
      </c>
      <c r="C4019" s="5" t="s">
        <v>968</v>
      </c>
      <c r="D4019" s="2" t="s">
        <v>6021</v>
      </c>
    </row>
    <row r="4020" spans="1:4" ht="13.05" customHeight="1" x14ac:dyDescent="0.3">
      <c r="A4020" s="2" t="s">
        <v>620</v>
      </c>
      <c r="B4020" s="2" t="s">
        <v>1132</v>
      </c>
      <c r="C4020" s="5" t="s">
        <v>970</v>
      </c>
      <c r="D4020" s="2" t="s">
        <v>6042</v>
      </c>
    </row>
    <row r="4021" spans="1:4" ht="13.05" customHeight="1" x14ac:dyDescent="0.3">
      <c r="A4021" s="2" t="s">
        <v>620</v>
      </c>
      <c r="B4021" s="2" t="s">
        <v>1132</v>
      </c>
      <c r="C4021" s="5" t="s">
        <v>972</v>
      </c>
      <c r="D4021" s="2" t="s">
        <v>6043</v>
      </c>
    </row>
    <row r="4022" spans="1:4" ht="13.05" customHeight="1" x14ac:dyDescent="0.3">
      <c r="A4022" s="2" t="s">
        <v>620</v>
      </c>
      <c r="B4022" s="2" t="s">
        <v>1132</v>
      </c>
      <c r="C4022" s="5" t="s">
        <v>981</v>
      </c>
      <c r="D4022" s="2" t="s">
        <v>6044</v>
      </c>
    </row>
    <row r="4023" spans="1:4" ht="13.05" customHeight="1" x14ac:dyDescent="0.3">
      <c r="A4023" s="2" t="s">
        <v>620</v>
      </c>
      <c r="B4023" s="2" t="s">
        <v>1132</v>
      </c>
      <c r="C4023" s="5" t="s">
        <v>991</v>
      </c>
      <c r="D4023" s="2" t="s">
        <v>6045</v>
      </c>
    </row>
    <row r="4024" spans="1:4" ht="13.05" customHeight="1" x14ac:dyDescent="0.3">
      <c r="A4024" s="2" t="s">
        <v>620</v>
      </c>
      <c r="B4024" s="2" t="s">
        <v>1132</v>
      </c>
      <c r="C4024" s="5" t="s">
        <v>993</v>
      </c>
      <c r="D4024" s="2" t="s">
        <v>6046</v>
      </c>
    </row>
    <row r="4025" spans="1:4" ht="13.05" customHeight="1" x14ac:dyDescent="0.3">
      <c r="A4025" s="2" t="s">
        <v>620</v>
      </c>
      <c r="B4025" s="2" t="s">
        <v>1132</v>
      </c>
      <c r="C4025" s="5" t="s">
        <v>995</v>
      </c>
      <c r="D4025" s="2" t="s">
        <v>6047</v>
      </c>
    </row>
    <row r="4026" spans="1:4" ht="13.05" customHeight="1" x14ac:dyDescent="0.3">
      <c r="A4026" s="2" t="s">
        <v>620</v>
      </c>
      <c r="B4026" s="2" t="s">
        <v>1132</v>
      </c>
      <c r="C4026" s="5" t="s">
        <v>997</v>
      </c>
      <c r="D4026" s="2" t="s">
        <v>6048</v>
      </c>
    </row>
    <row r="4027" spans="1:4" ht="13.05" customHeight="1" x14ac:dyDescent="0.3">
      <c r="A4027" s="2" t="s">
        <v>620</v>
      </c>
      <c r="B4027" s="2" t="s">
        <v>1132</v>
      </c>
      <c r="C4027" s="5" t="s">
        <v>999</v>
      </c>
      <c r="D4027" s="2" t="s">
        <v>6028</v>
      </c>
    </row>
    <row r="4028" spans="1:4" ht="13.05" customHeight="1" x14ac:dyDescent="0.3">
      <c r="A4028" s="2" t="s">
        <v>620</v>
      </c>
      <c r="B4028" s="2" t="s">
        <v>1132</v>
      </c>
      <c r="C4028" s="5" t="s">
        <v>1001</v>
      </c>
      <c r="D4028" s="2" t="s">
        <v>6049</v>
      </c>
    </row>
    <row r="4029" spans="1:4" ht="13.05" customHeight="1" x14ac:dyDescent="0.3">
      <c r="A4029" s="2" t="s">
        <v>620</v>
      </c>
      <c r="B4029" s="2" t="s">
        <v>1132</v>
      </c>
      <c r="C4029" s="5" t="s">
        <v>1003</v>
      </c>
      <c r="D4029" s="2" t="s">
        <v>6030</v>
      </c>
    </row>
    <row r="4030" spans="1:4" ht="13.05" customHeight="1" x14ac:dyDescent="0.3">
      <c r="A4030" s="2" t="s">
        <v>620</v>
      </c>
      <c r="B4030" s="2" t="s">
        <v>1132</v>
      </c>
      <c r="C4030" s="5" t="s">
        <v>1005</v>
      </c>
      <c r="D4030" s="2" t="s">
        <v>6031</v>
      </c>
    </row>
    <row r="4031" spans="1:4" ht="13.05" customHeight="1" x14ac:dyDescent="0.3">
      <c r="A4031" s="2" t="s">
        <v>620</v>
      </c>
      <c r="B4031" s="2" t="s">
        <v>1132</v>
      </c>
      <c r="C4031" s="5" t="s">
        <v>1007</v>
      </c>
      <c r="D4031" s="2" t="s">
        <v>6050</v>
      </c>
    </row>
    <row r="4032" spans="1:4" ht="13.05" customHeight="1" x14ac:dyDescent="0.3">
      <c r="A4032" s="2" t="s">
        <v>620</v>
      </c>
      <c r="B4032" s="2" t="s">
        <v>1132</v>
      </c>
      <c r="C4032" s="5" t="s">
        <v>1009</v>
      </c>
      <c r="D4032" s="2" t="s">
        <v>6051</v>
      </c>
    </row>
    <row r="4033" spans="1:4" ht="13.05" customHeight="1" x14ac:dyDescent="0.3">
      <c r="A4033" s="2" t="s">
        <v>620</v>
      </c>
      <c r="B4033" s="2" t="s">
        <v>1132</v>
      </c>
      <c r="C4033" s="5" t="s">
        <v>1011</v>
      </c>
      <c r="D4033" s="2" t="s">
        <v>978</v>
      </c>
    </row>
    <row r="4034" spans="1:4" ht="13.05" customHeight="1" x14ac:dyDescent="0.3">
      <c r="A4034" s="2" t="s">
        <v>620</v>
      </c>
      <c r="B4034" s="2" t="s">
        <v>1132</v>
      </c>
      <c r="C4034" s="5" t="s">
        <v>1013</v>
      </c>
      <c r="D4034" s="2" t="s">
        <v>6052</v>
      </c>
    </row>
    <row r="4035" spans="1:4" ht="13.05" customHeight="1" x14ac:dyDescent="0.3">
      <c r="A4035" s="2" t="s">
        <v>620</v>
      </c>
      <c r="B4035" s="2" t="s">
        <v>1132</v>
      </c>
      <c r="C4035" s="5" t="s">
        <v>1155</v>
      </c>
      <c r="D4035" s="2" t="s">
        <v>6036</v>
      </c>
    </row>
    <row r="4036" spans="1:4" ht="13.05" customHeight="1" x14ac:dyDescent="0.3">
      <c r="A4036" s="2" t="s">
        <v>620</v>
      </c>
      <c r="B4036" s="2" t="s">
        <v>1132</v>
      </c>
      <c r="C4036" s="5" t="s">
        <v>983</v>
      </c>
      <c r="D4036" s="2" t="s">
        <v>6053</v>
      </c>
    </row>
    <row r="4037" spans="1:4" ht="13.05" customHeight="1" x14ac:dyDescent="0.3">
      <c r="A4037" s="2" t="s">
        <v>622</v>
      </c>
      <c r="B4037" s="2" t="s">
        <v>1132</v>
      </c>
      <c r="C4037" s="5" t="s">
        <v>974</v>
      </c>
      <c r="D4037" s="2" t="s">
        <v>975</v>
      </c>
    </row>
    <row r="4038" spans="1:4" ht="13.05" customHeight="1" x14ac:dyDescent="0.3">
      <c r="A4038" s="2" t="s">
        <v>622</v>
      </c>
      <c r="B4038" s="2" t="s">
        <v>1132</v>
      </c>
      <c r="C4038" s="5" t="s">
        <v>956</v>
      </c>
      <c r="D4038" s="2" t="s">
        <v>1025</v>
      </c>
    </row>
    <row r="4039" spans="1:4" ht="13.05" customHeight="1" x14ac:dyDescent="0.3">
      <c r="A4039" s="2" t="s">
        <v>622</v>
      </c>
      <c r="B4039" s="2" t="s">
        <v>1132</v>
      </c>
      <c r="C4039" s="5" t="s">
        <v>958</v>
      </c>
      <c r="D4039" s="2" t="s">
        <v>1019</v>
      </c>
    </row>
    <row r="4040" spans="1:4" ht="13.05" customHeight="1" x14ac:dyDescent="0.3">
      <c r="A4040" s="2" t="s">
        <v>622</v>
      </c>
      <c r="B4040" s="2" t="s">
        <v>1132</v>
      </c>
      <c r="C4040" s="5" t="s">
        <v>960</v>
      </c>
      <c r="D4040" s="2" t="s">
        <v>961</v>
      </c>
    </row>
    <row r="4041" spans="1:4" ht="13.05" customHeight="1" x14ac:dyDescent="0.3">
      <c r="A4041" s="2" t="s">
        <v>622</v>
      </c>
      <c r="B4041" s="2" t="s">
        <v>1132</v>
      </c>
      <c r="C4041" s="5" t="s">
        <v>962</v>
      </c>
      <c r="D4041" s="2" t="s">
        <v>827</v>
      </c>
    </row>
    <row r="4042" spans="1:4" ht="13.05" customHeight="1" x14ac:dyDescent="0.3">
      <c r="A4042" s="2" t="s">
        <v>622</v>
      </c>
      <c r="B4042" s="2" t="s">
        <v>1132</v>
      </c>
      <c r="C4042" s="5" t="s">
        <v>964</v>
      </c>
      <c r="D4042" s="2" t="s">
        <v>6041</v>
      </c>
    </row>
    <row r="4043" spans="1:4" ht="13.05" customHeight="1" x14ac:dyDescent="0.3">
      <c r="A4043" s="2" t="s">
        <v>622</v>
      </c>
      <c r="B4043" s="2" t="s">
        <v>1132</v>
      </c>
      <c r="C4043" s="5" t="s">
        <v>966</v>
      </c>
      <c r="D4043" s="2" t="s">
        <v>6020</v>
      </c>
    </row>
    <row r="4044" spans="1:4" ht="13.05" customHeight="1" x14ac:dyDescent="0.3">
      <c r="A4044" s="2" t="s">
        <v>622</v>
      </c>
      <c r="B4044" s="2" t="s">
        <v>1132</v>
      </c>
      <c r="C4044" s="5" t="s">
        <v>968</v>
      </c>
      <c r="D4044" s="2" t="s">
        <v>6021</v>
      </c>
    </row>
    <row r="4045" spans="1:4" ht="13.05" customHeight="1" x14ac:dyDescent="0.3">
      <c r="A4045" s="2" t="s">
        <v>622</v>
      </c>
      <c r="B4045" s="2" t="s">
        <v>1132</v>
      </c>
      <c r="C4045" s="5" t="s">
        <v>970</v>
      </c>
      <c r="D4045" s="2" t="s">
        <v>6042</v>
      </c>
    </row>
    <row r="4046" spans="1:4" ht="13.05" customHeight="1" x14ac:dyDescent="0.3">
      <c r="A4046" s="2" t="s">
        <v>622</v>
      </c>
      <c r="B4046" s="2" t="s">
        <v>1132</v>
      </c>
      <c r="C4046" s="5" t="s">
        <v>972</v>
      </c>
      <c r="D4046" s="2" t="s">
        <v>6043</v>
      </c>
    </row>
    <row r="4047" spans="1:4" ht="13.05" customHeight="1" x14ac:dyDescent="0.3">
      <c r="A4047" s="2" t="s">
        <v>622</v>
      </c>
      <c r="B4047" s="2" t="s">
        <v>1132</v>
      </c>
      <c r="C4047" s="5" t="s">
        <v>981</v>
      </c>
      <c r="D4047" s="2" t="s">
        <v>6044</v>
      </c>
    </row>
    <row r="4048" spans="1:4" ht="13.05" customHeight="1" x14ac:dyDescent="0.3">
      <c r="A4048" s="2" t="s">
        <v>622</v>
      </c>
      <c r="B4048" s="2" t="s">
        <v>1132</v>
      </c>
      <c r="C4048" s="5" t="s">
        <v>991</v>
      </c>
      <c r="D4048" s="2" t="s">
        <v>6045</v>
      </c>
    </row>
    <row r="4049" spans="1:4" ht="13.05" customHeight="1" x14ac:dyDescent="0.3">
      <c r="A4049" s="2" t="s">
        <v>622</v>
      </c>
      <c r="B4049" s="2" t="s">
        <v>1132</v>
      </c>
      <c r="C4049" s="5" t="s">
        <v>993</v>
      </c>
      <c r="D4049" s="2" t="s">
        <v>6046</v>
      </c>
    </row>
    <row r="4050" spans="1:4" ht="13.05" customHeight="1" x14ac:dyDescent="0.3">
      <c r="A4050" s="2" t="s">
        <v>622</v>
      </c>
      <c r="B4050" s="2" t="s">
        <v>1132</v>
      </c>
      <c r="C4050" s="5" t="s">
        <v>995</v>
      </c>
      <c r="D4050" s="2" t="s">
        <v>6047</v>
      </c>
    </row>
    <row r="4051" spans="1:4" ht="13.05" customHeight="1" x14ac:dyDescent="0.3">
      <c r="A4051" s="2" t="s">
        <v>622</v>
      </c>
      <c r="B4051" s="2" t="s">
        <v>1132</v>
      </c>
      <c r="C4051" s="5" t="s">
        <v>997</v>
      </c>
      <c r="D4051" s="2" t="s">
        <v>6048</v>
      </c>
    </row>
    <row r="4052" spans="1:4" ht="13.05" customHeight="1" x14ac:dyDescent="0.3">
      <c r="A4052" s="2" t="s">
        <v>622</v>
      </c>
      <c r="B4052" s="2" t="s">
        <v>1132</v>
      </c>
      <c r="C4052" s="5" t="s">
        <v>999</v>
      </c>
      <c r="D4052" s="2" t="s">
        <v>6028</v>
      </c>
    </row>
    <row r="4053" spans="1:4" ht="13.05" customHeight="1" x14ac:dyDescent="0.3">
      <c r="A4053" s="2" t="s">
        <v>622</v>
      </c>
      <c r="B4053" s="2" t="s">
        <v>1132</v>
      </c>
      <c r="C4053" s="5" t="s">
        <v>1001</v>
      </c>
      <c r="D4053" s="2" t="s">
        <v>6049</v>
      </c>
    </row>
    <row r="4054" spans="1:4" ht="13.05" customHeight="1" x14ac:dyDescent="0.3">
      <c r="A4054" s="2" t="s">
        <v>622</v>
      </c>
      <c r="B4054" s="2" t="s">
        <v>1132</v>
      </c>
      <c r="C4054" s="5" t="s">
        <v>1003</v>
      </c>
      <c r="D4054" s="2" t="s">
        <v>6030</v>
      </c>
    </row>
    <row r="4055" spans="1:4" ht="13.05" customHeight="1" x14ac:dyDescent="0.3">
      <c r="A4055" s="2" t="s">
        <v>622</v>
      </c>
      <c r="B4055" s="2" t="s">
        <v>1132</v>
      </c>
      <c r="C4055" s="5" t="s">
        <v>1005</v>
      </c>
      <c r="D4055" s="2" t="s">
        <v>6031</v>
      </c>
    </row>
    <row r="4056" spans="1:4" ht="13.05" customHeight="1" x14ac:dyDescent="0.3">
      <c r="A4056" s="2" t="s">
        <v>622</v>
      </c>
      <c r="B4056" s="2" t="s">
        <v>1132</v>
      </c>
      <c r="C4056" s="5" t="s">
        <v>1007</v>
      </c>
      <c r="D4056" s="2" t="s">
        <v>6050</v>
      </c>
    </row>
    <row r="4057" spans="1:4" ht="13.05" customHeight="1" x14ac:dyDescent="0.3">
      <c r="A4057" s="2" t="s">
        <v>622</v>
      </c>
      <c r="B4057" s="2" t="s">
        <v>1132</v>
      </c>
      <c r="C4057" s="5" t="s">
        <v>1009</v>
      </c>
      <c r="D4057" s="2" t="s">
        <v>6051</v>
      </c>
    </row>
    <row r="4058" spans="1:4" ht="13.05" customHeight="1" x14ac:dyDescent="0.3">
      <c r="A4058" s="2" t="s">
        <v>622</v>
      </c>
      <c r="B4058" s="2" t="s">
        <v>1132</v>
      </c>
      <c r="C4058" s="5" t="s">
        <v>1011</v>
      </c>
      <c r="D4058" s="2" t="s">
        <v>978</v>
      </c>
    </row>
    <row r="4059" spans="1:4" ht="13.05" customHeight="1" x14ac:dyDescent="0.3">
      <c r="A4059" s="2" t="s">
        <v>622</v>
      </c>
      <c r="B4059" s="2" t="s">
        <v>1132</v>
      </c>
      <c r="C4059" s="5" t="s">
        <v>1013</v>
      </c>
      <c r="D4059" s="2" t="s">
        <v>6052</v>
      </c>
    </row>
    <row r="4060" spans="1:4" ht="13.05" customHeight="1" x14ac:dyDescent="0.3">
      <c r="A4060" s="2" t="s">
        <v>622</v>
      </c>
      <c r="B4060" s="2" t="s">
        <v>1132</v>
      </c>
      <c r="C4060" s="5" t="s">
        <v>1155</v>
      </c>
      <c r="D4060" s="2" t="s">
        <v>6036</v>
      </c>
    </row>
    <row r="4061" spans="1:4" ht="13.05" customHeight="1" x14ac:dyDescent="0.3">
      <c r="A4061" s="2" t="s">
        <v>622</v>
      </c>
      <c r="B4061" s="2" t="s">
        <v>1132</v>
      </c>
      <c r="C4061" s="5" t="s">
        <v>983</v>
      </c>
      <c r="D4061" s="2" t="s">
        <v>6053</v>
      </c>
    </row>
    <row r="4062" spans="1:4" ht="13.05" customHeight="1" x14ac:dyDescent="0.3">
      <c r="A4062" s="2" t="s">
        <v>624</v>
      </c>
      <c r="B4062" s="2" t="s">
        <v>1132</v>
      </c>
      <c r="C4062" s="5" t="s">
        <v>974</v>
      </c>
      <c r="D4062" s="2" t="s">
        <v>975</v>
      </c>
    </row>
    <row r="4063" spans="1:4" ht="13.05" customHeight="1" x14ac:dyDescent="0.3">
      <c r="A4063" s="2" t="s">
        <v>624</v>
      </c>
      <c r="B4063" s="2" t="s">
        <v>1132</v>
      </c>
      <c r="C4063" s="5" t="s">
        <v>956</v>
      </c>
      <c r="D4063" s="2" t="s">
        <v>1025</v>
      </c>
    </row>
    <row r="4064" spans="1:4" ht="13.05" customHeight="1" x14ac:dyDescent="0.3">
      <c r="A4064" s="2" t="s">
        <v>624</v>
      </c>
      <c r="B4064" s="2" t="s">
        <v>1132</v>
      </c>
      <c r="C4064" s="5" t="s">
        <v>958</v>
      </c>
      <c r="D4064" s="2" t="s">
        <v>1019</v>
      </c>
    </row>
    <row r="4065" spans="1:4" ht="13.05" customHeight="1" x14ac:dyDescent="0.3">
      <c r="A4065" s="2" t="s">
        <v>624</v>
      </c>
      <c r="B4065" s="2" t="s">
        <v>1132</v>
      </c>
      <c r="C4065" s="5" t="s">
        <v>960</v>
      </c>
      <c r="D4065" s="2" t="s">
        <v>961</v>
      </c>
    </row>
    <row r="4066" spans="1:4" ht="13.05" customHeight="1" x14ac:dyDescent="0.3">
      <c r="A4066" s="2" t="s">
        <v>624</v>
      </c>
      <c r="B4066" s="2" t="s">
        <v>1132</v>
      </c>
      <c r="C4066" s="5" t="s">
        <v>962</v>
      </c>
      <c r="D4066" s="2" t="s">
        <v>827</v>
      </c>
    </row>
    <row r="4067" spans="1:4" ht="13.05" customHeight="1" x14ac:dyDescent="0.3">
      <c r="A4067" s="2" t="s">
        <v>624</v>
      </c>
      <c r="B4067" s="2" t="s">
        <v>1132</v>
      </c>
      <c r="C4067" s="5" t="s">
        <v>964</v>
      </c>
      <c r="D4067" s="2" t="s">
        <v>6041</v>
      </c>
    </row>
    <row r="4068" spans="1:4" ht="13.05" customHeight="1" x14ac:dyDescent="0.3">
      <c r="A4068" s="2" t="s">
        <v>624</v>
      </c>
      <c r="B4068" s="2" t="s">
        <v>1132</v>
      </c>
      <c r="C4068" s="5" t="s">
        <v>966</v>
      </c>
      <c r="D4068" s="2" t="s">
        <v>6020</v>
      </c>
    </row>
    <row r="4069" spans="1:4" ht="13.05" customHeight="1" x14ac:dyDescent="0.3">
      <c r="A4069" s="2" t="s">
        <v>624</v>
      </c>
      <c r="B4069" s="2" t="s">
        <v>1132</v>
      </c>
      <c r="C4069" s="5" t="s">
        <v>968</v>
      </c>
      <c r="D4069" s="2" t="s">
        <v>6021</v>
      </c>
    </row>
    <row r="4070" spans="1:4" ht="13.05" customHeight="1" x14ac:dyDescent="0.3">
      <c r="A4070" s="2" t="s">
        <v>624</v>
      </c>
      <c r="B4070" s="2" t="s">
        <v>1132</v>
      </c>
      <c r="C4070" s="5" t="s">
        <v>970</v>
      </c>
      <c r="D4070" s="2" t="s">
        <v>6042</v>
      </c>
    </row>
    <row r="4071" spans="1:4" ht="13.05" customHeight="1" x14ac:dyDescent="0.3">
      <c r="A4071" s="2" t="s">
        <v>624</v>
      </c>
      <c r="B4071" s="2" t="s">
        <v>1132</v>
      </c>
      <c r="C4071" s="5" t="s">
        <v>972</v>
      </c>
      <c r="D4071" s="2" t="s">
        <v>6043</v>
      </c>
    </row>
    <row r="4072" spans="1:4" ht="13.05" customHeight="1" x14ac:dyDescent="0.3">
      <c r="A4072" s="2" t="s">
        <v>624</v>
      </c>
      <c r="B4072" s="2" t="s">
        <v>1132</v>
      </c>
      <c r="C4072" s="5" t="s">
        <v>981</v>
      </c>
      <c r="D4072" s="2" t="s">
        <v>6044</v>
      </c>
    </row>
    <row r="4073" spans="1:4" ht="13.05" customHeight="1" x14ac:dyDescent="0.3">
      <c r="A4073" s="2" t="s">
        <v>624</v>
      </c>
      <c r="B4073" s="2" t="s">
        <v>1132</v>
      </c>
      <c r="C4073" s="5" t="s">
        <v>991</v>
      </c>
      <c r="D4073" s="2" t="s">
        <v>6045</v>
      </c>
    </row>
    <row r="4074" spans="1:4" ht="13.05" customHeight="1" x14ac:dyDescent="0.3">
      <c r="A4074" s="2" t="s">
        <v>624</v>
      </c>
      <c r="B4074" s="2" t="s">
        <v>1132</v>
      </c>
      <c r="C4074" s="5" t="s">
        <v>993</v>
      </c>
      <c r="D4074" s="2" t="s">
        <v>6046</v>
      </c>
    </row>
    <row r="4075" spans="1:4" ht="13.05" customHeight="1" x14ac:dyDescent="0.3">
      <c r="A4075" s="2" t="s">
        <v>624</v>
      </c>
      <c r="B4075" s="2" t="s">
        <v>1132</v>
      </c>
      <c r="C4075" s="5" t="s">
        <v>995</v>
      </c>
      <c r="D4075" s="2" t="s">
        <v>6047</v>
      </c>
    </row>
    <row r="4076" spans="1:4" ht="13.05" customHeight="1" x14ac:dyDescent="0.3">
      <c r="A4076" s="2" t="s">
        <v>624</v>
      </c>
      <c r="B4076" s="2" t="s">
        <v>1132</v>
      </c>
      <c r="C4076" s="5" t="s">
        <v>997</v>
      </c>
      <c r="D4076" s="2" t="s">
        <v>6048</v>
      </c>
    </row>
    <row r="4077" spans="1:4" ht="13.05" customHeight="1" x14ac:dyDescent="0.3">
      <c r="A4077" s="2" t="s">
        <v>624</v>
      </c>
      <c r="B4077" s="2" t="s">
        <v>1132</v>
      </c>
      <c r="C4077" s="5" t="s">
        <v>999</v>
      </c>
      <c r="D4077" s="2" t="s">
        <v>6028</v>
      </c>
    </row>
    <row r="4078" spans="1:4" ht="13.05" customHeight="1" x14ac:dyDescent="0.3">
      <c r="A4078" s="2" t="s">
        <v>624</v>
      </c>
      <c r="B4078" s="2" t="s">
        <v>1132</v>
      </c>
      <c r="C4078" s="5" t="s">
        <v>1001</v>
      </c>
      <c r="D4078" s="2" t="s">
        <v>6049</v>
      </c>
    </row>
    <row r="4079" spans="1:4" ht="13.05" customHeight="1" x14ac:dyDescent="0.3">
      <c r="A4079" s="2" t="s">
        <v>624</v>
      </c>
      <c r="B4079" s="2" t="s">
        <v>1132</v>
      </c>
      <c r="C4079" s="5" t="s">
        <v>1003</v>
      </c>
      <c r="D4079" s="2" t="s">
        <v>6030</v>
      </c>
    </row>
    <row r="4080" spans="1:4" ht="13.05" customHeight="1" x14ac:dyDescent="0.3">
      <c r="A4080" s="2" t="s">
        <v>624</v>
      </c>
      <c r="B4080" s="2" t="s">
        <v>1132</v>
      </c>
      <c r="C4080" s="5" t="s">
        <v>1005</v>
      </c>
      <c r="D4080" s="2" t="s">
        <v>6031</v>
      </c>
    </row>
    <row r="4081" spans="1:4" ht="13.05" customHeight="1" x14ac:dyDescent="0.3">
      <c r="A4081" s="2" t="s">
        <v>624</v>
      </c>
      <c r="B4081" s="2" t="s">
        <v>1132</v>
      </c>
      <c r="C4081" s="5" t="s">
        <v>1007</v>
      </c>
      <c r="D4081" s="2" t="s">
        <v>6050</v>
      </c>
    </row>
    <row r="4082" spans="1:4" ht="13.05" customHeight="1" x14ac:dyDescent="0.3">
      <c r="A4082" s="2" t="s">
        <v>624</v>
      </c>
      <c r="B4082" s="2" t="s">
        <v>1132</v>
      </c>
      <c r="C4082" s="5" t="s">
        <v>1009</v>
      </c>
      <c r="D4082" s="2" t="s">
        <v>6051</v>
      </c>
    </row>
    <row r="4083" spans="1:4" ht="13.05" customHeight="1" x14ac:dyDescent="0.3">
      <c r="A4083" s="2" t="s">
        <v>624</v>
      </c>
      <c r="B4083" s="2" t="s">
        <v>1132</v>
      </c>
      <c r="C4083" s="5" t="s">
        <v>1011</v>
      </c>
      <c r="D4083" s="2" t="s">
        <v>978</v>
      </c>
    </row>
    <row r="4084" spans="1:4" ht="13.05" customHeight="1" x14ac:dyDescent="0.3">
      <c r="A4084" s="2" t="s">
        <v>624</v>
      </c>
      <c r="B4084" s="2" t="s">
        <v>1132</v>
      </c>
      <c r="C4084" s="5" t="s">
        <v>1013</v>
      </c>
      <c r="D4084" s="2" t="s">
        <v>6052</v>
      </c>
    </row>
    <row r="4085" spans="1:4" ht="13.05" customHeight="1" x14ac:dyDescent="0.3">
      <c r="A4085" s="2" t="s">
        <v>624</v>
      </c>
      <c r="B4085" s="2" t="s">
        <v>1132</v>
      </c>
      <c r="C4085" s="5" t="s">
        <v>1155</v>
      </c>
      <c r="D4085" s="2" t="s">
        <v>6036</v>
      </c>
    </row>
    <row r="4086" spans="1:4" ht="13.05" customHeight="1" x14ac:dyDescent="0.3">
      <c r="A4086" s="2" t="s">
        <v>624</v>
      </c>
      <c r="B4086" s="2" t="s">
        <v>1132</v>
      </c>
      <c r="C4086" s="5" t="s">
        <v>983</v>
      </c>
      <c r="D4086" s="2" t="s">
        <v>6053</v>
      </c>
    </row>
    <row r="4087" spans="1:4" ht="13.05" customHeight="1" x14ac:dyDescent="0.3">
      <c r="A4087" s="2" t="s">
        <v>626</v>
      </c>
      <c r="B4087" s="2" t="s">
        <v>1132</v>
      </c>
      <c r="C4087" s="5" t="s">
        <v>974</v>
      </c>
      <c r="D4087" s="2" t="s">
        <v>975</v>
      </c>
    </row>
    <row r="4088" spans="1:4" ht="13.05" customHeight="1" x14ac:dyDescent="0.3">
      <c r="A4088" s="2" t="s">
        <v>626</v>
      </c>
      <c r="B4088" s="2" t="s">
        <v>1132</v>
      </c>
      <c r="C4088" s="5" t="s">
        <v>956</v>
      </c>
      <c r="D4088" s="2" t="s">
        <v>1025</v>
      </c>
    </row>
    <row r="4089" spans="1:4" ht="13.05" customHeight="1" x14ac:dyDescent="0.3">
      <c r="A4089" s="2" t="s">
        <v>626</v>
      </c>
      <c r="B4089" s="2" t="s">
        <v>1132</v>
      </c>
      <c r="C4089" s="5" t="s">
        <v>958</v>
      </c>
      <c r="D4089" s="2" t="s">
        <v>1019</v>
      </c>
    </row>
    <row r="4090" spans="1:4" ht="13.05" customHeight="1" x14ac:dyDescent="0.3">
      <c r="A4090" s="2" t="s">
        <v>626</v>
      </c>
      <c r="B4090" s="2" t="s">
        <v>1132</v>
      </c>
      <c r="C4090" s="5" t="s">
        <v>960</v>
      </c>
      <c r="D4090" s="2" t="s">
        <v>961</v>
      </c>
    </row>
    <row r="4091" spans="1:4" ht="13.05" customHeight="1" x14ac:dyDescent="0.3">
      <c r="A4091" s="2" t="s">
        <v>626</v>
      </c>
      <c r="B4091" s="2" t="s">
        <v>1132</v>
      </c>
      <c r="C4091" s="5" t="s">
        <v>962</v>
      </c>
      <c r="D4091" s="2" t="s">
        <v>827</v>
      </c>
    </row>
    <row r="4092" spans="1:4" ht="13.05" customHeight="1" x14ac:dyDescent="0.3">
      <c r="A4092" s="2" t="s">
        <v>626</v>
      </c>
      <c r="B4092" s="2" t="s">
        <v>1132</v>
      </c>
      <c r="C4092" s="5" t="s">
        <v>964</v>
      </c>
      <c r="D4092" s="2" t="s">
        <v>6041</v>
      </c>
    </row>
    <row r="4093" spans="1:4" ht="13.05" customHeight="1" x14ac:dyDescent="0.3">
      <c r="A4093" s="2" t="s">
        <v>626</v>
      </c>
      <c r="B4093" s="2" t="s">
        <v>1132</v>
      </c>
      <c r="C4093" s="5" t="s">
        <v>966</v>
      </c>
      <c r="D4093" s="2" t="s">
        <v>6020</v>
      </c>
    </row>
    <row r="4094" spans="1:4" ht="13.05" customHeight="1" x14ac:dyDescent="0.3">
      <c r="A4094" s="2" t="s">
        <v>626</v>
      </c>
      <c r="B4094" s="2" t="s">
        <v>1132</v>
      </c>
      <c r="C4094" s="5" t="s">
        <v>968</v>
      </c>
      <c r="D4094" s="2" t="s">
        <v>6021</v>
      </c>
    </row>
    <row r="4095" spans="1:4" ht="13.05" customHeight="1" x14ac:dyDescent="0.3">
      <c r="A4095" s="2" t="s">
        <v>626</v>
      </c>
      <c r="B4095" s="2" t="s">
        <v>1132</v>
      </c>
      <c r="C4095" s="5" t="s">
        <v>970</v>
      </c>
      <c r="D4095" s="2" t="s">
        <v>6042</v>
      </c>
    </row>
    <row r="4096" spans="1:4" ht="13.05" customHeight="1" x14ac:dyDescent="0.3">
      <c r="A4096" s="2" t="s">
        <v>626</v>
      </c>
      <c r="B4096" s="2" t="s">
        <v>1132</v>
      </c>
      <c r="C4096" s="5" t="s">
        <v>972</v>
      </c>
      <c r="D4096" s="2" t="s">
        <v>6043</v>
      </c>
    </row>
    <row r="4097" spans="1:4" ht="13.05" customHeight="1" x14ac:dyDescent="0.3">
      <c r="A4097" s="2" t="s">
        <v>626</v>
      </c>
      <c r="B4097" s="2" t="s">
        <v>1132</v>
      </c>
      <c r="C4097" s="5" t="s">
        <v>981</v>
      </c>
      <c r="D4097" s="2" t="s">
        <v>6044</v>
      </c>
    </row>
    <row r="4098" spans="1:4" ht="13.05" customHeight="1" x14ac:dyDescent="0.3">
      <c r="A4098" s="2" t="s">
        <v>626</v>
      </c>
      <c r="B4098" s="2" t="s">
        <v>1132</v>
      </c>
      <c r="C4098" s="5" t="s">
        <v>991</v>
      </c>
      <c r="D4098" s="2" t="s">
        <v>6045</v>
      </c>
    </row>
    <row r="4099" spans="1:4" ht="13.05" customHeight="1" x14ac:dyDescent="0.3">
      <c r="A4099" s="2" t="s">
        <v>626</v>
      </c>
      <c r="B4099" s="2" t="s">
        <v>1132</v>
      </c>
      <c r="C4099" s="5" t="s">
        <v>993</v>
      </c>
      <c r="D4099" s="2" t="s">
        <v>6046</v>
      </c>
    </row>
    <row r="4100" spans="1:4" ht="13.05" customHeight="1" x14ac:dyDescent="0.3">
      <c r="A4100" s="2" t="s">
        <v>626</v>
      </c>
      <c r="B4100" s="2" t="s">
        <v>1132</v>
      </c>
      <c r="C4100" s="5" t="s">
        <v>995</v>
      </c>
      <c r="D4100" s="2" t="s">
        <v>6047</v>
      </c>
    </row>
    <row r="4101" spans="1:4" ht="13.05" customHeight="1" x14ac:dyDescent="0.3">
      <c r="A4101" s="2" t="s">
        <v>626</v>
      </c>
      <c r="B4101" s="2" t="s">
        <v>1132</v>
      </c>
      <c r="C4101" s="5" t="s">
        <v>997</v>
      </c>
      <c r="D4101" s="2" t="s">
        <v>6048</v>
      </c>
    </row>
    <row r="4102" spans="1:4" ht="13.05" customHeight="1" x14ac:dyDescent="0.3">
      <c r="A4102" s="2" t="s">
        <v>626</v>
      </c>
      <c r="B4102" s="2" t="s">
        <v>1132</v>
      </c>
      <c r="C4102" s="5" t="s">
        <v>999</v>
      </c>
      <c r="D4102" s="2" t="s">
        <v>6028</v>
      </c>
    </row>
    <row r="4103" spans="1:4" ht="13.05" customHeight="1" x14ac:dyDescent="0.3">
      <c r="A4103" s="2" t="s">
        <v>626</v>
      </c>
      <c r="B4103" s="2" t="s">
        <v>1132</v>
      </c>
      <c r="C4103" s="5" t="s">
        <v>1001</v>
      </c>
      <c r="D4103" s="2" t="s">
        <v>6049</v>
      </c>
    </row>
    <row r="4104" spans="1:4" ht="13.05" customHeight="1" x14ac:dyDescent="0.3">
      <c r="A4104" s="2" t="s">
        <v>626</v>
      </c>
      <c r="B4104" s="2" t="s">
        <v>1132</v>
      </c>
      <c r="C4104" s="5" t="s">
        <v>1003</v>
      </c>
      <c r="D4104" s="2" t="s">
        <v>6030</v>
      </c>
    </row>
    <row r="4105" spans="1:4" ht="13.05" customHeight="1" x14ac:dyDescent="0.3">
      <c r="A4105" s="2" t="s">
        <v>626</v>
      </c>
      <c r="B4105" s="2" t="s">
        <v>1132</v>
      </c>
      <c r="C4105" s="5" t="s">
        <v>1005</v>
      </c>
      <c r="D4105" s="2" t="s">
        <v>6031</v>
      </c>
    </row>
    <row r="4106" spans="1:4" ht="13.05" customHeight="1" x14ac:dyDescent="0.3">
      <c r="A4106" s="2" t="s">
        <v>626</v>
      </c>
      <c r="B4106" s="2" t="s">
        <v>1132</v>
      </c>
      <c r="C4106" s="5" t="s">
        <v>1007</v>
      </c>
      <c r="D4106" s="2" t="s">
        <v>6050</v>
      </c>
    </row>
    <row r="4107" spans="1:4" ht="13.05" customHeight="1" x14ac:dyDescent="0.3">
      <c r="A4107" s="2" t="s">
        <v>626</v>
      </c>
      <c r="B4107" s="2" t="s">
        <v>1132</v>
      </c>
      <c r="C4107" s="5" t="s">
        <v>1009</v>
      </c>
      <c r="D4107" s="2" t="s">
        <v>6051</v>
      </c>
    </row>
    <row r="4108" spans="1:4" ht="13.05" customHeight="1" x14ac:dyDescent="0.3">
      <c r="A4108" s="2" t="s">
        <v>626</v>
      </c>
      <c r="B4108" s="2" t="s">
        <v>1132</v>
      </c>
      <c r="C4108" s="5" t="s">
        <v>1011</v>
      </c>
      <c r="D4108" s="2" t="s">
        <v>978</v>
      </c>
    </row>
    <row r="4109" spans="1:4" ht="13.05" customHeight="1" x14ac:dyDescent="0.3">
      <c r="A4109" s="2" t="s">
        <v>626</v>
      </c>
      <c r="B4109" s="2" t="s">
        <v>1132</v>
      </c>
      <c r="C4109" s="5" t="s">
        <v>1013</v>
      </c>
      <c r="D4109" s="2" t="s">
        <v>6052</v>
      </c>
    </row>
    <row r="4110" spans="1:4" ht="13.05" customHeight="1" x14ac:dyDescent="0.3">
      <c r="A4110" s="2" t="s">
        <v>626</v>
      </c>
      <c r="B4110" s="2" t="s">
        <v>1132</v>
      </c>
      <c r="C4110" s="5" t="s">
        <v>1155</v>
      </c>
      <c r="D4110" s="2" t="s">
        <v>6036</v>
      </c>
    </row>
    <row r="4111" spans="1:4" ht="13.05" customHeight="1" x14ac:dyDescent="0.3">
      <c r="A4111" s="2" t="s">
        <v>626</v>
      </c>
      <c r="B4111" s="2" t="s">
        <v>1132</v>
      </c>
      <c r="C4111" s="5" t="s">
        <v>983</v>
      </c>
      <c r="D4111" s="2" t="s">
        <v>6053</v>
      </c>
    </row>
    <row r="4112" spans="1:4" ht="13.05" customHeight="1" x14ac:dyDescent="0.3">
      <c r="A4112" s="2" t="s">
        <v>628</v>
      </c>
      <c r="B4112" s="2" t="s">
        <v>1132</v>
      </c>
      <c r="C4112" s="5" t="s">
        <v>974</v>
      </c>
      <c r="D4112" s="2" t="s">
        <v>975</v>
      </c>
    </row>
    <row r="4113" spans="1:4" ht="13.05" customHeight="1" x14ac:dyDescent="0.3">
      <c r="A4113" s="2" t="s">
        <v>628</v>
      </c>
      <c r="B4113" s="2" t="s">
        <v>1132</v>
      </c>
      <c r="C4113" s="5" t="s">
        <v>956</v>
      </c>
      <c r="D4113" s="2" t="s">
        <v>1025</v>
      </c>
    </row>
    <row r="4114" spans="1:4" ht="13.05" customHeight="1" x14ac:dyDescent="0.3">
      <c r="A4114" s="2" t="s">
        <v>628</v>
      </c>
      <c r="B4114" s="2" t="s">
        <v>1132</v>
      </c>
      <c r="C4114" s="5" t="s">
        <v>958</v>
      </c>
      <c r="D4114" s="2" t="s">
        <v>1019</v>
      </c>
    </row>
    <row r="4115" spans="1:4" ht="13.05" customHeight="1" x14ac:dyDescent="0.3">
      <c r="A4115" s="2" t="s">
        <v>628</v>
      </c>
      <c r="B4115" s="2" t="s">
        <v>1132</v>
      </c>
      <c r="C4115" s="5" t="s">
        <v>960</v>
      </c>
      <c r="D4115" s="2" t="s">
        <v>961</v>
      </c>
    </row>
    <row r="4116" spans="1:4" ht="13.05" customHeight="1" x14ac:dyDescent="0.3">
      <c r="A4116" s="2" t="s">
        <v>628</v>
      </c>
      <c r="B4116" s="2" t="s">
        <v>1132</v>
      </c>
      <c r="C4116" s="5" t="s">
        <v>962</v>
      </c>
      <c r="D4116" s="2" t="s">
        <v>827</v>
      </c>
    </row>
    <row r="4117" spans="1:4" ht="13.05" customHeight="1" x14ac:dyDescent="0.3">
      <c r="A4117" s="2" t="s">
        <v>628</v>
      </c>
      <c r="B4117" s="2" t="s">
        <v>1132</v>
      </c>
      <c r="C4117" s="5" t="s">
        <v>964</v>
      </c>
      <c r="D4117" s="2" t="s">
        <v>6041</v>
      </c>
    </row>
    <row r="4118" spans="1:4" ht="13.05" customHeight="1" x14ac:dyDescent="0.3">
      <c r="A4118" s="2" t="s">
        <v>628</v>
      </c>
      <c r="B4118" s="2" t="s">
        <v>1132</v>
      </c>
      <c r="C4118" s="5" t="s">
        <v>966</v>
      </c>
      <c r="D4118" s="2" t="s">
        <v>6020</v>
      </c>
    </row>
    <row r="4119" spans="1:4" ht="13.05" customHeight="1" x14ac:dyDescent="0.3">
      <c r="A4119" s="2" t="s">
        <v>628</v>
      </c>
      <c r="B4119" s="2" t="s">
        <v>1132</v>
      </c>
      <c r="C4119" s="5" t="s">
        <v>968</v>
      </c>
      <c r="D4119" s="2" t="s">
        <v>6021</v>
      </c>
    </row>
    <row r="4120" spans="1:4" ht="13.05" customHeight="1" x14ac:dyDescent="0.3">
      <c r="A4120" s="2" t="s">
        <v>628</v>
      </c>
      <c r="B4120" s="2" t="s">
        <v>1132</v>
      </c>
      <c r="C4120" s="5" t="s">
        <v>970</v>
      </c>
      <c r="D4120" s="2" t="s">
        <v>6042</v>
      </c>
    </row>
    <row r="4121" spans="1:4" ht="13.05" customHeight="1" x14ac:dyDescent="0.3">
      <c r="A4121" s="2" t="s">
        <v>628</v>
      </c>
      <c r="B4121" s="2" t="s">
        <v>1132</v>
      </c>
      <c r="C4121" s="5" t="s">
        <v>972</v>
      </c>
      <c r="D4121" s="2" t="s">
        <v>6043</v>
      </c>
    </row>
    <row r="4122" spans="1:4" ht="13.05" customHeight="1" x14ac:dyDescent="0.3">
      <c r="A4122" s="2" t="s">
        <v>628</v>
      </c>
      <c r="B4122" s="2" t="s">
        <v>1132</v>
      </c>
      <c r="C4122" s="5" t="s">
        <v>981</v>
      </c>
      <c r="D4122" s="2" t="s">
        <v>6044</v>
      </c>
    </row>
    <row r="4123" spans="1:4" ht="13.05" customHeight="1" x14ac:dyDescent="0.3">
      <c r="A4123" s="2" t="s">
        <v>628</v>
      </c>
      <c r="B4123" s="2" t="s">
        <v>1132</v>
      </c>
      <c r="C4123" s="5" t="s">
        <v>991</v>
      </c>
      <c r="D4123" s="2" t="s">
        <v>6045</v>
      </c>
    </row>
    <row r="4124" spans="1:4" ht="13.05" customHeight="1" x14ac:dyDescent="0.3">
      <c r="A4124" s="2" t="s">
        <v>628</v>
      </c>
      <c r="B4124" s="2" t="s">
        <v>1132</v>
      </c>
      <c r="C4124" s="5" t="s">
        <v>993</v>
      </c>
      <c r="D4124" s="2" t="s">
        <v>6046</v>
      </c>
    </row>
    <row r="4125" spans="1:4" ht="13.05" customHeight="1" x14ac:dyDescent="0.3">
      <c r="A4125" s="2" t="s">
        <v>628</v>
      </c>
      <c r="B4125" s="2" t="s">
        <v>1132</v>
      </c>
      <c r="C4125" s="5" t="s">
        <v>995</v>
      </c>
      <c r="D4125" s="2" t="s">
        <v>6047</v>
      </c>
    </row>
    <row r="4126" spans="1:4" ht="13.05" customHeight="1" x14ac:dyDescent="0.3">
      <c r="A4126" s="2" t="s">
        <v>628</v>
      </c>
      <c r="B4126" s="2" t="s">
        <v>1132</v>
      </c>
      <c r="C4126" s="5" t="s">
        <v>997</v>
      </c>
      <c r="D4126" s="2" t="s">
        <v>6048</v>
      </c>
    </row>
    <row r="4127" spans="1:4" ht="13.05" customHeight="1" x14ac:dyDescent="0.3">
      <c r="A4127" s="2" t="s">
        <v>628</v>
      </c>
      <c r="B4127" s="2" t="s">
        <v>1132</v>
      </c>
      <c r="C4127" s="5" t="s">
        <v>999</v>
      </c>
      <c r="D4127" s="2" t="s">
        <v>6028</v>
      </c>
    </row>
    <row r="4128" spans="1:4" ht="13.05" customHeight="1" x14ac:dyDescent="0.3">
      <c r="A4128" s="2" t="s">
        <v>628</v>
      </c>
      <c r="B4128" s="2" t="s">
        <v>1132</v>
      </c>
      <c r="C4128" s="5" t="s">
        <v>1001</v>
      </c>
      <c r="D4128" s="2" t="s">
        <v>6049</v>
      </c>
    </row>
    <row r="4129" spans="1:4" ht="13.05" customHeight="1" x14ac:dyDescent="0.3">
      <c r="A4129" s="2" t="s">
        <v>628</v>
      </c>
      <c r="B4129" s="2" t="s">
        <v>1132</v>
      </c>
      <c r="C4129" s="5" t="s">
        <v>1003</v>
      </c>
      <c r="D4129" s="2" t="s">
        <v>6030</v>
      </c>
    </row>
    <row r="4130" spans="1:4" ht="13.05" customHeight="1" x14ac:dyDescent="0.3">
      <c r="A4130" s="2" t="s">
        <v>628</v>
      </c>
      <c r="B4130" s="2" t="s">
        <v>1132</v>
      </c>
      <c r="C4130" s="5" t="s">
        <v>1005</v>
      </c>
      <c r="D4130" s="2" t="s">
        <v>6031</v>
      </c>
    </row>
    <row r="4131" spans="1:4" ht="13.05" customHeight="1" x14ac:dyDescent="0.3">
      <c r="A4131" s="2" t="s">
        <v>628</v>
      </c>
      <c r="B4131" s="2" t="s">
        <v>1132</v>
      </c>
      <c r="C4131" s="5" t="s">
        <v>1007</v>
      </c>
      <c r="D4131" s="2" t="s">
        <v>6050</v>
      </c>
    </row>
    <row r="4132" spans="1:4" ht="13.05" customHeight="1" x14ac:dyDescent="0.3">
      <c r="A4132" s="2" t="s">
        <v>628</v>
      </c>
      <c r="B4132" s="2" t="s">
        <v>1132</v>
      </c>
      <c r="C4132" s="5" t="s">
        <v>1009</v>
      </c>
      <c r="D4132" s="2" t="s">
        <v>6051</v>
      </c>
    </row>
    <row r="4133" spans="1:4" ht="13.05" customHeight="1" x14ac:dyDescent="0.3">
      <c r="A4133" s="2" t="s">
        <v>628</v>
      </c>
      <c r="B4133" s="2" t="s">
        <v>1132</v>
      </c>
      <c r="C4133" s="5" t="s">
        <v>1011</v>
      </c>
      <c r="D4133" s="2" t="s">
        <v>978</v>
      </c>
    </row>
    <row r="4134" spans="1:4" ht="13.05" customHeight="1" x14ac:dyDescent="0.3">
      <c r="A4134" s="2" t="s">
        <v>628</v>
      </c>
      <c r="B4134" s="2" t="s">
        <v>1132</v>
      </c>
      <c r="C4134" s="5" t="s">
        <v>1013</v>
      </c>
      <c r="D4134" s="2" t="s">
        <v>6052</v>
      </c>
    </row>
    <row r="4135" spans="1:4" ht="13.05" customHeight="1" x14ac:dyDescent="0.3">
      <c r="A4135" s="2" t="s">
        <v>628</v>
      </c>
      <c r="B4135" s="2" t="s">
        <v>1132</v>
      </c>
      <c r="C4135" s="5" t="s">
        <v>1155</v>
      </c>
      <c r="D4135" s="2" t="s">
        <v>6036</v>
      </c>
    </row>
    <row r="4136" spans="1:4" ht="13.05" customHeight="1" x14ac:dyDescent="0.3">
      <c r="A4136" s="2" t="s">
        <v>628</v>
      </c>
      <c r="B4136" s="2" t="s">
        <v>1132</v>
      </c>
      <c r="C4136" s="5" t="s">
        <v>983</v>
      </c>
      <c r="D4136" s="2" t="s">
        <v>6053</v>
      </c>
    </row>
    <row r="4137" spans="1:4" ht="13.05" customHeight="1" x14ac:dyDescent="0.3">
      <c r="A4137" s="2" t="s">
        <v>630</v>
      </c>
      <c r="B4137" s="2" t="s">
        <v>1132</v>
      </c>
      <c r="C4137" s="5" t="s">
        <v>974</v>
      </c>
      <c r="D4137" s="2" t="s">
        <v>975</v>
      </c>
    </row>
    <row r="4138" spans="1:4" ht="13.05" customHeight="1" x14ac:dyDescent="0.3">
      <c r="A4138" s="2" t="s">
        <v>630</v>
      </c>
      <c r="B4138" s="2" t="s">
        <v>1132</v>
      </c>
      <c r="C4138" s="5" t="s">
        <v>956</v>
      </c>
      <c r="D4138" s="2" t="s">
        <v>1025</v>
      </c>
    </row>
    <row r="4139" spans="1:4" ht="13.05" customHeight="1" x14ac:dyDescent="0.3">
      <c r="A4139" s="2" t="s">
        <v>630</v>
      </c>
      <c r="B4139" s="2" t="s">
        <v>1132</v>
      </c>
      <c r="C4139" s="5" t="s">
        <v>958</v>
      </c>
      <c r="D4139" s="2" t="s">
        <v>1019</v>
      </c>
    </row>
    <row r="4140" spans="1:4" ht="13.05" customHeight="1" x14ac:dyDescent="0.3">
      <c r="A4140" s="2" t="s">
        <v>630</v>
      </c>
      <c r="B4140" s="2" t="s">
        <v>1132</v>
      </c>
      <c r="C4140" s="5" t="s">
        <v>960</v>
      </c>
      <c r="D4140" s="2" t="s">
        <v>961</v>
      </c>
    </row>
    <row r="4141" spans="1:4" ht="13.05" customHeight="1" x14ac:dyDescent="0.3">
      <c r="A4141" s="2" t="s">
        <v>630</v>
      </c>
      <c r="B4141" s="2" t="s">
        <v>1132</v>
      </c>
      <c r="C4141" s="5" t="s">
        <v>962</v>
      </c>
      <c r="D4141" s="2" t="s">
        <v>827</v>
      </c>
    </row>
    <row r="4142" spans="1:4" ht="13.05" customHeight="1" x14ac:dyDescent="0.3">
      <c r="A4142" s="2" t="s">
        <v>630</v>
      </c>
      <c r="B4142" s="2" t="s">
        <v>1132</v>
      </c>
      <c r="C4142" s="5" t="s">
        <v>964</v>
      </c>
      <c r="D4142" s="2" t="s">
        <v>6041</v>
      </c>
    </row>
    <row r="4143" spans="1:4" ht="13.05" customHeight="1" x14ac:dyDescent="0.3">
      <c r="A4143" s="2" t="s">
        <v>630</v>
      </c>
      <c r="B4143" s="2" t="s">
        <v>1132</v>
      </c>
      <c r="C4143" s="5" t="s">
        <v>966</v>
      </c>
      <c r="D4143" s="2" t="s">
        <v>6020</v>
      </c>
    </row>
    <row r="4144" spans="1:4" ht="13.05" customHeight="1" x14ac:dyDescent="0.3">
      <c r="A4144" s="2" t="s">
        <v>630</v>
      </c>
      <c r="B4144" s="2" t="s">
        <v>1132</v>
      </c>
      <c r="C4144" s="5" t="s">
        <v>968</v>
      </c>
      <c r="D4144" s="2" t="s">
        <v>6021</v>
      </c>
    </row>
    <row r="4145" spans="1:4" ht="13.05" customHeight="1" x14ac:dyDescent="0.3">
      <c r="A4145" s="2" t="s">
        <v>630</v>
      </c>
      <c r="B4145" s="2" t="s">
        <v>1132</v>
      </c>
      <c r="C4145" s="5" t="s">
        <v>970</v>
      </c>
      <c r="D4145" s="2" t="s">
        <v>6042</v>
      </c>
    </row>
    <row r="4146" spans="1:4" ht="13.05" customHeight="1" x14ac:dyDescent="0.3">
      <c r="A4146" s="2" t="s">
        <v>630</v>
      </c>
      <c r="B4146" s="2" t="s">
        <v>1132</v>
      </c>
      <c r="C4146" s="5" t="s">
        <v>972</v>
      </c>
      <c r="D4146" s="2" t="s">
        <v>6043</v>
      </c>
    </row>
    <row r="4147" spans="1:4" ht="13.05" customHeight="1" x14ac:dyDescent="0.3">
      <c r="A4147" s="2" t="s">
        <v>630</v>
      </c>
      <c r="B4147" s="2" t="s">
        <v>1132</v>
      </c>
      <c r="C4147" s="5" t="s">
        <v>981</v>
      </c>
      <c r="D4147" s="2" t="s">
        <v>6044</v>
      </c>
    </row>
    <row r="4148" spans="1:4" ht="13.05" customHeight="1" x14ac:dyDescent="0.3">
      <c r="A4148" s="2" t="s">
        <v>630</v>
      </c>
      <c r="B4148" s="2" t="s">
        <v>1132</v>
      </c>
      <c r="C4148" s="5" t="s">
        <v>991</v>
      </c>
      <c r="D4148" s="2" t="s">
        <v>6045</v>
      </c>
    </row>
    <row r="4149" spans="1:4" ht="13.05" customHeight="1" x14ac:dyDescent="0.3">
      <c r="A4149" s="2" t="s">
        <v>630</v>
      </c>
      <c r="B4149" s="2" t="s">
        <v>1132</v>
      </c>
      <c r="C4149" s="5" t="s">
        <v>993</v>
      </c>
      <c r="D4149" s="2" t="s">
        <v>6046</v>
      </c>
    </row>
    <row r="4150" spans="1:4" ht="13.05" customHeight="1" x14ac:dyDescent="0.3">
      <c r="A4150" s="2" t="s">
        <v>630</v>
      </c>
      <c r="B4150" s="2" t="s">
        <v>1132</v>
      </c>
      <c r="C4150" s="5" t="s">
        <v>995</v>
      </c>
      <c r="D4150" s="2" t="s">
        <v>6047</v>
      </c>
    </row>
    <row r="4151" spans="1:4" ht="13.05" customHeight="1" x14ac:dyDescent="0.3">
      <c r="A4151" s="2" t="s">
        <v>630</v>
      </c>
      <c r="B4151" s="2" t="s">
        <v>1132</v>
      </c>
      <c r="C4151" s="5" t="s">
        <v>997</v>
      </c>
      <c r="D4151" s="2" t="s">
        <v>6048</v>
      </c>
    </row>
    <row r="4152" spans="1:4" ht="13.05" customHeight="1" x14ac:dyDescent="0.3">
      <c r="A4152" s="2" t="s">
        <v>630</v>
      </c>
      <c r="B4152" s="2" t="s">
        <v>1132</v>
      </c>
      <c r="C4152" s="5" t="s">
        <v>999</v>
      </c>
      <c r="D4152" s="2" t="s">
        <v>6028</v>
      </c>
    </row>
    <row r="4153" spans="1:4" ht="13.05" customHeight="1" x14ac:dyDescent="0.3">
      <c r="A4153" s="2" t="s">
        <v>630</v>
      </c>
      <c r="B4153" s="2" t="s">
        <v>1132</v>
      </c>
      <c r="C4153" s="5" t="s">
        <v>1001</v>
      </c>
      <c r="D4153" s="2" t="s">
        <v>6049</v>
      </c>
    </row>
    <row r="4154" spans="1:4" ht="13.05" customHeight="1" x14ac:dyDescent="0.3">
      <c r="A4154" s="2" t="s">
        <v>630</v>
      </c>
      <c r="B4154" s="2" t="s">
        <v>1132</v>
      </c>
      <c r="C4154" s="5" t="s">
        <v>1003</v>
      </c>
      <c r="D4154" s="2" t="s">
        <v>6030</v>
      </c>
    </row>
    <row r="4155" spans="1:4" ht="13.05" customHeight="1" x14ac:dyDescent="0.3">
      <c r="A4155" s="2" t="s">
        <v>630</v>
      </c>
      <c r="B4155" s="2" t="s">
        <v>1132</v>
      </c>
      <c r="C4155" s="5" t="s">
        <v>1005</v>
      </c>
      <c r="D4155" s="2" t="s">
        <v>6031</v>
      </c>
    </row>
    <row r="4156" spans="1:4" ht="13.05" customHeight="1" x14ac:dyDescent="0.3">
      <c r="A4156" s="2" t="s">
        <v>630</v>
      </c>
      <c r="B4156" s="2" t="s">
        <v>1132</v>
      </c>
      <c r="C4156" s="5" t="s">
        <v>1007</v>
      </c>
      <c r="D4156" s="2" t="s">
        <v>6050</v>
      </c>
    </row>
    <row r="4157" spans="1:4" ht="13.05" customHeight="1" x14ac:dyDescent="0.3">
      <c r="A4157" s="2" t="s">
        <v>630</v>
      </c>
      <c r="B4157" s="2" t="s">
        <v>1132</v>
      </c>
      <c r="C4157" s="5" t="s">
        <v>1009</v>
      </c>
      <c r="D4157" s="2" t="s">
        <v>6051</v>
      </c>
    </row>
    <row r="4158" spans="1:4" ht="13.05" customHeight="1" x14ac:dyDescent="0.3">
      <c r="A4158" s="2" t="s">
        <v>630</v>
      </c>
      <c r="B4158" s="2" t="s">
        <v>1132</v>
      </c>
      <c r="C4158" s="5" t="s">
        <v>1011</v>
      </c>
      <c r="D4158" s="2" t="s">
        <v>978</v>
      </c>
    </row>
    <row r="4159" spans="1:4" ht="13.05" customHeight="1" x14ac:dyDescent="0.3">
      <c r="A4159" s="2" t="s">
        <v>630</v>
      </c>
      <c r="B4159" s="2" t="s">
        <v>1132</v>
      </c>
      <c r="C4159" s="5" t="s">
        <v>1013</v>
      </c>
      <c r="D4159" s="2" t="s">
        <v>6052</v>
      </c>
    </row>
    <row r="4160" spans="1:4" ht="13.05" customHeight="1" x14ac:dyDescent="0.3">
      <c r="A4160" s="2" t="s">
        <v>630</v>
      </c>
      <c r="B4160" s="2" t="s">
        <v>1132</v>
      </c>
      <c r="C4160" s="5" t="s">
        <v>1155</v>
      </c>
      <c r="D4160" s="2" t="s">
        <v>6036</v>
      </c>
    </row>
    <row r="4161" spans="1:4" ht="13.05" customHeight="1" x14ac:dyDescent="0.3">
      <c r="A4161" s="2" t="s">
        <v>630</v>
      </c>
      <c r="B4161" s="2" t="s">
        <v>1132</v>
      </c>
      <c r="C4161" s="5" t="s">
        <v>983</v>
      </c>
      <c r="D4161" s="2" t="s">
        <v>6053</v>
      </c>
    </row>
    <row r="4162" spans="1:4" ht="13.05" customHeight="1" x14ac:dyDescent="0.3">
      <c r="A4162" s="2" t="s">
        <v>632</v>
      </c>
      <c r="B4162" s="2" t="s">
        <v>1132</v>
      </c>
      <c r="C4162" s="5" t="s">
        <v>974</v>
      </c>
      <c r="D4162" s="2" t="s">
        <v>975</v>
      </c>
    </row>
    <row r="4163" spans="1:4" ht="13.05" customHeight="1" x14ac:dyDescent="0.3">
      <c r="A4163" s="2" t="s">
        <v>632</v>
      </c>
      <c r="B4163" s="2" t="s">
        <v>1132</v>
      </c>
      <c r="C4163" s="5" t="s">
        <v>956</v>
      </c>
      <c r="D4163" s="2" t="s">
        <v>1025</v>
      </c>
    </row>
    <row r="4164" spans="1:4" ht="13.05" customHeight="1" x14ac:dyDescent="0.3">
      <c r="A4164" s="2" t="s">
        <v>632</v>
      </c>
      <c r="B4164" s="2" t="s">
        <v>1132</v>
      </c>
      <c r="C4164" s="5" t="s">
        <v>958</v>
      </c>
      <c r="D4164" s="2" t="s">
        <v>1019</v>
      </c>
    </row>
    <row r="4165" spans="1:4" ht="13.05" customHeight="1" x14ac:dyDescent="0.3">
      <c r="A4165" s="2" t="s">
        <v>632</v>
      </c>
      <c r="B4165" s="2" t="s">
        <v>1132</v>
      </c>
      <c r="C4165" s="5" t="s">
        <v>960</v>
      </c>
      <c r="D4165" s="2" t="s">
        <v>961</v>
      </c>
    </row>
    <row r="4166" spans="1:4" ht="13.05" customHeight="1" x14ac:dyDescent="0.3">
      <c r="A4166" s="2" t="s">
        <v>632</v>
      </c>
      <c r="B4166" s="2" t="s">
        <v>1132</v>
      </c>
      <c r="C4166" s="5" t="s">
        <v>962</v>
      </c>
      <c r="D4166" s="2" t="s">
        <v>827</v>
      </c>
    </row>
    <row r="4167" spans="1:4" ht="13.05" customHeight="1" x14ac:dyDescent="0.3">
      <c r="A4167" s="2" t="s">
        <v>632</v>
      </c>
      <c r="B4167" s="2" t="s">
        <v>1132</v>
      </c>
      <c r="C4167" s="5" t="s">
        <v>964</v>
      </c>
      <c r="D4167" s="2" t="s">
        <v>6041</v>
      </c>
    </row>
    <row r="4168" spans="1:4" ht="13.05" customHeight="1" x14ac:dyDescent="0.3">
      <c r="A4168" s="2" t="s">
        <v>632</v>
      </c>
      <c r="B4168" s="2" t="s">
        <v>1132</v>
      </c>
      <c r="C4168" s="5" t="s">
        <v>966</v>
      </c>
      <c r="D4168" s="2" t="s">
        <v>6020</v>
      </c>
    </row>
    <row r="4169" spans="1:4" ht="13.05" customHeight="1" x14ac:dyDescent="0.3">
      <c r="A4169" s="2" t="s">
        <v>632</v>
      </c>
      <c r="B4169" s="2" t="s">
        <v>1132</v>
      </c>
      <c r="C4169" s="5" t="s">
        <v>968</v>
      </c>
      <c r="D4169" s="2" t="s">
        <v>6021</v>
      </c>
    </row>
    <row r="4170" spans="1:4" ht="13.05" customHeight="1" x14ac:dyDescent="0.3">
      <c r="A4170" s="2" t="s">
        <v>632</v>
      </c>
      <c r="B4170" s="2" t="s">
        <v>1132</v>
      </c>
      <c r="C4170" s="5" t="s">
        <v>970</v>
      </c>
      <c r="D4170" s="2" t="s">
        <v>6042</v>
      </c>
    </row>
    <row r="4171" spans="1:4" ht="13.05" customHeight="1" x14ac:dyDescent="0.3">
      <c r="A4171" s="2" t="s">
        <v>632</v>
      </c>
      <c r="B4171" s="2" t="s">
        <v>1132</v>
      </c>
      <c r="C4171" s="5" t="s">
        <v>972</v>
      </c>
      <c r="D4171" s="2" t="s">
        <v>6043</v>
      </c>
    </row>
    <row r="4172" spans="1:4" ht="13.05" customHeight="1" x14ac:dyDescent="0.3">
      <c r="A4172" s="2" t="s">
        <v>632</v>
      </c>
      <c r="B4172" s="2" t="s">
        <v>1132</v>
      </c>
      <c r="C4172" s="5" t="s">
        <v>981</v>
      </c>
      <c r="D4172" s="2" t="s">
        <v>6044</v>
      </c>
    </row>
    <row r="4173" spans="1:4" ht="13.05" customHeight="1" x14ac:dyDescent="0.3">
      <c r="A4173" s="2" t="s">
        <v>632</v>
      </c>
      <c r="B4173" s="2" t="s">
        <v>1132</v>
      </c>
      <c r="C4173" s="5" t="s">
        <v>991</v>
      </c>
      <c r="D4173" s="2" t="s">
        <v>6045</v>
      </c>
    </row>
    <row r="4174" spans="1:4" ht="13.05" customHeight="1" x14ac:dyDescent="0.3">
      <c r="A4174" s="2" t="s">
        <v>632</v>
      </c>
      <c r="B4174" s="2" t="s">
        <v>1132</v>
      </c>
      <c r="C4174" s="5" t="s">
        <v>993</v>
      </c>
      <c r="D4174" s="2" t="s">
        <v>6046</v>
      </c>
    </row>
    <row r="4175" spans="1:4" ht="13.05" customHeight="1" x14ac:dyDescent="0.3">
      <c r="A4175" s="2" t="s">
        <v>632</v>
      </c>
      <c r="B4175" s="2" t="s">
        <v>1132</v>
      </c>
      <c r="C4175" s="5" t="s">
        <v>995</v>
      </c>
      <c r="D4175" s="2" t="s">
        <v>6047</v>
      </c>
    </row>
    <row r="4176" spans="1:4" ht="13.05" customHeight="1" x14ac:dyDescent="0.3">
      <c r="A4176" s="2" t="s">
        <v>632</v>
      </c>
      <c r="B4176" s="2" t="s">
        <v>1132</v>
      </c>
      <c r="C4176" s="5" t="s">
        <v>997</v>
      </c>
      <c r="D4176" s="2" t="s">
        <v>6048</v>
      </c>
    </row>
    <row r="4177" spans="1:4" ht="13.05" customHeight="1" x14ac:dyDescent="0.3">
      <c r="A4177" s="2" t="s">
        <v>632</v>
      </c>
      <c r="B4177" s="2" t="s">
        <v>1132</v>
      </c>
      <c r="C4177" s="5" t="s">
        <v>999</v>
      </c>
      <c r="D4177" s="2" t="s">
        <v>6028</v>
      </c>
    </row>
    <row r="4178" spans="1:4" ht="13.05" customHeight="1" x14ac:dyDescent="0.3">
      <c r="A4178" s="2" t="s">
        <v>632</v>
      </c>
      <c r="B4178" s="2" t="s">
        <v>1132</v>
      </c>
      <c r="C4178" s="5" t="s">
        <v>1001</v>
      </c>
      <c r="D4178" s="2" t="s">
        <v>6049</v>
      </c>
    </row>
    <row r="4179" spans="1:4" ht="13.05" customHeight="1" x14ac:dyDescent="0.3">
      <c r="A4179" s="2" t="s">
        <v>632</v>
      </c>
      <c r="B4179" s="2" t="s">
        <v>1132</v>
      </c>
      <c r="C4179" s="5" t="s">
        <v>1003</v>
      </c>
      <c r="D4179" s="2" t="s">
        <v>6030</v>
      </c>
    </row>
    <row r="4180" spans="1:4" ht="13.05" customHeight="1" x14ac:dyDescent="0.3">
      <c r="A4180" s="2" t="s">
        <v>632</v>
      </c>
      <c r="B4180" s="2" t="s">
        <v>1132</v>
      </c>
      <c r="C4180" s="5" t="s">
        <v>1005</v>
      </c>
      <c r="D4180" s="2" t="s">
        <v>6031</v>
      </c>
    </row>
    <row r="4181" spans="1:4" ht="13.05" customHeight="1" x14ac:dyDescent="0.3">
      <c r="A4181" s="2" t="s">
        <v>632</v>
      </c>
      <c r="B4181" s="2" t="s">
        <v>1132</v>
      </c>
      <c r="C4181" s="5" t="s">
        <v>1007</v>
      </c>
      <c r="D4181" s="2" t="s">
        <v>6050</v>
      </c>
    </row>
    <row r="4182" spans="1:4" ht="13.05" customHeight="1" x14ac:dyDescent="0.3">
      <c r="A4182" s="2" t="s">
        <v>632</v>
      </c>
      <c r="B4182" s="2" t="s">
        <v>1132</v>
      </c>
      <c r="C4182" s="5" t="s">
        <v>1009</v>
      </c>
      <c r="D4182" s="2" t="s">
        <v>6051</v>
      </c>
    </row>
    <row r="4183" spans="1:4" ht="13.05" customHeight="1" x14ac:dyDescent="0.3">
      <c r="A4183" s="2" t="s">
        <v>632</v>
      </c>
      <c r="B4183" s="2" t="s">
        <v>1132</v>
      </c>
      <c r="C4183" s="5" t="s">
        <v>1011</v>
      </c>
      <c r="D4183" s="2" t="s">
        <v>978</v>
      </c>
    </row>
    <row r="4184" spans="1:4" ht="13.05" customHeight="1" x14ac:dyDescent="0.3">
      <c r="A4184" s="2" t="s">
        <v>632</v>
      </c>
      <c r="B4184" s="2" t="s">
        <v>1132</v>
      </c>
      <c r="C4184" s="5" t="s">
        <v>1013</v>
      </c>
      <c r="D4184" s="2" t="s">
        <v>6052</v>
      </c>
    </row>
    <row r="4185" spans="1:4" ht="13.05" customHeight="1" x14ac:dyDescent="0.3">
      <c r="A4185" s="2" t="s">
        <v>632</v>
      </c>
      <c r="B4185" s="2" t="s">
        <v>1132</v>
      </c>
      <c r="C4185" s="5" t="s">
        <v>1155</v>
      </c>
      <c r="D4185" s="2" t="s">
        <v>6036</v>
      </c>
    </row>
    <row r="4186" spans="1:4" ht="13.05" customHeight="1" x14ac:dyDescent="0.3">
      <c r="A4186" s="2" t="s">
        <v>632</v>
      </c>
      <c r="B4186" s="2" t="s">
        <v>1132</v>
      </c>
      <c r="C4186" s="5" t="s">
        <v>983</v>
      </c>
      <c r="D4186" s="2" t="s">
        <v>6053</v>
      </c>
    </row>
    <row r="4187" spans="1:4" ht="13.05" customHeight="1" x14ac:dyDescent="0.3">
      <c r="A4187" s="2" t="s">
        <v>634</v>
      </c>
      <c r="B4187" s="2" t="s">
        <v>1132</v>
      </c>
      <c r="C4187" s="5" t="s">
        <v>974</v>
      </c>
      <c r="D4187" s="2" t="s">
        <v>975</v>
      </c>
    </row>
    <row r="4188" spans="1:4" ht="13.05" customHeight="1" x14ac:dyDescent="0.3">
      <c r="A4188" s="2" t="s">
        <v>634</v>
      </c>
      <c r="B4188" s="2" t="s">
        <v>1132</v>
      </c>
      <c r="C4188" s="5" t="s">
        <v>956</v>
      </c>
      <c r="D4188" s="2" t="s">
        <v>1025</v>
      </c>
    </row>
    <row r="4189" spans="1:4" ht="13.05" customHeight="1" x14ac:dyDescent="0.3">
      <c r="A4189" s="2" t="s">
        <v>634</v>
      </c>
      <c r="B4189" s="2" t="s">
        <v>1132</v>
      </c>
      <c r="C4189" s="5" t="s">
        <v>958</v>
      </c>
      <c r="D4189" s="2" t="s">
        <v>1019</v>
      </c>
    </row>
    <row r="4190" spans="1:4" ht="13.05" customHeight="1" x14ac:dyDescent="0.3">
      <c r="A4190" s="2" t="s">
        <v>634</v>
      </c>
      <c r="B4190" s="2" t="s">
        <v>1132</v>
      </c>
      <c r="C4190" s="5" t="s">
        <v>960</v>
      </c>
      <c r="D4190" s="2" t="s">
        <v>961</v>
      </c>
    </row>
    <row r="4191" spans="1:4" ht="13.05" customHeight="1" x14ac:dyDescent="0.3">
      <c r="A4191" s="2" t="s">
        <v>634</v>
      </c>
      <c r="B4191" s="2" t="s">
        <v>1132</v>
      </c>
      <c r="C4191" s="5" t="s">
        <v>962</v>
      </c>
      <c r="D4191" s="2" t="s">
        <v>827</v>
      </c>
    </row>
    <row r="4192" spans="1:4" ht="13.05" customHeight="1" x14ac:dyDescent="0.3">
      <c r="A4192" s="2" t="s">
        <v>634</v>
      </c>
      <c r="B4192" s="2" t="s">
        <v>1132</v>
      </c>
      <c r="C4192" s="5" t="s">
        <v>964</v>
      </c>
      <c r="D4192" s="2" t="s">
        <v>6041</v>
      </c>
    </row>
    <row r="4193" spans="1:4" ht="13.05" customHeight="1" x14ac:dyDescent="0.3">
      <c r="A4193" s="2" t="s">
        <v>634</v>
      </c>
      <c r="B4193" s="2" t="s">
        <v>1132</v>
      </c>
      <c r="C4193" s="5" t="s">
        <v>966</v>
      </c>
      <c r="D4193" s="2" t="s">
        <v>6020</v>
      </c>
    </row>
    <row r="4194" spans="1:4" ht="13.05" customHeight="1" x14ac:dyDescent="0.3">
      <c r="A4194" s="2" t="s">
        <v>634</v>
      </c>
      <c r="B4194" s="2" t="s">
        <v>1132</v>
      </c>
      <c r="C4194" s="5" t="s">
        <v>968</v>
      </c>
      <c r="D4194" s="2" t="s">
        <v>6021</v>
      </c>
    </row>
    <row r="4195" spans="1:4" ht="13.05" customHeight="1" x14ac:dyDescent="0.3">
      <c r="A4195" s="2" t="s">
        <v>634</v>
      </c>
      <c r="B4195" s="2" t="s">
        <v>1132</v>
      </c>
      <c r="C4195" s="5" t="s">
        <v>970</v>
      </c>
      <c r="D4195" s="2" t="s">
        <v>6042</v>
      </c>
    </row>
    <row r="4196" spans="1:4" ht="13.05" customHeight="1" x14ac:dyDescent="0.3">
      <c r="A4196" s="2" t="s">
        <v>634</v>
      </c>
      <c r="B4196" s="2" t="s">
        <v>1132</v>
      </c>
      <c r="C4196" s="5" t="s">
        <v>972</v>
      </c>
      <c r="D4196" s="2" t="s">
        <v>6043</v>
      </c>
    </row>
    <row r="4197" spans="1:4" ht="13.05" customHeight="1" x14ac:dyDescent="0.3">
      <c r="A4197" s="2" t="s">
        <v>634</v>
      </c>
      <c r="B4197" s="2" t="s">
        <v>1132</v>
      </c>
      <c r="C4197" s="5" t="s">
        <v>981</v>
      </c>
      <c r="D4197" s="2" t="s">
        <v>6044</v>
      </c>
    </row>
    <row r="4198" spans="1:4" ht="13.05" customHeight="1" x14ac:dyDescent="0.3">
      <c r="A4198" s="2" t="s">
        <v>634</v>
      </c>
      <c r="B4198" s="2" t="s">
        <v>1132</v>
      </c>
      <c r="C4198" s="5" t="s">
        <v>991</v>
      </c>
      <c r="D4198" s="2" t="s">
        <v>6045</v>
      </c>
    </row>
    <row r="4199" spans="1:4" ht="13.05" customHeight="1" x14ac:dyDescent="0.3">
      <c r="A4199" s="2" t="s">
        <v>634</v>
      </c>
      <c r="B4199" s="2" t="s">
        <v>1132</v>
      </c>
      <c r="C4199" s="5" t="s">
        <v>993</v>
      </c>
      <c r="D4199" s="2" t="s">
        <v>6046</v>
      </c>
    </row>
    <row r="4200" spans="1:4" ht="13.05" customHeight="1" x14ac:dyDescent="0.3">
      <c r="A4200" s="2" t="s">
        <v>634</v>
      </c>
      <c r="B4200" s="2" t="s">
        <v>1132</v>
      </c>
      <c r="C4200" s="5" t="s">
        <v>995</v>
      </c>
      <c r="D4200" s="2" t="s">
        <v>6047</v>
      </c>
    </row>
    <row r="4201" spans="1:4" ht="13.05" customHeight="1" x14ac:dyDescent="0.3">
      <c r="A4201" s="2" t="s">
        <v>634</v>
      </c>
      <c r="B4201" s="2" t="s">
        <v>1132</v>
      </c>
      <c r="C4201" s="5" t="s">
        <v>997</v>
      </c>
      <c r="D4201" s="2" t="s">
        <v>6048</v>
      </c>
    </row>
    <row r="4202" spans="1:4" ht="13.05" customHeight="1" x14ac:dyDescent="0.3">
      <c r="A4202" s="2" t="s">
        <v>634</v>
      </c>
      <c r="B4202" s="2" t="s">
        <v>1132</v>
      </c>
      <c r="C4202" s="5" t="s">
        <v>999</v>
      </c>
      <c r="D4202" s="2" t="s">
        <v>6028</v>
      </c>
    </row>
    <row r="4203" spans="1:4" ht="13.05" customHeight="1" x14ac:dyDescent="0.3">
      <c r="A4203" s="2" t="s">
        <v>634</v>
      </c>
      <c r="B4203" s="2" t="s">
        <v>1132</v>
      </c>
      <c r="C4203" s="5" t="s">
        <v>1001</v>
      </c>
      <c r="D4203" s="2" t="s">
        <v>6049</v>
      </c>
    </row>
    <row r="4204" spans="1:4" ht="13.05" customHeight="1" x14ac:dyDescent="0.3">
      <c r="A4204" s="2" t="s">
        <v>634</v>
      </c>
      <c r="B4204" s="2" t="s">
        <v>1132</v>
      </c>
      <c r="C4204" s="5" t="s">
        <v>1003</v>
      </c>
      <c r="D4204" s="2" t="s">
        <v>6030</v>
      </c>
    </row>
    <row r="4205" spans="1:4" ht="13.05" customHeight="1" x14ac:dyDescent="0.3">
      <c r="A4205" s="2" t="s">
        <v>634</v>
      </c>
      <c r="B4205" s="2" t="s">
        <v>1132</v>
      </c>
      <c r="C4205" s="5" t="s">
        <v>1005</v>
      </c>
      <c r="D4205" s="2" t="s">
        <v>6031</v>
      </c>
    </row>
    <row r="4206" spans="1:4" ht="13.05" customHeight="1" x14ac:dyDescent="0.3">
      <c r="A4206" s="2" t="s">
        <v>634</v>
      </c>
      <c r="B4206" s="2" t="s">
        <v>1132</v>
      </c>
      <c r="C4206" s="5" t="s">
        <v>1007</v>
      </c>
      <c r="D4206" s="2" t="s">
        <v>6050</v>
      </c>
    </row>
    <row r="4207" spans="1:4" ht="13.05" customHeight="1" x14ac:dyDescent="0.3">
      <c r="A4207" s="2" t="s">
        <v>634</v>
      </c>
      <c r="B4207" s="2" t="s">
        <v>1132</v>
      </c>
      <c r="C4207" s="5" t="s">
        <v>1009</v>
      </c>
      <c r="D4207" s="2" t="s">
        <v>6051</v>
      </c>
    </row>
    <row r="4208" spans="1:4" ht="13.05" customHeight="1" x14ac:dyDescent="0.3">
      <c r="A4208" s="2" t="s">
        <v>634</v>
      </c>
      <c r="B4208" s="2" t="s">
        <v>1132</v>
      </c>
      <c r="C4208" s="5" t="s">
        <v>1011</v>
      </c>
      <c r="D4208" s="2" t="s">
        <v>978</v>
      </c>
    </row>
    <row r="4209" spans="1:4" ht="13.05" customHeight="1" x14ac:dyDescent="0.3">
      <c r="A4209" s="2" t="s">
        <v>634</v>
      </c>
      <c r="B4209" s="2" t="s">
        <v>1132</v>
      </c>
      <c r="C4209" s="5" t="s">
        <v>1013</v>
      </c>
      <c r="D4209" s="2" t="s">
        <v>6052</v>
      </c>
    </row>
    <row r="4210" spans="1:4" ht="13.05" customHeight="1" x14ac:dyDescent="0.3">
      <c r="A4210" s="2" t="s">
        <v>634</v>
      </c>
      <c r="B4210" s="2" t="s">
        <v>1132</v>
      </c>
      <c r="C4210" s="5" t="s">
        <v>1155</v>
      </c>
      <c r="D4210" s="2" t="s">
        <v>6036</v>
      </c>
    </row>
    <row r="4211" spans="1:4" ht="13.05" customHeight="1" x14ac:dyDescent="0.3">
      <c r="A4211" s="2" t="s">
        <v>634</v>
      </c>
      <c r="B4211" s="2" t="s">
        <v>1132</v>
      </c>
      <c r="C4211" s="5" t="s">
        <v>983</v>
      </c>
      <c r="D4211" s="2" t="s">
        <v>6053</v>
      </c>
    </row>
    <row r="4212" spans="1:4" ht="13.05" customHeight="1" x14ac:dyDescent="0.3">
      <c r="A4212" s="2" t="s">
        <v>636</v>
      </c>
      <c r="B4212" s="2" t="s">
        <v>1132</v>
      </c>
      <c r="C4212" s="5" t="s">
        <v>974</v>
      </c>
      <c r="D4212" s="2" t="s">
        <v>975</v>
      </c>
    </row>
    <row r="4213" spans="1:4" ht="13.05" customHeight="1" x14ac:dyDescent="0.3">
      <c r="A4213" s="2" t="s">
        <v>636</v>
      </c>
      <c r="B4213" s="2" t="s">
        <v>1132</v>
      </c>
      <c r="C4213" s="5" t="s">
        <v>956</v>
      </c>
      <c r="D4213" s="2" t="s">
        <v>1025</v>
      </c>
    </row>
    <row r="4214" spans="1:4" ht="13.05" customHeight="1" x14ac:dyDescent="0.3">
      <c r="A4214" s="2" t="s">
        <v>636</v>
      </c>
      <c r="B4214" s="2" t="s">
        <v>1132</v>
      </c>
      <c r="C4214" s="5" t="s">
        <v>958</v>
      </c>
      <c r="D4214" s="2" t="s">
        <v>1019</v>
      </c>
    </row>
    <row r="4215" spans="1:4" ht="13.05" customHeight="1" x14ac:dyDescent="0.3">
      <c r="A4215" s="2" t="s">
        <v>636</v>
      </c>
      <c r="B4215" s="2" t="s">
        <v>1132</v>
      </c>
      <c r="C4215" s="5" t="s">
        <v>960</v>
      </c>
      <c r="D4215" s="2" t="s">
        <v>961</v>
      </c>
    </row>
    <row r="4216" spans="1:4" ht="13.05" customHeight="1" x14ac:dyDescent="0.3">
      <c r="A4216" s="2" t="s">
        <v>636</v>
      </c>
      <c r="B4216" s="2" t="s">
        <v>1132</v>
      </c>
      <c r="C4216" s="5" t="s">
        <v>962</v>
      </c>
      <c r="D4216" s="2" t="s">
        <v>827</v>
      </c>
    </row>
    <row r="4217" spans="1:4" ht="13.05" customHeight="1" x14ac:dyDescent="0.3">
      <c r="A4217" s="2" t="s">
        <v>636</v>
      </c>
      <c r="B4217" s="2" t="s">
        <v>1132</v>
      </c>
      <c r="C4217" s="5" t="s">
        <v>964</v>
      </c>
      <c r="D4217" s="2" t="s">
        <v>6041</v>
      </c>
    </row>
    <row r="4218" spans="1:4" ht="13.05" customHeight="1" x14ac:dyDescent="0.3">
      <c r="A4218" s="2" t="s">
        <v>636</v>
      </c>
      <c r="B4218" s="2" t="s">
        <v>1132</v>
      </c>
      <c r="C4218" s="5" t="s">
        <v>966</v>
      </c>
      <c r="D4218" s="2" t="s">
        <v>6020</v>
      </c>
    </row>
    <row r="4219" spans="1:4" ht="13.05" customHeight="1" x14ac:dyDescent="0.3">
      <c r="A4219" s="2" t="s">
        <v>636</v>
      </c>
      <c r="B4219" s="2" t="s">
        <v>1132</v>
      </c>
      <c r="C4219" s="5" t="s">
        <v>968</v>
      </c>
      <c r="D4219" s="2" t="s">
        <v>6021</v>
      </c>
    </row>
    <row r="4220" spans="1:4" ht="13.05" customHeight="1" x14ac:dyDescent="0.3">
      <c r="A4220" s="2" t="s">
        <v>636</v>
      </c>
      <c r="B4220" s="2" t="s">
        <v>1132</v>
      </c>
      <c r="C4220" s="5" t="s">
        <v>970</v>
      </c>
      <c r="D4220" s="2" t="s">
        <v>6042</v>
      </c>
    </row>
    <row r="4221" spans="1:4" ht="13.05" customHeight="1" x14ac:dyDescent="0.3">
      <c r="A4221" s="2" t="s">
        <v>636</v>
      </c>
      <c r="B4221" s="2" t="s">
        <v>1132</v>
      </c>
      <c r="C4221" s="5" t="s">
        <v>972</v>
      </c>
      <c r="D4221" s="2" t="s">
        <v>6043</v>
      </c>
    </row>
    <row r="4222" spans="1:4" ht="13.05" customHeight="1" x14ac:dyDescent="0.3">
      <c r="A4222" s="2" t="s">
        <v>636</v>
      </c>
      <c r="B4222" s="2" t="s">
        <v>1132</v>
      </c>
      <c r="C4222" s="5" t="s">
        <v>981</v>
      </c>
      <c r="D4222" s="2" t="s">
        <v>6044</v>
      </c>
    </row>
    <row r="4223" spans="1:4" ht="13.05" customHeight="1" x14ac:dyDescent="0.3">
      <c r="A4223" s="2" t="s">
        <v>636</v>
      </c>
      <c r="B4223" s="2" t="s">
        <v>1132</v>
      </c>
      <c r="C4223" s="5" t="s">
        <v>991</v>
      </c>
      <c r="D4223" s="2" t="s">
        <v>6045</v>
      </c>
    </row>
    <row r="4224" spans="1:4" ht="13.05" customHeight="1" x14ac:dyDescent="0.3">
      <c r="A4224" s="2" t="s">
        <v>636</v>
      </c>
      <c r="B4224" s="2" t="s">
        <v>1132</v>
      </c>
      <c r="C4224" s="5" t="s">
        <v>993</v>
      </c>
      <c r="D4224" s="2" t="s">
        <v>6046</v>
      </c>
    </row>
    <row r="4225" spans="1:4" ht="13.05" customHeight="1" x14ac:dyDescent="0.3">
      <c r="A4225" s="2" t="s">
        <v>636</v>
      </c>
      <c r="B4225" s="2" t="s">
        <v>1132</v>
      </c>
      <c r="C4225" s="5" t="s">
        <v>995</v>
      </c>
      <c r="D4225" s="2" t="s">
        <v>6047</v>
      </c>
    </row>
    <row r="4226" spans="1:4" ht="13.05" customHeight="1" x14ac:dyDescent="0.3">
      <c r="A4226" s="2" t="s">
        <v>636</v>
      </c>
      <c r="B4226" s="2" t="s">
        <v>1132</v>
      </c>
      <c r="C4226" s="5" t="s">
        <v>997</v>
      </c>
      <c r="D4226" s="2" t="s">
        <v>6048</v>
      </c>
    </row>
    <row r="4227" spans="1:4" ht="13.05" customHeight="1" x14ac:dyDescent="0.3">
      <c r="A4227" s="2" t="s">
        <v>636</v>
      </c>
      <c r="B4227" s="2" t="s">
        <v>1132</v>
      </c>
      <c r="C4227" s="5" t="s">
        <v>999</v>
      </c>
      <c r="D4227" s="2" t="s">
        <v>6028</v>
      </c>
    </row>
    <row r="4228" spans="1:4" ht="13.05" customHeight="1" x14ac:dyDescent="0.3">
      <c r="A4228" s="2" t="s">
        <v>636</v>
      </c>
      <c r="B4228" s="2" t="s">
        <v>1132</v>
      </c>
      <c r="C4228" s="5" t="s">
        <v>1001</v>
      </c>
      <c r="D4228" s="2" t="s">
        <v>6049</v>
      </c>
    </row>
    <row r="4229" spans="1:4" ht="13.05" customHeight="1" x14ac:dyDescent="0.3">
      <c r="A4229" s="2" t="s">
        <v>636</v>
      </c>
      <c r="B4229" s="2" t="s">
        <v>1132</v>
      </c>
      <c r="C4229" s="5" t="s">
        <v>1003</v>
      </c>
      <c r="D4229" s="2" t="s">
        <v>6030</v>
      </c>
    </row>
    <row r="4230" spans="1:4" ht="13.05" customHeight="1" x14ac:dyDescent="0.3">
      <c r="A4230" s="2" t="s">
        <v>636</v>
      </c>
      <c r="B4230" s="2" t="s">
        <v>1132</v>
      </c>
      <c r="C4230" s="5" t="s">
        <v>1005</v>
      </c>
      <c r="D4230" s="2" t="s">
        <v>6031</v>
      </c>
    </row>
    <row r="4231" spans="1:4" ht="13.05" customHeight="1" x14ac:dyDescent="0.3">
      <c r="A4231" s="2" t="s">
        <v>636</v>
      </c>
      <c r="B4231" s="2" t="s">
        <v>1132</v>
      </c>
      <c r="C4231" s="5" t="s">
        <v>1007</v>
      </c>
      <c r="D4231" s="2" t="s">
        <v>6050</v>
      </c>
    </row>
    <row r="4232" spans="1:4" ht="13.05" customHeight="1" x14ac:dyDescent="0.3">
      <c r="A4232" s="2" t="s">
        <v>636</v>
      </c>
      <c r="B4232" s="2" t="s">
        <v>1132</v>
      </c>
      <c r="C4232" s="5" t="s">
        <v>1009</v>
      </c>
      <c r="D4232" s="2" t="s">
        <v>6051</v>
      </c>
    </row>
    <row r="4233" spans="1:4" ht="13.05" customHeight="1" x14ac:dyDescent="0.3">
      <c r="A4233" s="2" t="s">
        <v>636</v>
      </c>
      <c r="B4233" s="2" t="s">
        <v>1132</v>
      </c>
      <c r="C4233" s="5" t="s">
        <v>1011</v>
      </c>
      <c r="D4233" s="2" t="s">
        <v>978</v>
      </c>
    </row>
    <row r="4234" spans="1:4" ht="13.05" customHeight="1" x14ac:dyDescent="0.3">
      <c r="A4234" s="2" t="s">
        <v>636</v>
      </c>
      <c r="B4234" s="2" t="s">
        <v>1132</v>
      </c>
      <c r="C4234" s="5" t="s">
        <v>1013</v>
      </c>
      <c r="D4234" s="2" t="s">
        <v>6052</v>
      </c>
    </row>
    <row r="4235" spans="1:4" ht="13.05" customHeight="1" x14ac:dyDescent="0.3">
      <c r="A4235" s="2" t="s">
        <v>636</v>
      </c>
      <c r="B4235" s="2" t="s">
        <v>1132</v>
      </c>
      <c r="C4235" s="5" t="s">
        <v>1155</v>
      </c>
      <c r="D4235" s="2" t="s">
        <v>6036</v>
      </c>
    </row>
    <row r="4236" spans="1:4" ht="13.05" customHeight="1" x14ac:dyDescent="0.3">
      <c r="A4236" s="2" t="s">
        <v>636</v>
      </c>
      <c r="B4236" s="2" t="s">
        <v>1132</v>
      </c>
      <c r="C4236" s="5" t="s">
        <v>983</v>
      </c>
      <c r="D4236" s="2" t="s">
        <v>6053</v>
      </c>
    </row>
    <row r="4237" spans="1:4" ht="13.05" customHeight="1" x14ac:dyDescent="0.3">
      <c r="A4237" s="2" t="s">
        <v>638</v>
      </c>
      <c r="B4237" s="2" t="s">
        <v>1132</v>
      </c>
      <c r="C4237" s="5" t="s">
        <v>974</v>
      </c>
      <c r="D4237" s="2" t="s">
        <v>975</v>
      </c>
    </row>
    <row r="4238" spans="1:4" ht="13.05" customHeight="1" x14ac:dyDescent="0.3">
      <c r="A4238" s="2" t="s">
        <v>638</v>
      </c>
      <c r="B4238" s="2" t="s">
        <v>1132</v>
      </c>
      <c r="C4238" s="5" t="s">
        <v>956</v>
      </c>
      <c r="D4238" s="2" t="s">
        <v>1025</v>
      </c>
    </row>
    <row r="4239" spans="1:4" ht="13.05" customHeight="1" x14ac:dyDescent="0.3">
      <c r="A4239" s="2" t="s">
        <v>638</v>
      </c>
      <c r="B4239" s="2" t="s">
        <v>1132</v>
      </c>
      <c r="C4239" s="5" t="s">
        <v>958</v>
      </c>
      <c r="D4239" s="2" t="s">
        <v>1019</v>
      </c>
    </row>
    <row r="4240" spans="1:4" ht="13.05" customHeight="1" x14ac:dyDescent="0.3">
      <c r="A4240" s="2" t="s">
        <v>638</v>
      </c>
      <c r="B4240" s="2" t="s">
        <v>1132</v>
      </c>
      <c r="C4240" s="5" t="s">
        <v>960</v>
      </c>
      <c r="D4240" s="2" t="s">
        <v>961</v>
      </c>
    </row>
    <row r="4241" spans="1:4" ht="13.05" customHeight="1" x14ac:dyDescent="0.3">
      <c r="A4241" s="2" t="s">
        <v>638</v>
      </c>
      <c r="B4241" s="2" t="s">
        <v>1132</v>
      </c>
      <c r="C4241" s="5" t="s">
        <v>962</v>
      </c>
      <c r="D4241" s="2" t="s">
        <v>827</v>
      </c>
    </row>
    <row r="4242" spans="1:4" ht="13.05" customHeight="1" x14ac:dyDescent="0.3">
      <c r="A4242" s="2" t="s">
        <v>638</v>
      </c>
      <c r="B4242" s="2" t="s">
        <v>1132</v>
      </c>
      <c r="C4242" s="5" t="s">
        <v>964</v>
      </c>
      <c r="D4242" s="2" t="s">
        <v>6041</v>
      </c>
    </row>
    <row r="4243" spans="1:4" ht="13.05" customHeight="1" x14ac:dyDescent="0.3">
      <c r="A4243" s="2" t="s">
        <v>638</v>
      </c>
      <c r="B4243" s="2" t="s">
        <v>1132</v>
      </c>
      <c r="C4243" s="5" t="s">
        <v>966</v>
      </c>
      <c r="D4243" s="2" t="s">
        <v>6020</v>
      </c>
    </row>
    <row r="4244" spans="1:4" ht="13.05" customHeight="1" x14ac:dyDescent="0.3">
      <c r="A4244" s="2" t="s">
        <v>638</v>
      </c>
      <c r="B4244" s="2" t="s">
        <v>1132</v>
      </c>
      <c r="C4244" s="5" t="s">
        <v>968</v>
      </c>
      <c r="D4244" s="2" t="s">
        <v>6021</v>
      </c>
    </row>
    <row r="4245" spans="1:4" ht="13.05" customHeight="1" x14ac:dyDescent="0.3">
      <c r="A4245" s="2" t="s">
        <v>638</v>
      </c>
      <c r="B4245" s="2" t="s">
        <v>1132</v>
      </c>
      <c r="C4245" s="5" t="s">
        <v>970</v>
      </c>
      <c r="D4245" s="2" t="s">
        <v>6042</v>
      </c>
    </row>
    <row r="4246" spans="1:4" ht="13.05" customHeight="1" x14ac:dyDescent="0.3">
      <c r="A4246" s="2" t="s">
        <v>638</v>
      </c>
      <c r="B4246" s="2" t="s">
        <v>1132</v>
      </c>
      <c r="C4246" s="5" t="s">
        <v>972</v>
      </c>
      <c r="D4246" s="2" t="s">
        <v>6043</v>
      </c>
    </row>
    <row r="4247" spans="1:4" ht="13.05" customHeight="1" x14ac:dyDescent="0.3">
      <c r="A4247" s="2" t="s">
        <v>638</v>
      </c>
      <c r="B4247" s="2" t="s">
        <v>1132</v>
      </c>
      <c r="C4247" s="5" t="s">
        <v>981</v>
      </c>
      <c r="D4247" s="2" t="s">
        <v>6044</v>
      </c>
    </row>
    <row r="4248" spans="1:4" ht="13.05" customHeight="1" x14ac:dyDescent="0.3">
      <c r="A4248" s="2" t="s">
        <v>638</v>
      </c>
      <c r="B4248" s="2" t="s">
        <v>1132</v>
      </c>
      <c r="C4248" s="5" t="s">
        <v>991</v>
      </c>
      <c r="D4248" s="2" t="s">
        <v>6045</v>
      </c>
    </row>
    <row r="4249" spans="1:4" ht="13.05" customHeight="1" x14ac:dyDescent="0.3">
      <c r="A4249" s="2" t="s">
        <v>638</v>
      </c>
      <c r="B4249" s="2" t="s">
        <v>1132</v>
      </c>
      <c r="C4249" s="5" t="s">
        <v>993</v>
      </c>
      <c r="D4249" s="2" t="s">
        <v>6046</v>
      </c>
    </row>
    <row r="4250" spans="1:4" ht="13.05" customHeight="1" x14ac:dyDescent="0.3">
      <c r="A4250" s="2" t="s">
        <v>638</v>
      </c>
      <c r="B4250" s="2" t="s">
        <v>1132</v>
      </c>
      <c r="C4250" s="5" t="s">
        <v>995</v>
      </c>
      <c r="D4250" s="2" t="s">
        <v>6047</v>
      </c>
    </row>
    <row r="4251" spans="1:4" ht="13.05" customHeight="1" x14ac:dyDescent="0.3">
      <c r="A4251" s="2" t="s">
        <v>638</v>
      </c>
      <c r="B4251" s="2" t="s">
        <v>1132</v>
      </c>
      <c r="C4251" s="5" t="s">
        <v>997</v>
      </c>
      <c r="D4251" s="2" t="s">
        <v>6048</v>
      </c>
    </row>
    <row r="4252" spans="1:4" ht="13.05" customHeight="1" x14ac:dyDescent="0.3">
      <c r="A4252" s="2" t="s">
        <v>638</v>
      </c>
      <c r="B4252" s="2" t="s">
        <v>1132</v>
      </c>
      <c r="C4252" s="5" t="s">
        <v>999</v>
      </c>
      <c r="D4252" s="2" t="s">
        <v>6028</v>
      </c>
    </row>
    <row r="4253" spans="1:4" ht="13.05" customHeight="1" x14ac:dyDescent="0.3">
      <c r="A4253" s="2" t="s">
        <v>638</v>
      </c>
      <c r="B4253" s="2" t="s">
        <v>1132</v>
      </c>
      <c r="C4253" s="5" t="s">
        <v>1001</v>
      </c>
      <c r="D4253" s="2" t="s">
        <v>6049</v>
      </c>
    </row>
    <row r="4254" spans="1:4" ht="13.05" customHeight="1" x14ac:dyDescent="0.3">
      <c r="A4254" s="2" t="s">
        <v>638</v>
      </c>
      <c r="B4254" s="2" t="s">
        <v>1132</v>
      </c>
      <c r="C4254" s="5" t="s">
        <v>1003</v>
      </c>
      <c r="D4254" s="2" t="s">
        <v>6030</v>
      </c>
    </row>
    <row r="4255" spans="1:4" ht="13.05" customHeight="1" x14ac:dyDescent="0.3">
      <c r="A4255" s="2" t="s">
        <v>638</v>
      </c>
      <c r="B4255" s="2" t="s">
        <v>1132</v>
      </c>
      <c r="C4255" s="5" t="s">
        <v>1005</v>
      </c>
      <c r="D4255" s="2" t="s">
        <v>6031</v>
      </c>
    </row>
    <row r="4256" spans="1:4" ht="13.05" customHeight="1" x14ac:dyDescent="0.3">
      <c r="A4256" s="2" t="s">
        <v>638</v>
      </c>
      <c r="B4256" s="2" t="s">
        <v>1132</v>
      </c>
      <c r="C4256" s="5" t="s">
        <v>1007</v>
      </c>
      <c r="D4256" s="2" t="s">
        <v>6050</v>
      </c>
    </row>
    <row r="4257" spans="1:4" ht="13.05" customHeight="1" x14ac:dyDescent="0.3">
      <c r="A4257" s="2" t="s">
        <v>638</v>
      </c>
      <c r="B4257" s="2" t="s">
        <v>1132</v>
      </c>
      <c r="C4257" s="5" t="s">
        <v>1009</v>
      </c>
      <c r="D4257" s="2" t="s">
        <v>6051</v>
      </c>
    </row>
    <row r="4258" spans="1:4" ht="13.05" customHeight="1" x14ac:dyDescent="0.3">
      <c r="A4258" s="2" t="s">
        <v>638</v>
      </c>
      <c r="B4258" s="2" t="s">
        <v>1132</v>
      </c>
      <c r="C4258" s="5" t="s">
        <v>1011</v>
      </c>
      <c r="D4258" s="2" t="s">
        <v>978</v>
      </c>
    </row>
    <row r="4259" spans="1:4" ht="13.05" customHeight="1" x14ac:dyDescent="0.3">
      <c r="A4259" s="2" t="s">
        <v>638</v>
      </c>
      <c r="B4259" s="2" t="s">
        <v>1132</v>
      </c>
      <c r="C4259" s="5" t="s">
        <v>1013</v>
      </c>
      <c r="D4259" s="2" t="s">
        <v>6052</v>
      </c>
    </row>
    <row r="4260" spans="1:4" ht="13.05" customHeight="1" x14ac:dyDescent="0.3">
      <c r="A4260" s="2" t="s">
        <v>638</v>
      </c>
      <c r="B4260" s="2" t="s">
        <v>1132</v>
      </c>
      <c r="C4260" s="5" t="s">
        <v>1155</v>
      </c>
      <c r="D4260" s="2" t="s">
        <v>6036</v>
      </c>
    </row>
    <row r="4261" spans="1:4" ht="13.05" customHeight="1" x14ac:dyDescent="0.3">
      <c r="A4261" s="2" t="s">
        <v>638</v>
      </c>
      <c r="B4261" s="2" t="s">
        <v>1132</v>
      </c>
      <c r="C4261" s="5" t="s">
        <v>983</v>
      </c>
      <c r="D4261" s="2" t="s">
        <v>6053</v>
      </c>
    </row>
    <row r="4262" spans="1:4" ht="13.05" customHeight="1" x14ac:dyDescent="0.3">
      <c r="A4262" s="2" t="s">
        <v>640</v>
      </c>
      <c r="B4262" s="2" t="s">
        <v>1132</v>
      </c>
      <c r="C4262" s="5" t="s">
        <v>974</v>
      </c>
      <c r="D4262" s="2" t="s">
        <v>975</v>
      </c>
    </row>
    <row r="4263" spans="1:4" ht="13.05" customHeight="1" x14ac:dyDescent="0.3">
      <c r="A4263" s="2" t="s">
        <v>640</v>
      </c>
      <c r="B4263" s="2" t="s">
        <v>1132</v>
      </c>
      <c r="C4263" s="5" t="s">
        <v>956</v>
      </c>
      <c r="D4263" s="2" t="s">
        <v>1025</v>
      </c>
    </row>
    <row r="4264" spans="1:4" ht="13.05" customHeight="1" x14ac:dyDescent="0.3">
      <c r="A4264" s="2" t="s">
        <v>640</v>
      </c>
      <c r="B4264" s="2" t="s">
        <v>1132</v>
      </c>
      <c r="C4264" s="5" t="s">
        <v>958</v>
      </c>
      <c r="D4264" s="2" t="s">
        <v>1019</v>
      </c>
    </row>
    <row r="4265" spans="1:4" ht="13.05" customHeight="1" x14ac:dyDescent="0.3">
      <c r="A4265" s="2" t="s">
        <v>640</v>
      </c>
      <c r="B4265" s="2" t="s">
        <v>1132</v>
      </c>
      <c r="C4265" s="5" t="s">
        <v>960</v>
      </c>
      <c r="D4265" s="2" t="s">
        <v>961</v>
      </c>
    </row>
    <row r="4266" spans="1:4" ht="13.05" customHeight="1" x14ac:dyDescent="0.3">
      <c r="A4266" s="2" t="s">
        <v>640</v>
      </c>
      <c r="B4266" s="2" t="s">
        <v>1132</v>
      </c>
      <c r="C4266" s="5" t="s">
        <v>962</v>
      </c>
      <c r="D4266" s="2" t="s">
        <v>827</v>
      </c>
    </row>
    <row r="4267" spans="1:4" ht="13.05" customHeight="1" x14ac:dyDescent="0.3">
      <c r="A4267" s="2" t="s">
        <v>640</v>
      </c>
      <c r="B4267" s="2" t="s">
        <v>1132</v>
      </c>
      <c r="C4267" s="5" t="s">
        <v>964</v>
      </c>
      <c r="D4267" s="2" t="s">
        <v>6041</v>
      </c>
    </row>
    <row r="4268" spans="1:4" ht="13.05" customHeight="1" x14ac:dyDescent="0.3">
      <c r="A4268" s="2" t="s">
        <v>640</v>
      </c>
      <c r="B4268" s="2" t="s">
        <v>1132</v>
      </c>
      <c r="C4268" s="5" t="s">
        <v>966</v>
      </c>
      <c r="D4268" s="2" t="s">
        <v>6020</v>
      </c>
    </row>
    <row r="4269" spans="1:4" ht="13.05" customHeight="1" x14ac:dyDescent="0.3">
      <c r="A4269" s="2" t="s">
        <v>640</v>
      </c>
      <c r="B4269" s="2" t="s">
        <v>1132</v>
      </c>
      <c r="C4269" s="5" t="s">
        <v>968</v>
      </c>
      <c r="D4269" s="2" t="s">
        <v>6021</v>
      </c>
    </row>
    <row r="4270" spans="1:4" ht="13.05" customHeight="1" x14ac:dyDescent="0.3">
      <c r="A4270" s="2" t="s">
        <v>640</v>
      </c>
      <c r="B4270" s="2" t="s">
        <v>1132</v>
      </c>
      <c r="C4270" s="5" t="s">
        <v>970</v>
      </c>
      <c r="D4270" s="2" t="s">
        <v>6042</v>
      </c>
    </row>
    <row r="4271" spans="1:4" ht="13.05" customHeight="1" x14ac:dyDescent="0.3">
      <c r="A4271" s="2" t="s">
        <v>640</v>
      </c>
      <c r="B4271" s="2" t="s">
        <v>1132</v>
      </c>
      <c r="C4271" s="5" t="s">
        <v>972</v>
      </c>
      <c r="D4271" s="2" t="s">
        <v>6043</v>
      </c>
    </row>
    <row r="4272" spans="1:4" ht="13.05" customHeight="1" x14ac:dyDescent="0.3">
      <c r="A4272" s="2" t="s">
        <v>640</v>
      </c>
      <c r="B4272" s="2" t="s">
        <v>1132</v>
      </c>
      <c r="C4272" s="5" t="s">
        <v>981</v>
      </c>
      <c r="D4272" s="2" t="s">
        <v>6044</v>
      </c>
    </row>
    <row r="4273" spans="1:4" ht="13.05" customHeight="1" x14ac:dyDescent="0.3">
      <c r="A4273" s="2" t="s">
        <v>640</v>
      </c>
      <c r="B4273" s="2" t="s">
        <v>1132</v>
      </c>
      <c r="C4273" s="5" t="s">
        <v>991</v>
      </c>
      <c r="D4273" s="2" t="s">
        <v>6045</v>
      </c>
    </row>
    <row r="4274" spans="1:4" ht="13.05" customHeight="1" x14ac:dyDescent="0.3">
      <c r="A4274" s="2" t="s">
        <v>640</v>
      </c>
      <c r="B4274" s="2" t="s">
        <v>1132</v>
      </c>
      <c r="C4274" s="5" t="s">
        <v>993</v>
      </c>
      <c r="D4274" s="2" t="s">
        <v>6046</v>
      </c>
    </row>
    <row r="4275" spans="1:4" ht="13.05" customHeight="1" x14ac:dyDescent="0.3">
      <c r="A4275" s="2" t="s">
        <v>640</v>
      </c>
      <c r="B4275" s="2" t="s">
        <v>1132</v>
      </c>
      <c r="C4275" s="5" t="s">
        <v>995</v>
      </c>
      <c r="D4275" s="2" t="s">
        <v>6047</v>
      </c>
    </row>
    <row r="4276" spans="1:4" ht="13.05" customHeight="1" x14ac:dyDescent="0.3">
      <c r="A4276" s="2" t="s">
        <v>640</v>
      </c>
      <c r="B4276" s="2" t="s">
        <v>1132</v>
      </c>
      <c r="C4276" s="5" t="s">
        <v>997</v>
      </c>
      <c r="D4276" s="2" t="s">
        <v>6048</v>
      </c>
    </row>
    <row r="4277" spans="1:4" ht="13.05" customHeight="1" x14ac:dyDescent="0.3">
      <c r="A4277" s="2" t="s">
        <v>640</v>
      </c>
      <c r="B4277" s="2" t="s">
        <v>1132</v>
      </c>
      <c r="C4277" s="5" t="s">
        <v>999</v>
      </c>
      <c r="D4277" s="2" t="s">
        <v>6028</v>
      </c>
    </row>
    <row r="4278" spans="1:4" ht="13.05" customHeight="1" x14ac:dyDescent="0.3">
      <c r="A4278" s="2" t="s">
        <v>640</v>
      </c>
      <c r="B4278" s="2" t="s">
        <v>1132</v>
      </c>
      <c r="C4278" s="5" t="s">
        <v>1001</v>
      </c>
      <c r="D4278" s="2" t="s">
        <v>6049</v>
      </c>
    </row>
    <row r="4279" spans="1:4" ht="13.05" customHeight="1" x14ac:dyDescent="0.3">
      <c r="A4279" s="2" t="s">
        <v>640</v>
      </c>
      <c r="B4279" s="2" t="s">
        <v>1132</v>
      </c>
      <c r="C4279" s="5" t="s">
        <v>1003</v>
      </c>
      <c r="D4279" s="2" t="s">
        <v>6030</v>
      </c>
    </row>
    <row r="4280" spans="1:4" ht="13.05" customHeight="1" x14ac:dyDescent="0.3">
      <c r="A4280" s="2" t="s">
        <v>640</v>
      </c>
      <c r="B4280" s="2" t="s">
        <v>1132</v>
      </c>
      <c r="C4280" s="5" t="s">
        <v>1005</v>
      </c>
      <c r="D4280" s="2" t="s">
        <v>6031</v>
      </c>
    </row>
    <row r="4281" spans="1:4" ht="13.05" customHeight="1" x14ac:dyDescent="0.3">
      <c r="A4281" s="2" t="s">
        <v>640</v>
      </c>
      <c r="B4281" s="2" t="s">
        <v>1132</v>
      </c>
      <c r="C4281" s="5" t="s">
        <v>1007</v>
      </c>
      <c r="D4281" s="2" t="s">
        <v>6050</v>
      </c>
    </row>
    <row r="4282" spans="1:4" ht="13.05" customHeight="1" x14ac:dyDescent="0.3">
      <c r="A4282" s="2" t="s">
        <v>640</v>
      </c>
      <c r="B4282" s="2" t="s">
        <v>1132</v>
      </c>
      <c r="C4282" s="5" t="s">
        <v>1009</v>
      </c>
      <c r="D4282" s="2" t="s">
        <v>6051</v>
      </c>
    </row>
    <row r="4283" spans="1:4" ht="13.05" customHeight="1" x14ac:dyDescent="0.3">
      <c r="A4283" s="2" t="s">
        <v>640</v>
      </c>
      <c r="B4283" s="2" t="s">
        <v>1132</v>
      </c>
      <c r="C4283" s="5" t="s">
        <v>1011</v>
      </c>
      <c r="D4283" s="2" t="s">
        <v>978</v>
      </c>
    </row>
    <row r="4284" spans="1:4" ht="13.05" customHeight="1" x14ac:dyDescent="0.3">
      <c r="A4284" s="2" t="s">
        <v>640</v>
      </c>
      <c r="B4284" s="2" t="s">
        <v>1132</v>
      </c>
      <c r="C4284" s="5" t="s">
        <v>1013</v>
      </c>
      <c r="D4284" s="2" t="s">
        <v>6052</v>
      </c>
    </row>
    <row r="4285" spans="1:4" ht="13.05" customHeight="1" x14ac:dyDescent="0.3">
      <c r="A4285" s="2" t="s">
        <v>640</v>
      </c>
      <c r="B4285" s="2" t="s">
        <v>1132</v>
      </c>
      <c r="C4285" s="5" t="s">
        <v>1155</v>
      </c>
      <c r="D4285" s="2" t="s">
        <v>6036</v>
      </c>
    </row>
    <row r="4286" spans="1:4" ht="13.05" customHeight="1" x14ac:dyDescent="0.3">
      <c r="A4286" s="2" t="s">
        <v>640</v>
      </c>
      <c r="B4286" s="2" t="s">
        <v>1132</v>
      </c>
      <c r="C4286" s="5" t="s">
        <v>983</v>
      </c>
      <c r="D4286" s="2" t="s">
        <v>6053</v>
      </c>
    </row>
    <row r="4287" spans="1:4" ht="13.05" customHeight="1" x14ac:dyDescent="0.3">
      <c r="A4287" s="2" t="s">
        <v>642</v>
      </c>
      <c r="B4287" s="2" t="s">
        <v>1132</v>
      </c>
      <c r="C4287" s="5" t="s">
        <v>974</v>
      </c>
      <c r="D4287" s="2" t="s">
        <v>975</v>
      </c>
    </row>
    <row r="4288" spans="1:4" ht="13.05" customHeight="1" x14ac:dyDescent="0.3">
      <c r="A4288" s="2" t="s">
        <v>642</v>
      </c>
      <c r="B4288" s="2" t="s">
        <v>1132</v>
      </c>
      <c r="C4288" s="5" t="s">
        <v>956</v>
      </c>
      <c r="D4288" s="2" t="s">
        <v>1025</v>
      </c>
    </row>
    <row r="4289" spans="1:4" ht="13.05" customHeight="1" x14ac:dyDescent="0.3">
      <c r="A4289" s="2" t="s">
        <v>642</v>
      </c>
      <c r="B4289" s="2" t="s">
        <v>1132</v>
      </c>
      <c r="C4289" s="5" t="s">
        <v>958</v>
      </c>
      <c r="D4289" s="2" t="s">
        <v>1019</v>
      </c>
    </row>
    <row r="4290" spans="1:4" ht="13.05" customHeight="1" x14ac:dyDescent="0.3">
      <c r="A4290" s="2" t="s">
        <v>642</v>
      </c>
      <c r="B4290" s="2" t="s">
        <v>1132</v>
      </c>
      <c r="C4290" s="5" t="s">
        <v>960</v>
      </c>
      <c r="D4290" s="2" t="s">
        <v>961</v>
      </c>
    </row>
    <row r="4291" spans="1:4" ht="13.05" customHeight="1" x14ac:dyDescent="0.3">
      <c r="A4291" s="2" t="s">
        <v>642</v>
      </c>
      <c r="B4291" s="2" t="s">
        <v>1132</v>
      </c>
      <c r="C4291" s="5" t="s">
        <v>962</v>
      </c>
      <c r="D4291" s="2" t="s">
        <v>827</v>
      </c>
    </row>
    <row r="4292" spans="1:4" ht="13.05" customHeight="1" x14ac:dyDescent="0.3">
      <c r="A4292" s="2" t="s">
        <v>642</v>
      </c>
      <c r="B4292" s="2" t="s">
        <v>1132</v>
      </c>
      <c r="C4292" s="5" t="s">
        <v>964</v>
      </c>
      <c r="D4292" s="2" t="s">
        <v>6041</v>
      </c>
    </row>
    <row r="4293" spans="1:4" ht="13.05" customHeight="1" x14ac:dyDescent="0.3">
      <c r="A4293" s="2" t="s">
        <v>642</v>
      </c>
      <c r="B4293" s="2" t="s">
        <v>1132</v>
      </c>
      <c r="C4293" s="5" t="s">
        <v>966</v>
      </c>
      <c r="D4293" s="2" t="s">
        <v>6020</v>
      </c>
    </row>
    <row r="4294" spans="1:4" ht="13.05" customHeight="1" x14ac:dyDescent="0.3">
      <c r="A4294" s="2" t="s">
        <v>642</v>
      </c>
      <c r="B4294" s="2" t="s">
        <v>1132</v>
      </c>
      <c r="C4294" s="5" t="s">
        <v>968</v>
      </c>
      <c r="D4294" s="2" t="s">
        <v>6021</v>
      </c>
    </row>
    <row r="4295" spans="1:4" ht="13.05" customHeight="1" x14ac:dyDescent="0.3">
      <c r="A4295" s="2" t="s">
        <v>642</v>
      </c>
      <c r="B4295" s="2" t="s">
        <v>1132</v>
      </c>
      <c r="C4295" s="5" t="s">
        <v>970</v>
      </c>
      <c r="D4295" s="2" t="s">
        <v>6042</v>
      </c>
    </row>
    <row r="4296" spans="1:4" ht="13.05" customHeight="1" x14ac:dyDescent="0.3">
      <c r="A4296" s="2" t="s">
        <v>642</v>
      </c>
      <c r="B4296" s="2" t="s">
        <v>1132</v>
      </c>
      <c r="C4296" s="5" t="s">
        <v>972</v>
      </c>
      <c r="D4296" s="2" t="s">
        <v>6043</v>
      </c>
    </row>
    <row r="4297" spans="1:4" ht="13.05" customHeight="1" x14ac:dyDescent="0.3">
      <c r="A4297" s="2" t="s">
        <v>642</v>
      </c>
      <c r="B4297" s="2" t="s">
        <v>1132</v>
      </c>
      <c r="C4297" s="5" t="s">
        <v>981</v>
      </c>
      <c r="D4297" s="2" t="s">
        <v>6044</v>
      </c>
    </row>
    <row r="4298" spans="1:4" ht="13.05" customHeight="1" x14ac:dyDescent="0.3">
      <c r="A4298" s="2" t="s">
        <v>642</v>
      </c>
      <c r="B4298" s="2" t="s">
        <v>1132</v>
      </c>
      <c r="C4298" s="5" t="s">
        <v>991</v>
      </c>
      <c r="D4298" s="2" t="s">
        <v>6045</v>
      </c>
    </row>
    <row r="4299" spans="1:4" ht="13.05" customHeight="1" x14ac:dyDescent="0.3">
      <c r="A4299" s="2" t="s">
        <v>642</v>
      </c>
      <c r="B4299" s="2" t="s">
        <v>1132</v>
      </c>
      <c r="C4299" s="5" t="s">
        <v>993</v>
      </c>
      <c r="D4299" s="2" t="s">
        <v>6046</v>
      </c>
    </row>
    <row r="4300" spans="1:4" ht="13.05" customHeight="1" x14ac:dyDescent="0.3">
      <c r="A4300" s="2" t="s">
        <v>642</v>
      </c>
      <c r="B4300" s="2" t="s">
        <v>1132</v>
      </c>
      <c r="C4300" s="5" t="s">
        <v>995</v>
      </c>
      <c r="D4300" s="2" t="s">
        <v>6047</v>
      </c>
    </row>
    <row r="4301" spans="1:4" ht="13.05" customHeight="1" x14ac:dyDescent="0.3">
      <c r="A4301" s="2" t="s">
        <v>642</v>
      </c>
      <c r="B4301" s="2" t="s">
        <v>1132</v>
      </c>
      <c r="C4301" s="5" t="s">
        <v>997</v>
      </c>
      <c r="D4301" s="2" t="s">
        <v>6048</v>
      </c>
    </row>
    <row r="4302" spans="1:4" ht="13.05" customHeight="1" x14ac:dyDescent="0.3">
      <c r="A4302" s="2" t="s">
        <v>642</v>
      </c>
      <c r="B4302" s="2" t="s">
        <v>1132</v>
      </c>
      <c r="C4302" s="5" t="s">
        <v>999</v>
      </c>
      <c r="D4302" s="2" t="s">
        <v>6028</v>
      </c>
    </row>
    <row r="4303" spans="1:4" ht="13.05" customHeight="1" x14ac:dyDescent="0.3">
      <c r="A4303" s="2" t="s">
        <v>642</v>
      </c>
      <c r="B4303" s="2" t="s">
        <v>1132</v>
      </c>
      <c r="C4303" s="5" t="s">
        <v>1001</v>
      </c>
      <c r="D4303" s="2" t="s">
        <v>6049</v>
      </c>
    </row>
    <row r="4304" spans="1:4" ht="13.05" customHeight="1" x14ac:dyDescent="0.3">
      <c r="A4304" s="2" t="s">
        <v>642</v>
      </c>
      <c r="B4304" s="2" t="s">
        <v>1132</v>
      </c>
      <c r="C4304" s="5" t="s">
        <v>1003</v>
      </c>
      <c r="D4304" s="2" t="s">
        <v>6030</v>
      </c>
    </row>
    <row r="4305" spans="1:4" ht="13.05" customHeight="1" x14ac:dyDescent="0.3">
      <c r="A4305" s="2" t="s">
        <v>642</v>
      </c>
      <c r="B4305" s="2" t="s">
        <v>1132</v>
      </c>
      <c r="C4305" s="5" t="s">
        <v>1005</v>
      </c>
      <c r="D4305" s="2" t="s">
        <v>6031</v>
      </c>
    </row>
    <row r="4306" spans="1:4" ht="13.05" customHeight="1" x14ac:dyDescent="0.3">
      <c r="A4306" s="2" t="s">
        <v>642</v>
      </c>
      <c r="B4306" s="2" t="s">
        <v>1132</v>
      </c>
      <c r="C4306" s="5" t="s">
        <v>1007</v>
      </c>
      <c r="D4306" s="2" t="s">
        <v>6050</v>
      </c>
    </row>
    <row r="4307" spans="1:4" ht="13.05" customHeight="1" x14ac:dyDescent="0.3">
      <c r="A4307" s="2" t="s">
        <v>642</v>
      </c>
      <c r="B4307" s="2" t="s">
        <v>1132</v>
      </c>
      <c r="C4307" s="5" t="s">
        <v>1009</v>
      </c>
      <c r="D4307" s="2" t="s">
        <v>6051</v>
      </c>
    </row>
    <row r="4308" spans="1:4" ht="13.05" customHeight="1" x14ac:dyDescent="0.3">
      <c r="A4308" s="2" t="s">
        <v>642</v>
      </c>
      <c r="B4308" s="2" t="s">
        <v>1132</v>
      </c>
      <c r="C4308" s="5" t="s">
        <v>1011</v>
      </c>
      <c r="D4308" s="2" t="s">
        <v>978</v>
      </c>
    </row>
    <row r="4309" spans="1:4" ht="13.05" customHeight="1" x14ac:dyDescent="0.3">
      <c r="A4309" s="2" t="s">
        <v>642</v>
      </c>
      <c r="B4309" s="2" t="s">
        <v>1132</v>
      </c>
      <c r="C4309" s="5" t="s">
        <v>1013</v>
      </c>
      <c r="D4309" s="2" t="s">
        <v>6052</v>
      </c>
    </row>
    <row r="4310" spans="1:4" ht="13.05" customHeight="1" x14ac:dyDescent="0.3">
      <c r="A4310" s="2" t="s">
        <v>642</v>
      </c>
      <c r="B4310" s="2" t="s">
        <v>1132</v>
      </c>
      <c r="C4310" s="5" t="s">
        <v>1155</v>
      </c>
      <c r="D4310" s="2" t="s">
        <v>6036</v>
      </c>
    </row>
    <row r="4311" spans="1:4" ht="13.05" customHeight="1" x14ac:dyDescent="0.3">
      <c r="A4311" s="2" t="s">
        <v>642</v>
      </c>
      <c r="B4311" s="2" t="s">
        <v>1132</v>
      </c>
      <c r="C4311" s="5" t="s">
        <v>983</v>
      </c>
      <c r="D4311" s="2" t="s">
        <v>6053</v>
      </c>
    </row>
    <row r="4312" spans="1:4" ht="13.05" customHeight="1" x14ac:dyDescent="0.3">
      <c r="A4312" s="2" t="s">
        <v>644</v>
      </c>
      <c r="B4312" s="2" t="s">
        <v>1132</v>
      </c>
      <c r="C4312" s="5" t="s">
        <v>974</v>
      </c>
      <c r="D4312" s="2" t="s">
        <v>975</v>
      </c>
    </row>
    <row r="4313" spans="1:4" ht="13.05" customHeight="1" x14ac:dyDescent="0.3">
      <c r="A4313" s="2" t="s">
        <v>644</v>
      </c>
      <c r="B4313" s="2" t="s">
        <v>1132</v>
      </c>
      <c r="C4313" s="5" t="s">
        <v>956</v>
      </c>
      <c r="D4313" s="2" t="s">
        <v>1025</v>
      </c>
    </row>
    <row r="4314" spans="1:4" ht="13.05" customHeight="1" x14ac:dyDescent="0.3">
      <c r="A4314" s="2" t="s">
        <v>644</v>
      </c>
      <c r="B4314" s="2" t="s">
        <v>1132</v>
      </c>
      <c r="C4314" s="5" t="s">
        <v>958</v>
      </c>
      <c r="D4314" s="2" t="s">
        <v>1019</v>
      </c>
    </row>
    <row r="4315" spans="1:4" ht="13.05" customHeight="1" x14ac:dyDescent="0.3">
      <c r="A4315" s="2" t="s">
        <v>644</v>
      </c>
      <c r="B4315" s="2" t="s">
        <v>1132</v>
      </c>
      <c r="C4315" s="5" t="s">
        <v>960</v>
      </c>
      <c r="D4315" s="2" t="s">
        <v>961</v>
      </c>
    </row>
    <row r="4316" spans="1:4" ht="13.05" customHeight="1" x14ac:dyDescent="0.3">
      <c r="A4316" s="2" t="s">
        <v>644</v>
      </c>
      <c r="B4316" s="2" t="s">
        <v>1132</v>
      </c>
      <c r="C4316" s="5" t="s">
        <v>962</v>
      </c>
      <c r="D4316" s="2" t="s">
        <v>827</v>
      </c>
    </row>
    <row r="4317" spans="1:4" ht="13.05" customHeight="1" x14ac:dyDescent="0.3">
      <c r="A4317" s="2" t="s">
        <v>644</v>
      </c>
      <c r="B4317" s="2" t="s">
        <v>1132</v>
      </c>
      <c r="C4317" s="5" t="s">
        <v>964</v>
      </c>
      <c r="D4317" s="2" t="s">
        <v>6041</v>
      </c>
    </row>
    <row r="4318" spans="1:4" ht="13.05" customHeight="1" x14ac:dyDescent="0.3">
      <c r="A4318" s="2" t="s">
        <v>644</v>
      </c>
      <c r="B4318" s="2" t="s">
        <v>1132</v>
      </c>
      <c r="C4318" s="5" t="s">
        <v>966</v>
      </c>
      <c r="D4318" s="2" t="s">
        <v>6020</v>
      </c>
    </row>
    <row r="4319" spans="1:4" ht="13.05" customHeight="1" x14ac:dyDescent="0.3">
      <c r="A4319" s="2" t="s">
        <v>644</v>
      </c>
      <c r="B4319" s="2" t="s">
        <v>1132</v>
      </c>
      <c r="C4319" s="5" t="s">
        <v>968</v>
      </c>
      <c r="D4319" s="2" t="s">
        <v>6021</v>
      </c>
    </row>
    <row r="4320" spans="1:4" ht="13.05" customHeight="1" x14ac:dyDescent="0.3">
      <c r="A4320" s="2" t="s">
        <v>644</v>
      </c>
      <c r="B4320" s="2" t="s">
        <v>1132</v>
      </c>
      <c r="C4320" s="5" t="s">
        <v>970</v>
      </c>
      <c r="D4320" s="2" t="s">
        <v>6042</v>
      </c>
    </row>
    <row r="4321" spans="1:4" ht="13.05" customHeight="1" x14ac:dyDescent="0.3">
      <c r="A4321" s="2" t="s">
        <v>644</v>
      </c>
      <c r="B4321" s="2" t="s">
        <v>1132</v>
      </c>
      <c r="C4321" s="5" t="s">
        <v>972</v>
      </c>
      <c r="D4321" s="2" t="s">
        <v>6043</v>
      </c>
    </row>
    <row r="4322" spans="1:4" ht="13.05" customHeight="1" x14ac:dyDescent="0.3">
      <c r="A4322" s="2" t="s">
        <v>644</v>
      </c>
      <c r="B4322" s="2" t="s">
        <v>1132</v>
      </c>
      <c r="C4322" s="5" t="s">
        <v>981</v>
      </c>
      <c r="D4322" s="2" t="s">
        <v>6044</v>
      </c>
    </row>
    <row r="4323" spans="1:4" ht="13.05" customHeight="1" x14ac:dyDescent="0.3">
      <c r="A4323" s="2" t="s">
        <v>644</v>
      </c>
      <c r="B4323" s="2" t="s">
        <v>1132</v>
      </c>
      <c r="C4323" s="5" t="s">
        <v>991</v>
      </c>
      <c r="D4323" s="2" t="s">
        <v>6045</v>
      </c>
    </row>
    <row r="4324" spans="1:4" ht="13.05" customHeight="1" x14ac:dyDescent="0.3">
      <c r="A4324" s="2" t="s">
        <v>644</v>
      </c>
      <c r="B4324" s="2" t="s">
        <v>1132</v>
      </c>
      <c r="C4324" s="5" t="s">
        <v>993</v>
      </c>
      <c r="D4324" s="2" t="s">
        <v>6046</v>
      </c>
    </row>
    <row r="4325" spans="1:4" ht="13.05" customHeight="1" x14ac:dyDescent="0.3">
      <c r="A4325" s="2" t="s">
        <v>644</v>
      </c>
      <c r="B4325" s="2" t="s">
        <v>1132</v>
      </c>
      <c r="C4325" s="5" t="s">
        <v>995</v>
      </c>
      <c r="D4325" s="2" t="s">
        <v>6047</v>
      </c>
    </row>
    <row r="4326" spans="1:4" ht="13.05" customHeight="1" x14ac:dyDescent="0.3">
      <c r="A4326" s="2" t="s">
        <v>644</v>
      </c>
      <c r="B4326" s="2" t="s">
        <v>1132</v>
      </c>
      <c r="C4326" s="5" t="s">
        <v>997</v>
      </c>
      <c r="D4326" s="2" t="s">
        <v>6048</v>
      </c>
    </row>
    <row r="4327" spans="1:4" ht="13.05" customHeight="1" x14ac:dyDescent="0.3">
      <c r="A4327" s="2" t="s">
        <v>644</v>
      </c>
      <c r="B4327" s="2" t="s">
        <v>1132</v>
      </c>
      <c r="C4327" s="5" t="s">
        <v>999</v>
      </c>
      <c r="D4327" s="2" t="s">
        <v>6028</v>
      </c>
    </row>
    <row r="4328" spans="1:4" ht="13.05" customHeight="1" x14ac:dyDescent="0.3">
      <c r="A4328" s="2" t="s">
        <v>644</v>
      </c>
      <c r="B4328" s="2" t="s">
        <v>1132</v>
      </c>
      <c r="C4328" s="5" t="s">
        <v>1001</v>
      </c>
      <c r="D4328" s="2" t="s">
        <v>6049</v>
      </c>
    </row>
    <row r="4329" spans="1:4" ht="13.05" customHeight="1" x14ac:dyDescent="0.3">
      <c r="A4329" s="2" t="s">
        <v>644</v>
      </c>
      <c r="B4329" s="2" t="s">
        <v>1132</v>
      </c>
      <c r="C4329" s="5" t="s">
        <v>1003</v>
      </c>
      <c r="D4329" s="2" t="s">
        <v>6030</v>
      </c>
    </row>
    <row r="4330" spans="1:4" ht="13.05" customHeight="1" x14ac:dyDescent="0.3">
      <c r="A4330" s="2" t="s">
        <v>644</v>
      </c>
      <c r="B4330" s="2" t="s">
        <v>1132</v>
      </c>
      <c r="C4330" s="5" t="s">
        <v>1005</v>
      </c>
      <c r="D4330" s="2" t="s">
        <v>6031</v>
      </c>
    </row>
    <row r="4331" spans="1:4" ht="13.05" customHeight="1" x14ac:dyDescent="0.3">
      <c r="A4331" s="2" t="s">
        <v>644</v>
      </c>
      <c r="B4331" s="2" t="s">
        <v>1132</v>
      </c>
      <c r="C4331" s="5" t="s">
        <v>1007</v>
      </c>
      <c r="D4331" s="2" t="s">
        <v>6050</v>
      </c>
    </row>
    <row r="4332" spans="1:4" ht="13.05" customHeight="1" x14ac:dyDescent="0.3">
      <c r="A4332" s="2" t="s">
        <v>644</v>
      </c>
      <c r="B4332" s="2" t="s">
        <v>1132</v>
      </c>
      <c r="C4332" s="5" t="s">
        <v>1009</v>
      </c>
      <c r="D4332" s="2" t="s">
        <v>6051</v>
      </c>
    </row>
    <row r="4333" spans="1:4" ht="13.05" customHeight="1" x14ac:dyDescent="0.3">
      <c r="A4333" s="2" t="s">
        <v>644</v>
      </c>
      <c r="B4333" s="2" t="s">
        <v>1132</v>
      </c>
      <c r="C4333" s="5" t="s">
        <v>1011</v>
      </c>
      <c r="D4333" s="2" t="s">
        <v>978</v>
      </c>
    </row>
    <row r="4334" spans="1:4" ht="13.05" customHeight="1" x14ac:dyDescent="0.3">
      <c r="A4334" s="2" t="s">
        <v>644</v>
      </c>
      <c r="B4334" s="2" t="s">
        <v>1132</v>
      </c>
      <c r="C4334" s="5" t="s">
        <v>1013</v>
      </c>
      <c r="D4334" s="2" t="s">
        <v>6052</v>
      </c>
    </row>
    <row r="4335" spans="1:4" ht="13.05" customHeight="1" x14ac:dyDescent="0.3">
      <c r="A4335" s="2" t="s">
        <v>644</v>
      </c>
      <c r="B4335" s="2" t="s">
        <v>1132</v>
      </c>
      <c r="C4335" s="5" t="s">
        <v>1155</v>
      </c>
      <c r="D4335" s="2" t="s">
        <v>6036</v>
      </c>
    </row>
    <row r="4336" spans="1:4" ht="13.05" customHeight="1" x14ac:dyDescent="0.3">
      <c r="A4336" s="2" t="s">
        <v>644</v>
      </c>
      <c r="B4336" s="2" t="s">
        <v>1132</v>
      </c>
      <c r="C4336" s="5" t="s">
        <v>983</v>
      </c>
      <c r="D4336" s="2" t="s">
        <v>6053</v>
      </c>
    </row>
    <row r="4337" spans="1:4" ht="13.05" customHeight="1" x14ac:dyDescent="0.3">
      <c r="A4337" s="2" t="s">
        <v>646</v>
      </c>
      <c r="B4337" s="2" t="s">
        <v>1132</v>
      </c>
      <c r="C4337" s="5" t="s">
        <v>974</v>
      </c>
      <c r="D4337" s="2" t="s">
        <v>975</v>
      </c>
    </row>
    <row r="4338" spans="1:4" ht="13.05" customHeight="1" x14ac:dyDescent="0.3">
      <c r="A4338" s="2" t="s">
        <v>646</v>
      </c>
      <c r="B4338" s="2" t="s">
        <v>1132</v>
      </c>
      <c r="C4338" s="5" t="s">
        <v>956</v>
      </c>
      <c r="D4338" s="2" t="s">
        <v>1025</v>
      </c>
    </row>
    <row r="4339" spans="1:4" ht="13.05" customHeight="1" x14ac:dyDescent="0.3">
      <c r="A4339" s="2" t="s">
        <v>646</v>
      </c>
      <c r="B4339" s="2" t="s">
        <v>1132</v>
      </c>
      <c r="C4339" s="5" t="s">
        <v>958</v>
      </c>
      <c r="D4339" s="2" t="s">
        <v>1019</v>
      </c>
    </row>
    <row r="4340" spans="1:4" ht="13.05" customHeight="1" x14ac:dyDescent="0.3">
      <c r="A4340" s="2" t="s">
        <v>646</v>
      </c>
      <c r="B4340" s="2" t="s">
        <v>1132</v>
      </c>
      <c r="C4340" s="5" t="s">
        <v>960</v>
      </c>
      <c r="D4340" s="2" t="s">
        <v>961</v>
      </c>
    </row>
    <row r="4341" spans="1:4" ht="13.05" customHeight="1" x14ac:dyDescent="0.3">
      <c r="A4341" s="2" t="s">
        <v>646</v>
      </c>
      <c r="B4341" s="2" t="s">
        <v>1132</v>
      </c>
      <c r="C4341" s="5" t="s">
        <v>962</v>
      </c>
      <c r="D4341" s="2" t="s">
        <v>827</v>
      </c>
    </row>
    <row r="4342" spans="1:4" ht="13.05" customHeight="1" x14ac:dyDescent="0.3">
      <c r="A4342" s="2" t="s">
        <v>646</v>
      </c>
      <c r="B4342" s="2" t="s">
        <v>1132</v>
      </c>
      <c r="C4342" s="5" t="s">
        <v>964</v>
      </c>
      <c r="D4342" s="2" t="s">
        <v>6041</v>
      </c>
    </row>
    <row r="4343" spans="1:4" ht="13.05" customHeight="1" x14ac:dyDescent="0.3">
      <c r="A4343" s="2" t="s">
        <v>646</v>
      </c>
      <c r="B4343" s="2" t="s">
        <v>1132</v>
      </c>
      <c r="C4343" s="5" t="s">
        <v>966</v>
      </c>
      <c r="D4343" s="2" t="s">
        <v>6020</v>
      </c>
    </row>
    <row r="4344" spans="1:4" ht="13.05" customHeight="1" x14ac:dyDescent="0.3">
      <c r="A4344" s="2" t="s">
        <v>646</v>
      </c>
      <c r="B4344" s="2" t="s">
        <v>1132</v>
      </c>
      <c r="C4344" s="5" t="s">
        <v>968</v>
      </c>
      <c r="D4344" s="2" t="s">
        <v>6021</v>
      </c>
    </row>
    <row r="4345" spans="1:4" ht="13.05" customHeight="1" x14ac:dyDescent="0.3">
      <c r="A4345" s="2" t="s">
        <v>646</v>
      </c>
      <c r="B4345" s="2" t="s">
        <v>1132</v>
      </c>
      <c r="C4345" s="5" t="s">
        <v>970</v>
      </c>
      <c r="D4345" s="2" t="s">
        <v>6042</v>
      </c>
    </row>
    <row r="4346" spans="1:4" ht="13.05" customHeight="1" x14ac:dyDescent="0.3">
      <c r="A4346" s="2" t="s">
        <v>646</v>
      </c>
      <c r="B4346" s="2" t="s">
        <v>1132</v>
      </c>
      <c r="C4346" s="5" t="s">
        <v>972</v>
      </c>
      <c r="D4346" s="2" t="s">
        <v>6043</v>
      </c>
    </row>
    <row r="4347" spans="1:4" ht="13.05" customHeight="1" x14ac:dyDescent="0.3">
      <c r="A4347" s="2" t="s">
        <v>646</v>
      </c>
      <c r="B4347" s="2" t="s">
        <v>1132</v>
      </c>
      <c r="C4347" s="5" t="s">
        <v>981</v>
      </c>
      <c r="D4347" s="2" t="s">
        <v>6044</v>
      </c>
    </row>
    <row r="4348" spans="1:4" ht="13.05" customHeight="1" x14ac:dyDescent="0.3">
      <c r="A4348" s="2" t="s">
        <v>646</v>
      </c>
      <c r="B4348" s="2" t="s">
        <v>1132</v>
      </c>
      <c r="C4348" s="5" t="s">
        <v>991</v>
      </c>
      <c r="D4348" s="2" t="s">
        <v>6045</v>
      </c>
    </row>
    <row r="4349" spans="1:4" ht="13.05" customHeight="1" x14ac:dyDescent="0.3">
      <c r="A4349" s="2" t="s">
        <v>646</v>
      </c>
      <c r="B4349" s="2" t="s">
        <v>1132</v>
      </c>
      <c r="C4349" s="5" t="s">
        <v>993</v>
      </c>
      <c r="D4349" s="2" t="s">
        <v>6046</v>
      </c>
    </row>
    <row r="4350" spans="1:4" ht="13.05" customHeight="1" x14ac:dyDescent="0.3">
      <c r="A4350" s="2" t="s">
        <v>646</v>
      </c>
      <c r="B4350" s="2" t="s">
        <v>1132</v>
      </c>
      <c r="C4350" s="5" t="s">
        <v>995</v>
      </c>
      <c r="D4350" s="2" t="s">
        <v>6047</v>
      </c>
    </row>
    <row r="4351" spans="1:4" ht="13.05" customHeight="1" x14ac:dyDescent="0.3">
      <c r="A4351" s="2" t="s">
        <v>646</v>
      </c>
      <c r="B4351" s="2" t="s">
        <v>1132</v>
      </c>
      <c r="C4351" s="5" t="s">
        <v>997</v>
      </c>
      <c r="D4351" s="2" t="s">
        <v>6048</v>
      </c>
    </row>
    <row r="4352" spans="1:4" ht="13.05" customHeight="1" x14ac:dyDescent="0.3">
      <c r="A4352" s="2" t="s">
        <v>646</v>
      </c>
      <c r="B4352" s="2" t="s">
        <v>1132</v>
      </c>
      <c r="C4352" s="5" t="s">
        <v>999</v>
      </c>
      <c r="D4352" s="2" t="s">
        <v>6028</v>
      </c>
    </row>
    <row r="4353" spans="1:4" ht="13.05" customHeight="1" x14ac:dyDescent="0.3">
      <c r="A4353" s="2" t="s">
        <v>646</v>
      </c>
      <c r="B4353" s="2" t="s">
        <v>1132</v>
      </c>
      <c r="C4353" s="5" t="s">
        <v>1001</v>
      </c>
      <c r="D4353" s="2" t="s">
        <v>6049</v>
      </c>
    </row>
    <row r="4354" spans="1:4" ht="13.05" customHeight="1" x14ac:dyDescent="0.3">
      <c r="A4354" s="2" t="s">
        <v>646</v>
      </c>
      <c r="B4354" s="2" t="s">
        <v>1132</v>
      </c>
      <c r="C4354" s="5" t="s">
        <v>1003</v>
      </c>
      <c r="D4354" s="2" t="s">
        <v>6030</v>
      </c>
    </row>
    <row r="4355" spans="1:4" ht="13.05" customHeight="1" x14ac:dyDescent="0.3">
      <c r="A4355" s="2" t="s">
        <v>646</v>
      </c>
      <c r="B4355" s="2" t="s">
        <v>1132</v>
      </c>
      <c r="C4355" s="5" t="s">
        <v>1005</v>
      </c>
      <c r="D4355" s="2" t="s">
        <v>6031</v>
      </c>
    </row>
    <row r="4356" spans="1:4" ht="13.05" customHeight="1" x14ac:dyDescent="0.3">
      <c r="A4356" s="2" t="s">
        <v>646</v>
      </c>
      <c r="B4356" s="2" t="s">
        <v>1132</v>
      </c>
      <c r="C4356" s="5" t="s">
        <v>1007</v>
      </c>
      <c r="D4356" s="2" t="s">
        <v>6050</v>
      </c>
    </row>
    <row r="4357" spans="1:4" ht="13.05" customHeight="1" x14ac:dyDescent="0.3">
      <c r="A4357" s="2" t="s">
        <v>646</v>
      </c>
      <c r="B4357" s="2" t="s">
        <v>1132</v>
      </c>
      <c r="C4357" s="5" t="s">
        <v>1009</v>
      </c>
      <c r="D4357" s="2" t="s">
        <v>6051</v>
      </c>
    </row>
    <row r="4358" spans="1:4" ht="13.05" customHeight="1" x14ac:dyDescent="0.3">
      <c r="A4358" s="2" t="s">
        <v>646</v>
      </c>
      <c r="B4358" s="2" t="s">
        <v>1132</v>
      </c>
      <c r="C4358" s="5" t="s">
        <v>1011</v>
      </c>
      <c r="D4358" s="2" t="s">
        <v>978</v>
      </c>
    </row>
    <row r="4359" spans="1:4" ht="13.05" customHeight="1" x14ac:dyDescent="0.3">
      <c r="A4359" s="2" t="s">
        <v>646</v>
      </c>
      <c r="B4359" s="2" t="s">
        <v>1132</v>
      </c>
      <c r="C4359" s="5" t="s">
        <v>1013</v>
      </c>
      <c r="D4359" s="2" t="s">
        <v>6052</v>
      </c>
    </row>
    <row r="4360" spans="1:4" ht="13.05" customHeight="1" x14ac:dyDescent="0.3">
      <c r="A4360" s="2" t="s">
        <v>646</v>
      </c>
      <c r="B4360" s="2" t="s">
        <v>1132</v>
      </c>
      <c r="C4360" s="5" t="s">
        <v>1155</v>
      </c>
      <c r="D4360" s="2" t="s">
        <v>6036</v>
      </c>
    </row>
    <row r="4361" spans="1:4" ht="13.05" customHeight="1" x14ac:dyDescent="0.3">
      <c r="A4361" s="2" t="s">
        <v>646</v>
      </c>
      <c r="B4361" s="2" t="s">
        <v>1132</v>
      </c>
      <c r="C4361" s="5" t="s">
        <v>983</v>
      </c>
      <c r="D4361" s="2" t="s">
        <v>6053</v>
      </c>
    </row>
    <row r="4362" spans="1:4" ht="13.05" customHeight="1" x14ac:dyDescent="0.3">
      <c r="A4362" s="2" t="s">
        <v>648</v>
      </c>
      <c r="B4362" s="2" t="s">
        <v>1132</v>
      </c>
      <c r="C4362" s="5" t="s">
        <v>974</v>
      </c>
      <c r="D4362" s="2" t="s">
        <v>975</v>
      </c>
    </row>
    <row r="4363" spans="1:4" ht="13.05" customHeight="1" x14ac:dyDescent="0.3">
      <c r="A4363" s="2" t="s">
        <v>648</v>
      </c>
      <c r="B4363" s="2" t="s">
        <v>1132</v>
      </c>
      <c r="C4363" s="5" t="s">
        <v>956</v>
      </c>
      <c r="D4363" s="2" t="s">
        <v>1025</v>
      </c>
    </row>
    <row r="4364" spans="1:4" ht="13.05" customHeight="1" x14ac:dyDescent="0.3">
      <c r="A4364" s="2" t="s">
        <v>648</v>
      </c>
      <c r="B4364" s="2" t="s">
        <v>1132</v>
      </c>
      <c r="C4364" s="5" t="s">
        <v>958</v>
      </c>
      <c r="D4364" s="2" t="s">
        <v>1019</v>
      </c>
    </row>
    <row r="4365" spans="1:4" ht="13.05" customHeight="1" x14ac:dyDescent="0.3">
      <c r="A4365" s="2" t="s">
        <v>648</v>
      </c>
      <c r="B4365" s="2" t="s">
        <v>1132</v>
      </c>
      <c r="C4365" s="5" t="s">
        <v>960</v>
      </c>
      <c r="D4365" s="2" t="s">
        <v>961</v>
      </c>
    </row>
    <row r="4366" spans="1:4" ht="13.05" customHeight="1" x14ac:dyDescent="0.3">
      <c r="A4366" s="2" t="s">
        <v>648</v>
      </c>
      <c r="B4366" s="2" t="s">
        <v>1132</v>
      </c>
      <c r="C4366" s="5" t="s">
        <v>962</v>
      </c>
      <c r="D4366" s="2" t="s">
        <v>827</v>
      </c>
    </row>
    <row r="4367" spans="1:4" ht="13.05" customHeight="1" x14ac:dyDescent="0.3">
      <c r="A4367" s="2" t="s">
        <v>648</v>
      </c>
      <c r="B4367" s="2" t="s">
        <v>1132</v>
      </c>
      <c r="C4367" s="5" t="s">
        <v>964</v>
      </c>
      <c r="D4367" s="2" t="s">
        <v>6041</v>
      </c>
    </row>
    <row r="4368" spans="1:4" ht="13.05" customHeight="1" x14ac:dyDescent="0.3">
      <c r="A4368" s="2" t="s">
        <v>648</v>
      </c>
      <c r="B4368" s="2" t="s">
        <v>1132</v>
      </c>
      <c r="C4368" s="5" t="s">
        <v>966</v>
      </c>
      <c r="D4368" s="2" t="s">
        <v>6020</v>
      </c>
    </row>
    <row r="4369" spans="1:4" ht="13.05" customHeight="1" x14ac:dyDescent="0.3">
      <c r="A4369" s="2" t="s">
        <v>648</v>
      </c>
      <c r="B4369" s="2" t="s">
        <v>1132</v>
      </c>
      <c r="C4369" s="5" t="s">
        <v>968</v>
      </c>
      <c r="D4369" s="2" t="s">
        <v>6021</v>
      </c>
    </row>
    <row r="4370" spans="1:4" ht="13.05" customHeight="1" x14ac:dyDescent="0.3">
      <c r="A4370" s="2" t="s">
        <v>648</v>
      </c>
      <c r="B4370" s="2" t="s">
        <v>1132</v>
      </c>
      <c r="C4370" s="5" t="s">
        <v>970</v>
      </c>
      <c r="D4370" s="2" t="s">
        <v>6042</v>
      </c>
    </row>
    <row r="4371" spans="1:4" ht="13.05" customHeight="1" x14ac:dyDescent="0.3">
      <c r="A4371" s="2" t="s">
        <v>648</v>
      </c>
      <c r="B4371" s="2" t="s">
        <v>1132</v>
      </c>
      <c r="C4371" s="5" t="s">
        <v>972</v>
      </c>
      <c r="D4371" s="2" t="s">
        <v>6043</v>
      </c>
    </row>
    <row r="4372" spans="1:4" ht="13.05" customHeight="1" x14ac:dyDescent="0.3">
      <c r="A4372" s="2" t="s">
        <v>648</v>
      </c>
      <c r="B4372" s="2" t="s">
        <v>1132</v>
      </c>
      <c r="C4372" s="5" t="s">
        <v>981</v>
      </c>
      <c r="D4372" s="2" t="s">
        <v>6044</v>
      </c>
    </row>
    <row r="4373" spans="1:4" ht="13.05" customHeight="1" x14ac:dyDescent="0.3">
      <c r="A4373" s="2" t="s">
        <v>648</v>
      </c>
      <c r="B4373" s="2" t="s">
        <v>1132</v>
      </c>
      <c r="C4373" s="5" t="s">
        <v>991</v>
      </c>
      <c r="D4373" s="2" t="s">
        <v>6045</v>
      </c>
    </row>
    <row r="4374" spans="1:4" ht="13.05" customHeight="1" x14ac:dyDescent="0.3">
      <c r="A4374" s="2" t="s">
        <v>648</v>
      </c>
      <c r="B4374" s="2" t="s">
        <v>1132</v>
      </c>
      <c r="C4374" s="5" t="s">
        <v>993</v>
      </c>
      <c r="D4374" s="2" t="s">
        <v>6046</v>
      </c>
    </row>
    <row r="4375" spans="1:4" ht="13.05" customHeight="1" x14ac:dyDescent="0.3">
      <c r="A4375" s="2" t="s">
        <v>648</v>
      </c>
      <c r="B4375" s="2" t="s">
        <v>1132</v>
      </c>
      <c r="C4375" s="5" t="s">
        <v>995</v>
      </c>
      <c r="D4375" s="2" t="s">
        <v>6047</v>
      </c>
    </row>
    <row r="4376" spans="1:4" ht="13.05" customHeight="1" x14ac:dyDescent="0.3">
      <c r="A4376" s="2" t="s">
        <v>648</v>
      </c>
      <c r="B4376" s="2" t="s">
        <v>1132</v>
      </c>
      <c r="C4376" s="5" t="s">
        <v>997</v>
      </c>
      <c r="D4376" s="2" t="s">
        <v>6048</v>
      </c>
    </row>
    <row r="4377" spans="1:4" ht="13.05" customHeight="1" x14ac:dyDescent="0.3">
      <c r="A4377" s="2" t="s">
        <v>648</v>
      </c>
      <c r="B4377" s="2" t="s">
        <v>1132</v>
      </c>
      <c r="C4377" s="5" t="s">
        <v>999</v>
      </c>
      <c r="D4377" s="2" t="s">
        <v>6028</v>
      </c>
    </row>
    <row r="4378" spans="1:4" ht="13.05" customHeight="1" x14ac:dyDescent="0.3">
      <c r="A4378" s="2" t="s">
        <v>648</v>
      </c>
      <c r="B4378" s="2" t="s">
        <v>1132</v>
      </c>
      <c r="C4378" s="5" t="s">
        <v>1001</v>
      </c>
      <c r="D4378" s="2" t="s">
        <v>6049</v>
      </c>
    </row>
    <row r="4379" spans="1:4" ht="13.05" customHeight="1" x14ac:dyDescent="0.3">
      <c r="A4379" s="2" t="s">
        <v>648</v>
      </c>
      <c r="B4379" s="2" t="s">
        <v>1132</v>
      </c>
      <c r="C4379" s="5" t="s">
        <v>1003</v>
      </c>
      <c r="D4379" s="2" t="s">
        <v>6030</v>
      </c>
    </row>
    <row r="4380" spans="1:4" ht="13.05" customHeight="1" x14ac:dyDescent="0.3">
      <c r="A4380" s="2" t="s">
        <v>648</v>
      </c>
      <c r="B4380" s="2" t="s">
        <v>1132</v>
      </c>
      <c r="C4380" s="5" t="s">
        <v>1005</v>
      </c>
      <c r="D4380" s="2" t="s">
        <v>6031</v>
      </c>
    </row>
    <row r="4381" spans="1:4" ht="13.05" customHeight="1" x14ac:dyDescent="0.3">
      <c r="A4381" s="2" t="s">
        <v>648</v>
      </c>
      <c r="B4381" s="2" t="s">
        <v>1132</v>
      </c>
      <c r="C4381" s="5" t="s">
        <v>1007</v>
      </c>
      <c r="D4381" s="2" t="s">
        <v>6050</v>
      </c>
    </row>
    <row r="4382" spans="1:4" ht="13.05" customHeight="1" x14ac:dyDescent="0.3">
      <c r="A4382" s="2" t="s">
        <v>648</v>
      </c>
      <c r="B4382" s="2" t="s">
        <v>1132</v>
      </c>
      <c r="C4382" s="5" t="s">
        <v>1009</v>
      </c>
      <c r="D4382" s="2" t="s">
        <v>6051</v>
      </c>
    </row>
    <row r="4383" spans="1:4" ht="13.05" customHeight="1" x14ac:dyDescent="0.3">
      <c r="A4383" s="2" t="s">
        <v>648</v>
      </c>
      <c r="B4383" s="2" t="s">
        <v>1132</v>
      </c>
      <c r="C4383" s="5" t="s">
        <v>1011</v>
      </c>
      <c r="D4383" s="2" t="s">
        <v>978</v>
      </c>
    </row>
    <row r="4384" spans="1:4" ht="13.05" customHeight="1" x14ac:dyDescent="0.3">
      <c r="A4384" s="2" t="s">
        <v>648</v>
      </c>
      <c r="B4384" s="2" t="s">
        <v>1132</v>
      </c>
      <c r="C4384" s="5" t="s">
        <v>1013</v>
      </c>
      <c r="D4384" s="2" t="s">
        <v>6052</v>
      </c>
    </row>
    <row r="4385" spans="1:4" ht="13.05" customHeight="1" x14ac:dyDescent="0.3">
      <c r="A4385" s="2" t="s">
        <v>648</v>
      </c>
      <c r="B4385" s="2" t="s">
        <v>1132</v>
      </c>
      <c r="C4385" s="5" t="s">
        <v>1155</v>
      </c>
      <c r="D4385" s="2" t="s">
        <v>6036</v>
      </c>
    </row>
    <row r="4386" spans="1:4" ht="13.05" customHeight="1" x14ac:dyDescent="0.3">
      <c r="A4386" s="2" t="s">
        <v>648</v>
      </c>
      <c r="B4386" s="2" t="s">
        <v>1132</v>
      </c>
      <c r="C4386" s="5" t="s">
        <v>983</v>
      </c>
      <c r="D4386" s="2" t="s">
        <v>6053</v>
      </c>
    </row>
    <row r="4387" spans="1:4" ht="13.05" customHeight="1" x14ac:dyDescent="0.3">
      <c r="A4387" s="2" t="s">
        <v>650</v>
      </c>
      <c r="B4387" s="2" t="s">
        <v>1132</v>
      </c>
      <c r="C4387" s="5" t="s">
        <v>974</v>
      </c>
      <c r="D4387" s="2" t="s">
        <v>975</v>
      </c>
    </row>
    <row r="4388" spans="1:4" ht="13.05" customHeight="1" x14ac:dyDescent="0.3">
      <c r="A4388" s="2" t="s">
        <v>650</v>
      </c>
      <c r="B4388" s="2" t="s">
        <v>1132</v>
      </c>
      <c r="C4388" s="5" t="s">
        <v>956</v>
      </c>
      <c r="D4388" s="2" t="s">
        <v>1025</v>
      </c>
    </row>
    <row r="4389" spans="1:4" ht="13.05" customHeight="1" x14ac:dyDescent="0.3">
      <c r="A4389" s="2" t="s">
        <v>650</v>
      </c>
      <c r="B4389" s="2" t="s">
        <v>1132</v>
      </c>
      <c r="C4389" s="5" t="s">
        <v>958</v>
      </c>
      <c r="D4389" s="2" t="s">
        <v>1019</v>
      </c>
    </row>
    <row r="4390" spans="1:4" ht="13.05" customHeight="1" x14ac:dyDescent="0.3">
      <c r="A4390" s="2" t="s">
        <v>650</v>
      </c>
      <c r="B4390" s="2" t="s">
        <v>1132</v>
      </c>
      <c r="C4390" s="5" t="s">
        <v>960</v>
      </c>
      <c r="D4390" s="2" t="s">
        <v>961</v>
      </c>
    </row>
    <row r="4391" spans="1:4" ht="13.05" customHeight="1" x14ac:dyDescent="0.3">
      <c r="A4391" s="2" t="s">
        <v>650</v>
      </c>
      <c r="B4391" s="2" t="s">
        <v>1132</v>
      </c>
      <c r="C4391" s="5" t="s">
        <v>962</v>
      </c>
      <c r="D4391" s="2" t="s">
        <v>827</v>
      </c>
    </row>
    <row r="4392" spans="1:4" ht="13.05" customHeight="1" x14ac:dyDescent="0.3">
      <c r="A4392" s="2" t="s">
        <v>650</v>
      </c>
      <c r="B4392" s="2" t="s">
        <v>1132</v>
      </c>
      <c r="C4392" s="5" t="s">
        <v>964</v>
      </c>
      <c r="D4392" s="2" t="s">
        <v>6041</v>
      </c>
    </row>
    <row r="4393" spans="1:4" ht="13.05" customHeight="1" x14ac:dyDescent="0.3">
      <c r="A4393" s="2" t="s">
        <v>650</v>
      </c>
      <c r="B4393" s="2" t="s">
        <v>1132</v>
      </c>
      <c r="C4393" s="5" t="s">
        <v>966</v>
      </c>
      <c r="D4393" s="2" t="s">
        <v>6020</v>
      </c>
    </row>
    <row r="4394" spans="1:4" ht="13.05" customHeight="1" x14ac:dyDescent="0.3">
      <c r="A4394" s="2" t="s">
        <v>650</v>
      </c>
      <c r="B4394" s="2" t="s">
        <v>1132</v>
      </c>
      <c r="C4394" s="5" t="s">
        <v>968</v>
      </c>
      <c r="D4394" s="2" t="s">
        <v>6021</v>
      </c>
    </row>
    <row r="4395" spans="1:4" ht="13.05" customHeight="1" x14ac:dyDescent="0.3">
      <c r="A4395" s="2" t="s">
        <v>650</v>
      </c>
      <c r="B4395" s="2" t="s">
        <v>1132</v>
      </c>
      <c r="C4395" s="5" t="s">
        <v>970</v>
      </c>
      <c r="D4395" s="2" t="s">
        <v>6042</v>
      </c>
    </row>
    <row r="4396" spans="1:4" ht="13.05" customHeight="1" x14ac:dyDescent="0.3">
      <c r="A4396" s="2" t="s">
        <v>650</v>
      </c>
      <c r="B4396" s="2" t="s">
        <v>1132</v>
      </c>
      <c r="C4396" s="5" t="s">
        <v>972</v>
      </c>
      <c r="D4396" s="2" t="s">
        <v>6043</v>
      </c>
    </row>
    <row r="4397" spans="1:4" ht="13.05" customHeight="1" x14ac:dyDescent="0.3">
      <c r="A4397" s="2" t="s">
        <v>650</v>
      </c>
      <c r="B4397" s="2" t="s">
        <v>1132</v>
      </c>
      <c r="C4397" s="5" t="s">
        <v>981</v>
      </c>
      <c r="D4397" s="2" t="s">
        <v>6044</v>
      </c>
    </row>
    <row r="4398" spans="1:4" ht="13.05" customHeight="1" x14ac:dyDescent="0.3">
      <c r="A4398" s="2" t="s">
        <v>650</v>
      </c>
      <c r="B4398" s="2" t="s">
        <v>1132</v>
      </c>
      <c r="C4398" s="5" t="s">
        <v>991</v>
      </c>
      <c r="D4398" s="2" t="s">
        <v>6045</v>
      </c>
    </row>
    <row r="4399" spans="1:4" ht="13.05" customHeight="1" x14ac:dyDescent="0.3">
      <c r="A4399" s="2" t="s">
        <v>650</v>
      </c>
      <c r="B4399" s="2" t="s">
        <v>1132</v>
      </c>
      <c r="C4399" s="5" t="s">
        <v>993</v>
      </c>
      <c r="D4399" s="2" t="s">
        <v>6046</v>
      </c>
    </row>
    <row r="4400" spans="1:4" ht="13.05" customHeight="1" x14ac:dyDescent="0.3">
      <c r="A4400" s="2" t="s">
        <v>650</v>
      </c>
      <c r="B4400" s="2" t="s">
        <v>1132</v>
      </c>
      <c r="C4400" s="5" t="s">
        <v>995</v>
      </c>
      <c r="D4400" s="2" t="s">
        <v>6047</v>
      </c>
    </row>
    <row r="4401" spans="1:4" ht="13.05" customHeight="1" x14ac:dyDescent="0.3">
      <c r="A4401" s="2" t="s">
        <v>650</v>
      </c>
      <c r="B4401" s="2" t="s">
        <v>1132</v>
      </c>
      <c r="C4401" s="5" t="s">
        <v>997</v>
      </c>
      <c r="D4401" s="2" t="s">
        <v>6048</v>
      </c>
    </row>
    <row r="4402" spans="1:4" ht="13.05" customHeight="1" x14ac:dyDescent="0.3">
      <c r="A4402" s="2" t="s">
        <v>650</v>
      </c>
      <c r="B4402" s="2" t="s">
        <v>1132</v>
      </c>
      <c r="C4402" s="5" t="s">
        <v>999</v>
      </c>
      <c r="D4402" s="2" t="s">
        <v>6028</v>
      </c>
    </row>
    <row r="4403" spans="1:4" ht="13.05" customHeight="1" x14ac:dyDescent="0.3">
      <c r="A4403" s="2" t="s">
        <v>650</v>
      </c>
      <c r="B4403" s="2" t="s">
        <v>1132</v>
      </c>
      <c r="C4403" s="5" t="s">
        <v>1001</v>
      </c>
      <c r="D4403" s="2" t="s">
        <v>6049</v>
      </c>
    </row>
    <row r="4404" spans="1:4" ht="13.05" customHeight="1" x14ac:dyDescent="0.3">
      <c r="A4404" s="2" t="s">
        <v>650</v>
      </c>
      <c r="B4404" s="2" t="s">
        <v>1132</v>
      </c>
      <c r="C4404" s="5" t="s">
        <v>1003</v>
      </c>
      <c r="D4404" s="2" t="s">
        <v>6030</v>
      </c>
    </row>
    <row r="4405" spans="1:4" ht="13.05" customHeight="1" x14ac:dyDescent="0.3">
      <c r="A4405" s="2" t="s">
        <v>650</v>
      </c>
      <c r="B4405" s="2" t="s">
        <v>1132</v>
      </c>
      <c r="C4405" s="5" t="s">
        <v>1005</v>
      </c>
      <c r="D4405" s="2" t="s">
        <v>6031</v>
      </c>
    </row>
    <row r="4406" spans="1:4" ht="13.05" customHeight="1" x14ac:dyDescent="0.3">
      <c r="A4406" s="2" t="s">
        <v>650</v>
      </c>
      <c r="B4406" s="2" t="s">
        <v>1132</v>
      </c>
      <c r="C4406" s="5" t="s">
        <v>1007</v>
      </c>
      <c r="D4406" s="2" t="s">
        <v>6050</v>
      </c>
    </row>
    <row r="4407" spans="1:4" ht="13.05" customHeight="1" x14ac:dyDescent="0.3">
      <c r="A4407" s="2" t="s">
        <v>650</v>
      </c>
      <c r="B4407" s="2" t="s">
        <v>1132</v>
      </c>
      <c r="C4407" s="5" t="s">
        <v>1009</v>
      </c>
      <c r="D4407" s="2" t="s">
        <v>6051</v>
      </c>
    </row>
    <row r="4408" spans="1:4" ht="13.05" customHeight="1" x14ac:dyDescent="0.3">
      <c r="A4408" s="2" t="s">
        <v>650</v>
      </c>
      <c r="B4408" s="2" t="s">
        <v>1132</v>
      </c>
      <c r="C4408" s="5" t="s">
        <v>1011</v>
      </c>
      <c r="D4408" s="2" t="s">
        <v>978</v>
      </c>
    </row>
    <row r="4409" spans="1:4" ht="13.05" customHeight="1" x14ac:dyDescent="0.3">
      <c r="A4409" s="2" t="s">
        <v>650</v>
      </c>
      <c r="B4409" s="2" t="s">
        <v>1132</v>
      </c>
      <c r="C4409" s="5" t="s">
        <v>1013</v>
      </c>
      <c r="D4409" s="2" t="s">
        <v>6052</v>
      </c>
    </row>
    <row r="4410" spans="1:4" ht="13.05" customHeight="1" x14ac:dyDescent="0.3">
      <c r="A4410" s="2" t="s">
        <v>650</v>
      </c>
      <c r="B4410" s="2" t="s">
        <v>1132</v>
      </c>
      <c r="C4410" s="5" t="s">
        <v>1155</v>
      </c>
      <c r="D4410" s="2" t="s">
        <v>6036</v>
      </c>
    </row>
    <row r="4411" spans="1:4" ht="13.05" customHeight="1" x14ac:dyDescent="0.3">
      <c r="A4411" s="2" t="s">
        <v>650</v>
      </c>
      <c r="B4411" s="2" t="s">
        <v>1132</v>
      </c>
      <c r="C4411" s="5" t="s">
        <v>983</v>
      </c>
      <c r="D4411" s="2" t="s">
        <v>6053</v>
      </c>
    </row>
    <row r="4412" spans="1:4" ht="13.05" customHeight="1" x14ac:dyDescent="0.3">
      <c r="A4412" s="2" t="s">
        <v>652</v>
      </c>
      <c r="B4412" s="2" t="s">
        <v>1132</v>
      </c>
      <c r="C4412" s="5" t="s">
        <v>974</v>
      </c>
      <c r="D4412" s="2" t="s">
        <v>975</v>
      </c>
    </row>
    <row r="4413" spans="1:4" ht="13.05" customHeight="1" x14ac:dyDescent="0.3">
      <c r="A4413" s="2" t="s">
        <v>652</v>
      </c>
      <c r="B4413" s="2" t="s">
        <v>1132</v>
      </c>
      <c r="C4413" s="5" t="s">
        <v>956</v>
      </c>
      <c r="D4413" s="2" t="s">
        <v>1025</v>
      </c>
    </row>
    <row r="4414" spans="1:4" ht="13.05" customHeight="1" x14ac:dyDescent="0.3">
      <c r="A4414" s="2" t="s">
        <v>652</v>
      </c>
      <c r="B4414" s="2" t="s">
        <v>1132</v>
      </c>
      <c r="C4414" s="5" t="s">
        <v>958</v>
      </c>
      <c r="D4414" s="2" t="s">
        <v>1019</v>
      </c>
    </row>
    <row r="4415" spans="1:4" ht="13.05" customHeight="1" x14ac:dyDescent="0.3">
      <c r="A4415" s="2" t="s">
        <v>652</v>
      </c>
      <c r="B4415" s="2" t="s">
        <v>1132</v>
      </c>
      <c r="C4415" s="5" t="s">
        <v>960</v>
      </c>
      <c r="D4415" s="2" t="s">
        <v>961</v>
      </c>
    </row>
    <row r="4416" spans="1:4" ht="13.05" customHeight="1" x14ac:dyDescent="0.3">
      <c r="A4416" s="2" t="s">
        <v>652</v>
      </c>
      <c r="B4416" s="2" t="s">
        <v>1132</v>
      </c>
      <c r="C4416" s="5" t="s">
        <v>962</v>
      </c>
      <c r="D4416" s="2" t="s">
        <v>827</v>
      </c>
    </row>
    <row r="4417" spans="1:4" ht="13.05" customHeight="1" x14ac:dyDescent="0.3">
      <c r="A4417" s="2" t="s">
        <v>652</v>
      </c>
      <c r="B4417" s="2" t="s">
        <v>1132</v>
      </c>
      <c r="C4417" s="5" t="s">
        <v>964</v>
      </c>
      <c r="D4417" s="2" t="s">
        <v>6041</v>
      </c>
    </row>
    <row r="4418" spans="1:4" ht="13.05" customHeight="1" x14ac:dyDescent="0.3">
      <c r="A4418" s="2" t="s">
        <v>652</v>
      </c>
      <c r="B4418" s="2" t="s">
        <v>1132</v>
      </c>
      <c r="C4418" s="5" t="s">
        <v>966</v>
      </c>
      <c r="D4418" s="2" t="s">
        <v>6020</v>
      </c>
    </row>
    <row r="4419" spans="1:4" ht="13.05" customHeight="1" x14ac:dyDescent="0.3">
      <c r="A4419" s="2" t="s">
        <v>652</v>
      </c>
      <c r="B4419" s="2" t="s">
        <v>1132</v>
      </c>
      <c r="C4419" s="5" t="s">
        <v>968</v>
      </c>
      <c r="D4419" s="2" t="s">
        <v>6021</v>
      </c>
    </row>
    <row r="4420" spans="1:4" ht="13.05" customHeight="1" x14ac:dyDescent="0.3">
      <c r="A4420" s="2" t="s">
        <v>652</v>
      </c>
      <c r="B4420" s="2" t="s">
        <v>1132</v>
      </c>
      <c r="C4420" s="5" t="s">
        <v>970</v>
      </c>
      <c r="D4420" s="2" t="s">
        <v>6042</v>
      </c>
    </row>
    <row r="4421" spans="1:4" ht="13.05" customHeight="1" x14ac:dyDescent="0.3">
      <c r="A4421" s="2" t="s">
        <v>652</v>
      </c>
      <c r="B4421" s="2" t="s">
        <v>1132</v>
      </c>
      <c r="C4421" s="5" t="s">
        <v>972</v>
      </c>
      <c r="D4421" s="2" t="s">
        <v>6043</v>
      </c>
    </row>
    <row r="4422" spans="1:4" ht="13.05" customHeight="1" x14ac:dyDescent="0.3">
      <c r="A4422" s="2" t="s">
        <v>652</v>
      </c>
      <c r="B4422" s="2" t="s">
        <v>1132</v>
      </c>
      <c r="C4422" s="5" t="s">
        <v>981</v>
      </c>
      <c r="D4422" s="2" t="s">
        <v>6044</v>
      </c>
    </row>
    <row r="4423" spans="1:4" ht="13.05" customHeight="1" x14ac:dyDescent="0.3">
      <c r="A4423" s="2" t="s">
        <v>652</v>
      </c>
      <c r="B4423" s="2" t="s">
        <v>1132</v>
      </c>
      <c r="C4423" s="5" t="s">
        <v>991</v>
      </c>
      <c r="D4423" s="2" t="s">
        <v>6045</v>
      </c>
    </row>
    <row r="4424" spans="1:4" ht="13.05" customHeight="1" x14ac:dyDescent="0.3">
      <c r="A4424" s="2" t="s">
        <v>652</v>
      </c>
      <c r="B4424" s="2" t="s">
        <v>1132</v>
      </c>
      <c r="C4424" s="5" t="s">
        <v>993</v>
      </c>
      <c r="D4424" s="2" t="s">
        <v>6046</v>
      </c>
    </row>
    <row r="4425" spans="1:4" ht="13.05" customHeight="1" x14ac:dyDescent="0.3">
      <c r="A4425" s="2" t="s">
        <v>652</v>
      </c>
      <c r="B4425" s="2" t="s">
        <v>1132</v>
      </c>
      <c r="C4425" s="5" t="s">
        <v>995</v>
      </c>
      <c r="D4425" s="2" t="s">
        <v>6047</v>
      </c>
    </row>
    <row r="4426" spans="1:4" ht="13.05" customHeight="1" x14ac:dyDescent="0.3">
      <c r="A4426" s="2" t="s">
        <v>652</v>
      </c>
      <c r="B4426" s="2" t="s">
        <v>1132</v>
      </c>
      <c r="C4426" s="5" t="s">
        <v>997</v>
      </c>
      <c r="D4426" s="2" t="s">
        <v>6048</v>
      </c>
    </row>
    <row r="4427" spans="1:4" ht="13.05" customHeight="1" x14ac:dyDescent="0.3">
      <c r="A4427" s="2" t="s">
        <v>652</v>
      </c>
      <c r="B4427" s="2" t="s">
        <v>1132</v>
      </c>
      <c r="C4427" s="5" t="s">
        <v>999</v>
      </c>
      <c r="D4427" s="2" t="s">
        <v>6028</v>
      </c>
    </row>
    <row r="4428" spans="1:4" ht="13.05" customHeight="1" x14ac:dyDescent="0.3">
      <c r="A4428" s="2" t="s">
        <v>652</v>
      </c>
      <c r="B4428" s="2" t="s">
        <v>1132</v>
      </c>
      <c r="C4428" s="5" t="s">
        <v>1001</v>
      </c>
      <c r="D4428" s="2" t="s">
        <v>6049</v>
      </c>
    </row>
    <row r="4429" spans="1:4" ht="13.05" customHeight="1" x14ac:dyDescent="0.3">
      <c r="A4429" s="2" t="s">
        <v>652</v>
      </c>
      <c r="B4429" s="2" t="s">
        <v>1132</v>
      </c>
      <c r="C4429" s="5" t="s">
        <v>1003</v>
      </c>
      <c r="D4429" s="2" t="s">
        <v>6030</v>
      </c>
    </row>
    <row r="4430" spans="1:4" ht="13.05" customHeight="1" x14ac:dyDescent="0.3">
      <c r="A4430" s="2" t="s">
        <v>652</v>
      </c>
      <c r="B4430" s="2" t="s">
        <v>1132</v>
      </c>
      <c r="C4430" s="5" t="s">
        <v>1005</v>
      </c>
      <c r="D4430" s="2" t="s">
        <v>6031</v>
      </c>
    </row>
    <row r="4431" spans="1:4" ht="13.05" customHeight="1" x14ac:dyDescent="0.3">
      <c r="A4431" s="2" t="s">
        <v>652</v>
      </c>
      <c r="B4431" s="2" t="s">
        <v>1132</v>
      </c>
      <c r="C4431" s="5" t="s">
        <v>1007</v>
      </c>
      <c r="D4431" s="2" t="s">
        <v>6050</v>
      </c>
    </row>
    <row r="4432" spans="1:4" ht="13.05" customHeight="1" x14ac:dyDescent="0.3">
      <c r="A4432" s="2" t="s">
        <v>652</v>
      </c>
      <c r="B4432" s="2" t="s">
        <v>1132</v>
      </c>
      <c r="C4432" s="5" t="s">
        <v>1009</v>
      </c>
      <c r="D4432" s="2" t="s">
        <v>6051</v>
      </c>
    </row>
    <row r="4433" spans="1:4" ht="13.05" customHeight="1" x14ac:dyDescent="0.3">
      <c r="A4433" s="2" t="s">
        <v>652</v>
      </c>
      <c r="B4433" s="2" t="s">
        <v>1132</v>
      </c>
      <c r="C4433" s="5" t="s">
        <v>1011</v>
      </c>
      <c r="D4433" s="2" t="s">
        <v>978</v>
      </c>
    </row>
    <row r="4434" spans="1:4" ht="13.05" customHeight="1" x14ac:dyDescent="0.3">
      <c r="A4434" s="2" t="s">
        <v>652</v>
      </c>
      <c r="B4434" s="2" t="s">
        <v>1132</v>
      </c>
      <c r="C4434" s="5" t="s">
        <v>1013</v>
      </c>
      <c r="D4434" s="2" t="s">
        <v>6052</v>
      </c>
    </row>
    <row r="4435" spans="1:4" ht="13.05" customHeight="1" x14ac:dyDescent="0.3">
      <c r="A4435" s="2" t="s">
        <v>652</v>
      </c>
      <c r="B4435" s="2" t="s">
        <v>1132</v>
      </c>
      <c r="C4435" s="5" t="s">
        <v>1155</v>
      </c>
      <c r="D4435" s="2" t="s">
        <v>6036</v>
      </c>
    </row>
    <row r="4436" spans="1:4" ht="13.05" customHeight="1" x14ac:dyDescent="0.3">
      <c r="A4436" s="2" t="s">
        <v>652</v>
      </c>
      <c r="B4436" s="2" t="s">
        <v>1132</v>
      </c>
      <c r="C4436" s="5" t="s">
        <v>983</v>
      </c>
      <c r="D4436" s="2" t="s">
        <v>6053</v>
      </c>
    </row>
    <row r="4437" spans="1:4" ht="13.05" customHeight="1" x14ac:dyDescent="0.3">
      <c r="A4437" s="2" t="s">
        <v>654</v>
      </c>
      <c r="B4437" s="2" t="s">
        <v>1132</v>
      </c>
      <c r="C4437" s="5" t="s">
        <v>974</v>
      </c>
      <c r="D4437" s="2" t="s">
        <v>975</v>
      </c>
    </row>
    <row r="4438" spans="1:4" ht="13.05" customHeight="1" x14ac:dyDescent="0.3">
      <c r="A4438" s="2" t="s">
        <v>654</v>
      </c>
      <c r="B4438" s="2" t="s">
        <v>1132</v>
      </c>
      <c r="C4438" s="5" t="s">
        <v>956</v>
      </c>
      <c r="D4438" s="2" t="s">
        <v>1025</v>
      </c>
    </row>
    <row r="4439" spans="1:4" ht="13.05" customHeight="1" x14ac:dyDescent="0.3">
      <c r="A4439" s="2" t="s">
        <v>654</v>
      </c>
      <c r="B4439" s="2" t="s">
        <v>1132</v>
      </c>
      <c r="C4439" s="5" t="s">
        <v>958</v>
      </c>
      <c r="D4439" s="2" t="s">
        <v>1019</v>
      </c>
    </row>
    <row r="4440" spans="1:4" ht="13.05" customHeight="1" x14ac:dyDescent="0.3">
      <c r="A4440" s="2" t="s">
        <v>654</v>
      </c>
      <c r="B4440" s="2" t="s">
        <v>1132</v>
      </c>
      <c r="C4440" s="5" t="s">
        <v>960</v>
      </c>
      <c r="D4440" s="2" t="s">
        <v>961</v>
      </c>
    </row>
    <row r="4441" spans="1:4" ht="13.05" customHeight="1" x14ac:dyDescent="0.3">
      <c r="A4441" s="2" t="s">
        <v>654</v>
      </c>
      <c r="B4441" s="2" t="s">
        <v>1132</v>
      </c>
      <c r="C4441" s="5" t="s">
        <v>962</v>
      </c>
      <c r="D4441" s="2" t="s">
        <v>827</v>
      </c>
    </row>
    <row r="4442" spans="1:4" ht="13.05" customHeight="1" x14ac:dyDescent="0.3">
      <c r="A4442" s="2" t="s">
        <v>654</v>
      </c>
      <c r="B4442" s="2" t="s">
        <v>1132</v>
      </c>
      <c r="C4442" s="5" t="s">
        <v>964</v>
      </c>
      <c r="D4442" s="2" t="s">
        <v>6041</v>
      </c>
    </row>
    <row r="4443" spans="1:4" ht="13.05" customHeight="1" x14ac:dyDescent="0.3">
      <c r="A4443" s="2" t="s">
        <v>654</v>
      </c>
      <c r="B4443" s="2" t="s">
        <v>1132</v>
      </c>
      <c r="C4443" s="5" t="s">
        <v>966</v>
      </c>
      <c r="D4443" s="2" t="s">
        <v>6020</v>
      </c>
    </row>
    <row r="4444" spans="1:4" ht="13.05" customHeight="1" x14ac:dyDescent="0.3">
      <c r="A4444" s="2" t="s">
        <v>654</v>
      </c>
      <c r="B4444" s="2" t="s">
        <v>1132</v>
      </c>
      <c r="C4444" s="5" t="s">
        <v>968</v>
      </c>
      <c r="D4444" s="2" t="s">
        <v>6021</v>
      </c>
    </row>
    <row r="4445" spans="1:4" ht="13.05" customHeight="1" x14ac:dyDescent="0.3">
      <c r="A4445" s="2" t="s">
        <v>654</v>
      </c>
      <c r="B4445" s="2" t="s">
        <v>1132</v>
      </c>
      <c r="C4445" s="5" t="s">
        <v>970</v>
      </c>
      <c r="D4445" s="2" t="s">
        <v>6042</v>
      </c>
    </row>
    <row r="4446" spans="1:4" ht="13.05" customHeight="1" x14ac:dyDescent="0.3">
      <c r="A4446" s="2" t="s">
        <v>654</v>
      </c>
      <c r="B4446" s="2" t="s">
        <v>1132</v>
      </c>
      <c r="C4446" s="5" t="s">
        <v>972</v>
      </c>
      <c r="D4446" s="2" t="s">
        <v>6043</v>
      </c>
    </row>
    <row r="4447" spans="1:4" ht="13.05" customHeight="1" x14ac:dyDescent="0.3">
      <c r="A4447" s="2" t="s">
        <v>654</v>
      </c>
      <c r="B4447" s="2" t="s">
        <v>1132</v>
      </c>
      <c r="C4447" s="5" t="s">
        <v>981</v>
      </c>
      <c r="D4447" s="2" t="s">
        <v>6044</v>
      </c>
    </row>
    <row r="4448" spans="1:4" ht="13.05" customHeight="1" x14ac:dyDescent="0.3">
      <c r="A4448" s="2" t="s">
        <v>654</v>
      </c>
      <c r="B4448" s="2" t="s">
        <v>1132</v>
      </c>
      <c r="C4448" s="5" t="s">
        <v>991</v>
      </c>
      <c r="D4448" s="2" t="s">
        <v>6045</v>
      </c>
    </row>
    <row r="4449" spans="1:4" ht="13.05" customHeight="1" x14ac:dyDescent="0.3">
      <c r="A4449" s="2" t="s">
        <v>654</v>
      </c>
      <c r="B4449" s="2" t="s">
        <v>1132</v>
      </c>
      <c r="C4449" s="5" t="s">
        <v>993</v>
      </c>
      <c r="D4449" s="2" t="s">
        <v>6046</v>
      </c>
    </row>
    <row r="4450" spans="1:4" ht="13.05" customHeight="1" x14ac:dyDescent="0.3">
      <c r="A4450" s="2" t="s">
        <v>654</v>
      </c>
      <c r="B4450" s="2" t="s">
        <v>1132</v>
      </c>
      <c r="C4450" s="5" t="s">
        <v>995</v>
      </c>
      <c r="D4450" s="2" t="s">
        <v>6047</v>
      </c>
    </row>
    <row r="4451" spans="1:4" ht="13.05" customHeight="1" x14ac:dyDescent="0.3">
      <c r="A4451" s="2" t="s">
        <v>654</v>
      </c>
      <c r="B4451" s="2" t="s">
        <v>1132</v>
      </c>
      <c r="C4451" s="5" t="s">
        <v>997</v>
      </c>
      <c r="D4451" s="2" t="s">
        <v>6048</v>
      </c>
    </row>
    <row r="4452" spans="1:4" ht="13.05" customHeight="1" x14ac:dyDescent="0.3">
      <c r="A4452" s="2" t="s">
        <v>654</v>
      </c>
      <c r="B4452" s="2" t="s">
        <v>1132</v>
      </c>
      <c r="C4452" s="5" t="s">
        <v>999</v>
      </c>
      <c r="D4452" s="2" t="s">
        <v>6028</v>
      </c>
    </row>
    <row r="4453" spans="1:4" ht="13.05" customHeight="1" x14ac:dyDescent="0.3">
      <c r="A4453" s="2" t="s">
        <v>654</v>
      </c>
      <c r="B4453" s="2" t="s">
        <v>1132</v>
      </c>
      <c r="C4453" s="5" t="s">
        <v>1001</v>
      </c>
      <c r="D4453" s="2" t="s">
        <v>6049</v>
      </c>
    </row>
    <row r="4454" spans="1:4" ht="13.05" customHeight="1" x14ac:dyDescent="0.3">
      <c r="A4454" s="2" t="s">
        <v>654</v>
      </c>
      <c r="B4454" s="2" t="s">
        <v>1132</v>
      </c>
      <c r="C4454" s="5" t="s">
        <v>1003</v>
      </c>
      <c r="D4454" s="2" t="s">
        <v>6030</v>
      </c>
    </row>
    <row r="4455" spans="1:4" ht="13.05" customHeight="1" x14ac:dyDescent="0.3">
      <c r="A4455" s="2" t="s">
        <v>654</v>
      </c>
      <c r="B4455" s="2" t="s">
        <v>1132</v>
      </c>
      <c r="C4455" s="5" t="s">
        <v>1005</v>
      </c>
      <c r="D4455" s="2" t="s">
        <v>6031</v>
      </c>
    </row>
    <row r="4456" spans="1:4" ht="13.05" customHeight="1" x14ac:dyDescent="0.3">
      <c r="A4456" s="2" t="s">
        <v>654</v>
      </c>
      <c r="B4456" s="2" t="s">
        <v>1132</v>
      </c>
      <c r="C4456" s="5" t="s">
        <v>1007</v>
      </c>
      <c r="D4456" s="2" t="s">
        <v>6050</v>
      </c>
    </row>
    <row r="4457" spans="1:4" ht="13.05" customHeight="1" x14ac:dyDescent="0.3">
      <c r="A4457" s="2" t="s">
        <v>654</v>
      </c>
      <c r="B4457" s="2" t="s">
        <v>1132</v>
      </c>
      <c r="C4457" s="5" t="s">
        <v>1009</v>
      </c>
      <c r="D4457" s="2" t="s">
        <v>6051</v>
      </c>
    </row>
    <row r="4458" spans="1:4" ht="13.05" customHeight="1" x14ac:dyDescent="0.3">
      <c r="A4458" s="2" t="s">
        <v>654</v>
      </c>
      <c r="B4458" s="2" t="s">
        <v>1132</v>
      </c>
      <c r="C4458" s="5" t="s">
        <v>1011</v>
      </c>
      <c r="D4458" s="2" t="s">
        <v>978</v>
      </c>
    </row>
    <row r="4459" spans="1:4" ht="13.05" customHeight="1" x14ac:dyDescent="0.3">
      <c r="A4459" s="2" t="s">
        <v>654</v>
      </c>
      <c r="B4459" s="2" t="s">
        <v>1132</v>
      </c>
      <c r="C4459" s="5" t="s">
        <v>1013</v>
      </c>
      <c r="D4459" s="2" t="s">
        <v>6052</v>
      </c>
    </row>
    <row r="4460" spans="1:4" ht="13.05" customHeight="1" x14ac:dyDescent="0.3">
      <c r="A4460" s="2" t="s">
        <v>654</v>
      </c>
      <c r="B4460" s="2" t="s">
        <v>1132</v>
      </c>
      <c r="C4460" s="5" t="s">
        <v>1155</v>
      </c>
      <c r="D4460" s="2" t="s">
        <v>6036</v>
      </c>
    </row>
    <row r="4461" spans="1:4" ht="13.05" customHeight="1" x14ac:dyDescent="0.3">
      <c r="A4461" s="2" t="s">
        <v>654</v>
      </c>
      <c r="B4461" s="2" t="s">
        <v>1132</v>
      </c>
      <c r="C4461" s="5" t="s">
        <v>983</v>
      </c>
      <c r="D4461" s="2" t="s">
        <v>6053</v>
      </c>
    </row>
    <row r="4462" spans="1:4" ht="13.05" customHeight="1" x14ac:dyDescent="0.3">
      <c r="A4462" s="2" t="s">
        <v>656</v>
      </c>
      <c r="B4462" s="2" t="s">
        <v>1132</v>
      </c>
      <c r="C4462" s="5" t="s">
        <v>974</v>
      </c>
      <c r="D4462" s="2" t="s">
        <v>975</v>
      </c>
    </row>
    <row r="4463" spans="1:4" ht="13.05" customHeight="1" x14ac:dyDescent="0.3">
      <c r="A4463" s="2" t="s">
        <v>656</v>
      </c>
      <c r="B4463" s="2" t="s">
        <v>1132</v>
      </c>
      <c r="C4463" s="5" t="s">
        <v>956</v>
      </c>
      <c r="D4463" s="2" t="s">
        <v>1025</v>
      </c>
    </row>
    <row r="4464" spans="1:4" ht="13.05" customHeight="1" x14ac:dyDescent="0.3">
      <c r="A4464" s="2" t="s">
        <v>656</v>
      </c>
      <c r="B4464" s="2" t="s">
        <v>1132</v>
      </c>
      <c r="C4464" s="5" t="s">
        <v>958</v>
      </c>
      <c r="D4464" s="2" t="s">
        <v>1019</v>
      </c>
    </row>
    <row r="4465" spans="1:4" ht="13.05" customHeight="1" x14ac:dyDescent="0.3">
      <c r="A4465" s="2" t="s">
        <v>656</v>
      </c>
      <c r="B4465" s="2" t="s">
        <v>1132</v>
      </c>
      <c r="C4465" s="5" t="s">
        <v>960</v>
      </c>
      <c r="D4465" s="2" t="s">
        <v>961</v>
      </c>
    </row>
    <row r="4466" spans="1:4" ht="13.05" customHeight="1" x14ac:dyDescent="0.3">
      <c r="A4466" s="2" t="s">
        <v>656</v>
      </c>
      <c r="B4466" s="2" t="s">
        <v>1132</v>
      </c>
      <c r="C4466" s="5" t="s">
        <v>962</v>
      </c>
      <c r="D4466" s="2" t="s">
        <v>827</v>
      </c>
    </row>
    <row r="4467" spans="1:4" ht="13.05" customHeight="1" x14ac:dyDescent="0.3">
      <c r="A4467" s="2" t="s">
        <v>656</v>
      </c>
      <c r="B4467" s="2" t="s">
        <v>1132</v>
      </c>
      <c r="C4467" s="5" t="s">
        <v>964</v>
      </c>
      <c r="D4467" s="2" t="s">
        <v>6041</v>
      </c>
    </row>
    <row r="4468" spans="1:4" ht="13.05" customHeight="1" x14ac:dyDescent="0.3">
      <c r="A4468" s="2" t="s">
        <v>656</v>
      </c>
      <c r="B4468" s="2" t="s">
        <v>1132</v>
      </c>
      <c r="C4468" s="5" t="s">
        <v>966</v>
      </c>
      <c r="D4468" s="2" t="s">
        <v>6020</v>
      </c>
    </row>
    <row r="4469" spans="1:4" ht="13.05" customHeight="1" x14ac:dyDescent="0.3">
      <c r="A4469" s="2" t="s">
        <v>656</v>
      </c>
      <c r="B4469" s="2" t="s">
        <v>1132</v>
      </c>
      <c r="C4469" s="5" t="s">
        <v>968</v>
      </c>
      <c r="D4469" s="2" t="s">
        <v>6021</v>
      </c>
    </row>
    <row r="4470" spans="1:4" ht="13.05" customHeight="1" x14ac:dyDescent="0.3">
      <c r="A4470" s="2" t="s">
        <v>656</v>
      </c>
      <c r="B4470" s="2" t="s">
        <v>1132</v>
      </c>
      <c r="C4470" s="5" t="s">
        <v>970</v>
      </c>
      <c r="D4470" s="2" t="s">
        <v>6042</v>
      </c>
    </row>
    <row r="4471" spans="1:4" ht="13.05" customHeight="1" x14ac:dyDescent="0.3">
      <c r="A4471" s="2" t="s">
        <v>656</v>
      </c>
      <c r="B4471" s="2" t="s">
        <v>1132</v>
      </c>
      <c r="C4471" s="5" t="s">
        <v>972</v>
      </c>
      <c r="D4471" s="2" t="s">
        <v>6043</v>
      </c>
    </row>
    <row r="4472" spans="1:4" ht="13.05" customHeight="1" x14ac:dyDescent="0.3">
      <c r="A4472" s="2" t="s">
        <v>656</v>
      </c>
      <c r="B4472" s="2" t="s">
        <v>1132</v>
      </c>
      <c r="C4472" s="5" t="s">
        <v>981</v>
      </c>
      <c r="D4472" s="2" t="s">
        <v>6044</v>
      </c>
    </row>
    <row r="4473" spans="1:4" ht="13.05" customHeight="1" x14ac:dyDescent="0.3">
      <c r="A4473" s="2" t="s">
        <v>656</v>
      </c>
      <c r="B4473" s="2" t="s">
        <v>1132</v>
      </c>
      <c r="C4473" s="5" t="s">
        <v>991</v>
      </c>
      <c r="D4473" s="2" t="s">
        <v>6045</v>
      </c>
    </row>
    <row r="4474" spans="1:4" ht="13.05" customHeight="1" x14ac:dyDescent="0.3">
      <c r="A4474" s="2" t="s">
        <v>656</v>
      </c>
      <c r="B4474" s="2" t="s">
        <v>1132</v>
      </c>
      <c r="C4474" s="5" t="s">
        <v>993</v>
      </c>
      <c r="D4474" s="2" t="s">
        <v>6046</v>
      </c>
    </row>
    <row r="4475" spans="1:4" ht="13.05" customHeight="1" x14ac:dyDescent="0.3">
      <c r="A4475" s="2" t="s">
        <v>656</v>
      </c>
      <c r="B4475" s="2" t="s">
        <v>1132</v>
      </c>
      <c r="C4475" s="5" t="s">
        <v>995</v>
      </c>
      <c r="D4475" s="2" t="s">
        <v>6047</v>
      </c>
    </row>
    <row r="4476" spans="1:4" ht="13.05" customHeight="1" x14ac:dyDescent="0.3">
      <c r="A4476" s="2" t="s">
        <v>656</v>
      </c>
      <c r="B4476" s="2" t="s">
        <v>1132</v>
      </c>
      <c r="C4476" s="5" t="s">
        <v>997</v>
      </c>
      <c r="D4476" s="2" t="s">
        <v>6048</v>
      </c>
    </row>
    <row r="4477" spans="1:4" ht="13.05" customHeight="1" x14ac:dyDescent="0.3">
      <c r="A4477" s="2" t="s">
        <v>656</v>
      </c>
      <c r="B4477" s="2" t="s">
        <v>1132</v>
      </c>
      <c r="C4477" s="5" t="s">
        <v>999</v>
      </c>
      <c r="D4477" s="2" t="s">
        <v>6028</v>
      </c>
    </row>
    <row r="4478" spans="1:4" ht="13.05" customHeight="1" x14ac:dyDescent="0.3">
      <c r="A4478" s="2" t="s">
        <v>656</v>
      </c>
      <c r="B4478" s="2" t="s">
        <v>1132</v>
      </c>
      <c r="C4478" s="5" t="s">
        <v>1001</v>
      </c>
      <c r="D4478" s="2" t="s">
        <v>6049</v>
      </c>
    </row>
    <row r="4479" spans="1:4" ht="13.05" customHeight="1" x14ac:dyDescent="0.3">
      <c r="A4479" s="2" t="s">
        <v>656</v>
      </c>
      <c r="B4479" s="2" t="s">
        <v>1132</v>
      </c>
      <c r="C4479" s="5" t="s">
        <v>1003</v>
      </c>
      <c r="D4479" s="2" t="s">
        <v>6030</v>
      </c>
    </row>
    <row r="4480" spans="1:4" ht="13.05" customHeight="1" x14ac:dyDescent="0.3">
      <c r="A4480" s="2" t="s">
        <v>656</v>
      </c>
      <c r="B4480" s="2" t="s">
        <v>1132</v>
      </c>
      <c r="C4480" s="5" t="s">
        <v>1005</v>
      </c>
      <c r="D4480" s="2" t="s">
        <v>6031</v>
      </c>
    </row>
    <row r="4481" spans="1:4" ht="13.05" customHeight="1" x14ac:dyDescent="0.3">
      <c r="A4481" s="2" t="s">
        <v>656</v>
      </c>
      <c r="B4481" s="2" t="s">
        <v>1132</v>
      </c>
      <c r="C4481" s="5" t="s">
        <v>1007</v>
      </c>
      <c r="D4481" s="2" t="s">
        <v>6050</v>
      </c>
    </row>
    <row r="4482" spans="1:4" ht="13.05" customHeight="1" x14ac:dyDescent="0.3">
      <c r="A4482" s="2" t="s">
        <v>656</v>
      </c>
      <c r="B4482" s="2" t="s">
        <v>1132</v>
      </c>
      <c r="C4482" s="5" t="s">
        <v>1009</v>
      </c>
      <c r="D4482" s="2" t="s">
        <v>6051</v>
      </c>
    </row>
    <row r="4483" spans="1:4" ht="13.05" customHeight="1" x14ac:dyDescent="0.3">
      <c r="A4483" s="2" t="s">
        <v>656</v>
      </c>
      <c r="B4483" s="2" t="s">
        <v>1132</v>
      </c>
      <c r="C4483" s="5" t="s">
        <v>1011</v>
      </c>
      <c r="D4483" s="2" t="s">
        <v>978</v>
      </c>
    </row>
    <row r="4484" spans="1:4" ht="13.05" customHeight="1" x14ac:dyDescent="0.3">
      <c r="A4484" s="2" t="s">
        <v>656</v>
      </c>
      <c r="B4484" s="2" t="s">
        <v>1132</v>
      </c>
      <c r="C4484" s="5" t="s">
        <v>1013</v>
      </c>
      <c r="D4484" s="2" t="s">
        <v>6052</v>
      </c>
    </row>
    <row r="4485" spans="1:4" ht="13.05" customHeight="1" x14ac:dyDescent="0.3">
      <c r="A4485" s="2" t="s">
        <v>656</v>
      </c>
      <c r="B4485" s="2" t="s">
        <v>1132</v>
      </c>
      <c r="C4485" s="5" t="s">
        <v>1155</v>
      </c>
      <c r="D4485" s="2" t="s">
        <v>6036</v>
      </c>
    </row>
    <row r="4486" spans="1:4" ht="13.05" customHeight="1" x14ac:dyDescent="0.3">
      <c r="A4486" s="2" t="s">
        <v>656</v>
      </c>
      <c r="B4486" s="2" t="s">
        <v>1132</v>
      </c>
      <c r="C4486" s="5" t="s">
        <v>983</v>
      </c>
      <c r="D4486" s="2" t="s">
        <v>6053</v>
      </c>
    </row>
    <row r="4487" spans="1:4" ht="13.05" customHeight="1" x14ac:dyDescent="0.3">
      <c r="A4487" s="2" t="s">
        <v>658</v>
      </c>
      <c r="B4487" s="2" t="s">
        <v>1132</v>
      </c>
      <c r="C4487" s="5" t="s">
        <v>974</v>
      </c>
      <c r="D4487" s="2" t="s">
        <v>975</v>
      </c>
    </row>
    <row r="4488" spans="1:4" ht="13.05" customHeight="1" x14ac:dyDescent="0.3">
      <c r="A4488" s="2" t="s">
        <v>658</v>
      </c>
      <c r="B4488" s="2" t="s">
        <v>1132</v>
      </c>
      <c r="C4488" s="5" t="s">
        <v>956</v>
      </c>
      <c r="D4488" s="2" t="s">
        <v>1025</v>
      </c>
    </row>
    <row r="4489" spans="1:4" ht="13.05" customHeight="1" x14ac:dyDescent="0.3">
      <c r="A4489" s="2" t="s">
        <v>658</v>
      </c>
      <c r="B4489" s="2" t="s">
        <v>1132</v>
      </c>
      <c r="C4489" s="5" t="s">
        <v>958</v>
      </c>
      <c r="D4489" s="2" t="s">
        <v>1019</v>
      </c>
    </row>
    <row r="4490" spans="1:4" ht="13.05" customHeight="1" x14ac:dyDescent="0.3">
      <c r="A4490" s="2" t="s">
        <v>658</v>
      </c>
      <c r="B4490" s="2" t="s">
        <v>1132</v>
      </c>
      <c r="C4490" s="5" t="s">
        <v>960</v>
      </c>
      <c r="D4490" s="2" t="s">
        <v>961</v>
      </c>
    </row>
    <row r="4491" spans="1:4" ht="13.05" customHeight="1" x14ac:dyDescent="0.3">
      <c r="A4491" s="2" t="s">
        <v>658</v>
      </c>
      <c r="B4491" s="2" t="s">
        <v>1132</v>
      </c>
      <c r="C4491" s="5" t="s">
        <v>962</v>
      </c>
      <c r="D4491" s="2" t="s">
        <v>827</v>
      </c>
    </row>
    <row r="4492" spans="1:4" ht="13.05" customHeight="1" x14ac:dyDescent="0.3">
      <c r="A4492" s="2" t="s">
        <v>658</v>
      </c>
      <c r="B4492" s="2" t="s">
        <v>1132</v>
      </c>
      <c r="C4492" s="5" t="s">
        <v>964</v>
      </c>
      <c r="D4492" s="2" t="s">
        <v>6041</v>
      </c>
    </row>
    <row r="4493" spans="1:4" ht="13.05" customHeight="1" x14ac:dyDescent="0.3">
      <c r="A4493" s="2" t="s">
        <v>658</v>
      </c>
      <c r="B4493" s="2" t="s">
        <v>1132</v>
      </c>
      <c r="C4493" s="5" t="s">
        <v>966</v>
      </c>
      <c r="D4493" s="2" t="s">
        <v>6020</v>
      </c>
    </row>
    <row r="4494" spans="1:4" ht="13.05" customHeight="1" x14ac:dyDescent="0.3">
      <c r="A4494" s="2" t="s">
        <v>658</v>
      </c>
      <c r="B4494" s="2" t="s">
        <v>1132</v>
      </c>
      <c r="C4494" s="5" t="s">
        <v>968</v>
      </c>
      <c r="D4494" s="2" t="s">
        <v>6021</v>
      </c>
    </row>
    <row r="4495" spans="1:4" ht="13.05" customHeight="1" x14ac:dyDescent="0.3">
      <c r="A4495" s="2" t="s">
        <v>658</v>
      </c>
      <c r="B4495" s="2" t="s">
        <v>1132</v>
      </c>
      <c r="C4495" s="5" t="s">
        <v>970</v>
      </c>
      <c r="D4495" s="2" t="s">
        <v>6042</v>
      </c>
    </row>
    <row r="4496" spans="1:4" ht="13.05" customHeight="1" x14ac:dyDescent="0.3">
      <c r="A4496" s="2" t="s">
        <v>658</v>
      </c>
      <c r="B4496" s="2" t="s">
        <v>1132</v>
      </c>
      <c r="C4496" s="5" t="s">
        <v>972</v>
      </c>
      <c r="D4496" s="2" t="s">
        <v>6043</v>
      </c>
    </row>
    <row r="4497" spans="1:4" ht="13.05" customHeight="1" x14ac:dyDescent="0.3">
      <c r="A4497" s="2" t="s">
        <v>658</v>
      </c>
      <c r="B4497" s="2" t="s">
        <v>1132</v>
      </c>
      <c r="C4497" s="5" t="s">
        <v>981</v>
      </c>
      <c r="D4497" s="2" t="s">
        <v>6044</v>
      </c>
    </row>
    <row r="4498" spans="1:4" ht="13.05" customHeight="1" x14ac:dyDescent="0.3">
      <c r="A4498" s="2" t="s">
        <v>658</v>
      </c>
      <c r="B4498" s="2" t="s">
        <v>1132</v>
      </c>
      <c r="C4498" s="5" t="s">
        <v>991</v>
      </c>
      <c r="D4498" s="2" t="s">
        <v>6045</v>
      </c>
    </row>
    <row r="4499" spans="1:4" ht="13.05" customHeight="1" x14ac:dyDescent="0.3">
      <c r="A4499" s="2" t="s">
        <v>658</v>
      </c>
      <c r="B4499" s="2" t="s">
        <v>1132</v>
      </c>
      <c r="C4499" s="5" t="s">
        <v>993</v>
      </c>
      <c r="D4499" s="2" t="s">
        <v>6046</v>
      </c>
    </row>
    <row r="4500" spans="1:4" ht="13.05" customHeight="1" x14ac:dyDescent="0.3">
      <c r="A4500" s="2" t="s">
        <v>658</v>
      </c>
      <c r="B4500" s="2" t="s">
        <v>1132</v>
      </c>
      <c r="C4500" s="5" t="s">
        <v>995</v>
      </c>
      <c r="D4500" s="2" t="s">
        <v>6047</v>
      </c>
    </row>
    <row r="4501" spans="1:4" ht="13.05" customHeight="1" x14ac:dyDescent="0.3">
      <c r="A4501" s="2" t="s">
        <v>658</v>
      </c>
      <c r="B4501" s="2" t="s">
        <v>1132</v>
      </c>
      <c r="C4501" s="5" t="s">
        <v>997</v>
      </c>
      <c r="D4501" s="2" t="s">
        <v>6048</v>
      </c>
    </row>
    <row r="4502" spans="1:4" ht="13.05" customHeight="1" x14ac:dyDescent="0.3">
      <c r="A4502" s="2" t="s">
        <v>658</v>
      </c>
      <c r="B4502" s="2" t="s">
        <v>1132</v>
      </c>
      <c r="C4502" s="5" t="s">
        <v>999</v>
      </c>
      <c r="D4502" s="2" t="s">
        <v>6028</v>
      </c>
    </row>
    <row r="4503" spans="1:4" ht="13.05" customHeight="1" x14ac:dyDescent="0.3">
      <c r="A4503" s="2" t="s">
        <v>658</v>
      </c>
      <c r="B4503" s="2" t="s">
        <v>1132</v>
      </c>
      <c r="C4503" s="5" t="s">
        <v>1001</v>
      </c>
      <c r="D4503" s="2" t="s">
        <v>6049</v>
      </c>
    </row>
    <row r="4504" spans="1:4" ht="13.05" customHeight="1" x14ac:dyDescent="0.3">
      <c r="A4504" s="2" t="s">
        <v>658</v>
      </c>
      <c r="B4504" s="2" t="s">
        <v>1132</v>
      </c>
      <c r="C4504" s="5" t="s">
        <v>1003</v>
      </c>
      <c r="D4504" s="2" t="s">
        <v>6030</v>
      </c>
    </row>
    <row r="4505" spans="1:4" ht="13.05" customHeight="1" x14ac:dyDescent="0.3">
      <c r="A4505" s="2" t="s">
        <v>658</v>
      </c>
      <c r="B4505" s="2" t="s">
        <v>1132</v>
      </c>
      <c r="C4505" s="5" t="s">
        <v>1005</v>
      </c>
      <c r="D4505" s="2" t="s">
        <v>6031</v>
      </c>
    </row>
    <row r="4506" spans="1:4" ht="13.05" customHeight="1" x14ac:dyDescent="0.3">
      <c r="A4506" s="2" t="s">
        <v>658</v>
      </c>
      <c r="B4506" s="2" t="s">
        <v>1132</v>
      </c>
      <c r="C4506" s="5" t="s">
        <v>1007</v>
      </c>
      <c r="D4506" s="2" t="s">
        <v>6050</v>
      </c>
    </row>
    <row r="4507" spans="1:4" ht="13.05" customHeight="1" x14ac:dyDescent="0.3">
      <c r="A4507" s="2" t="s">
        <v>658</v>
      </c>
      <c r="B4507" s="2" t="s">
        <v>1132</v>
      </c>
      <c r="C4507" s="5" t="s">
        <v>1009</v>
      </c>
      <c r="D4507" s="2" t="s">
        <v>6051</v>
      </c>
    </row>
    <row r="4508" spans="1:4" ht="13.05" customHeight="1" x14ac:dyDescent="0.3">
      <c r="A4508" s="2" t="s">
        <v>658</v>
      </c>
      <c r="B4508" s="2" t="s">
        <v>1132</v>
      </c>
      <c r="C4508" s="5" t="s">
        <v>1011</v>
      </c>
      <c r="D4508" s="2" t="s">
        <v>978</v>
      </c>
    </row>
    <row r="4509" spans="1:4" ht="13.05" customHeight="1" x14ac:dyDescent="0.3">
      <c r="A4509" s="2" t="s">
        <v>658</v>
      </c>
      <c r="B4509" s="2" t="s">
        <v>1132</v>
      </c>
      <c r="C4509" s="5" t="s">
        <v>1013</v>
      </c>
      <c r="D4509" s="2" t="s">
        <v>6052</v>
      </c>
    </row>
    <row r="4510" spans="1:4" ht="13.05" customHeight="1" x14ac:dyDescent="0.3">
      <c r="A4510" s="2" t="s">
        <v>658</v>
      </c>
      <c r="B4510" s="2" t="s">
        <v>1132</v>
      </c>
      <c r="C4510" s="5" t="s">
        <v>1155</v>
      </c>
      <c r="D4510" s="2" t="s">
        <v>6036</v>
      </c>
    </row>
    <row r="4511" spans="1:4" ht="13.05" customHeight="1" x14ac:dyDescent="0.3">
      <c r="A4511" s="2" t="s">
        <v>658</v>
      </c>
      <c r="B4511" s="2" t="s">
        <v>1132</v>
      </c>
      <c r="C4511" s="5" t="s">
        <v>983</v>
      </c>
      <c r="D4511" s="2" t="s">
        <v>6053</v>
      </c>
    </row>
    <row r="4512" spans="1:4" ht="13.05" customHeight="1" x14ac:dyDescent="0.3">
      <c r="A4512" s="2" t="s">
        <v>660</v>
      </c>
      <c r="B4512" s="2" t="s">
        <v>1132</v>
      </c>
      <c r="C4512" s="5" t="s">
        <v>974</v>
      </c>
      <c r="D4512" s="2" t="s">
        <v>975</v>
      </c>
    </row>
    <row r="4513" spans="1:4" ht="13.05" customHeight="1" x14ac:dyDescent="0.3">
      <c r="A4513" s="2" t="s">
        <v>660</v>
      </c>
      <c r="B4513" s="2" t="s">
        <v>1132</v>
      </c>
      <c r="C4513" s="5" t="s">
        <v>956</v>
      </c>
      <c r="D4513" s="2" t="s">
        <v>1025</v>
      </c>
    </row>
    <row r="4514" spans="1:4" ht="13.05" customHeight="1" x14ac:dyDescent="0.3">
      <c r="A4514" s="2" t="s">
        <v>660</v>
      </c>
      <c r="B4514" s="2" t="s">
        <v>1132</v>
      </c>
      <c r="C4514" s="5" t="s">
        <v>958</v>
      </c>
      <c r="D4514" s="2" t="s">
        <v>1019</v>
      </c>
    </row>
    <row r="4515" spans="1:4" ht="13.05" customHeight="1" x14ac:dyDescent="0.3">
      <c r="A4515" s="2" t="s">
        <v>660</v>
      </c>
      <c r="B4515" s="2" t="s">
        <v>1132</v>
      </c>
      <c r="C4515" s="5" t="s">
        <v>960</v>
      </c>
      <c r="D4515" s="2" t="s">
        <v>961</v>
      </c>
    </row>
    <row r="4516" spans="1:4" ht="13.05" customHeight="1" x14ac:dyDescent="0.3">
      <c r="A4516" s="2" t="s">
        <v>663</v>
      </c>
      <c r="B4516" s="2" t="s">
        <v>1038</v>
      </c>
      <c r="C4516" s="5" t="s">
        <v>974</v>
      </c>
      <c r="D4516" s="2" t="s">
        <v>975</v>
      </c>
    </row>
    <row r="4517" spans="1:4" ht="13.05" customHeight="1" x14ac:dyDescent="0.3">
      <c r="A4517" s="2" t="s">
        <v>663</v>
      </c>
      <c r="B4517" s="2" t="s">
        <v>1038</v>
      </c>
      <c r="C4517" s="5" t="s">
        <v>960</v>
      </c>
      <c r="D4517" s="2" t="s">
        <v>961</v>
      </c>
    </row>
    <row r="4518" spans="1:4" ht="13.05" customHeight="1" x14ac:dyDescent="0.3">
      <c r="A4518" s="2" t="s">
        <v>665</v>
      </c>
      <c r="B4518" s="2" t="s">
        <v>1018</v>
      </c>
      <c r="C4518" s="5" t="s">
        <v>956</v>
      </c>
      <c r="D4518" s="2" t="s">
        <v>1025</v>
      </c>
    </row>
    <row r="4519" spans="1:4" ht="13.05" customHeight="1" x14ac:dyDescent="0.3">
      <c r="A4519" s="2" t="s">
        <v>665</v>
      </c>
      <c r="B4519" s="2" t="s">
        <v>1018</v>
      </c>
      <c r="C4519" s="5" t="s">
        <v>958</v>
      </c>
      <c r="D4519" s="2" t="s">
        <v>959</v>
      </c>
    </row>
    <row r="4520" spans="1:4" ht="13.05" customHeight="1" x14ac:dyDescent="0.3">
      <c r="A4520" s="2" t="s">
        <v>665</v>
      </c>
      <c r="B4520" s="2" t="s">
        <v>1018</v>
      </c>
      <c r="C4520" s="5" t="s">
        <v>960</v>
      </c>
      <c r="D4520" s="2" t="s">
        <v>961</v>
      </c>
    </row>
    <row r="4521" spans="1:4" ht="13.05" customHeight="1" x14ac:dyDescent="0.3">
      <c r="A4521" s="2" t="s">
        <v>665</v>
      </c>
      <c r="B4521" s="2" t="s">
        <v>1018</v>
      </c>
      <c r="C4521" s="5" t="s">
        <v>962</v>
      </c>
      <c r="D4521" s="2" t="s">
        <v>1020</v>
      </c>
    </row>
    <row r="4522" spans="1:4" ht="13.05" customHeight="1" x14ac:dyDescent="0.3">
      <c r="A4522" s="2" t="s">
        <v>665</v>
      </c>
      <c r="B4522" s="2" t="s">
        <v>1018</v>
      </c>
      <c r="C4522" s="5" t="s">
        <v>964</v>
      </c>
      <c r="D4522" s="2" t="s">
        <v>1042</v>
      </c>
    </row>
    <row r="4523" spans="1:4" ht="13.05" customHeight="1" x14ac:dyDescent="0.3">
      <c r="A4523" s="2" t="s">
        <v>665</v>
      </c>
      <c r="B4523" s="2" t="s">
        <v>1018</v>
      </c>
      <c r="C4523" s="5" t="s">
        <v>966</v>
      </c>
      <c r="D4523" s="2" t="s">
        <v>1022</v>
      </c>
    </row>
    <row r="4524" spans="1:4" ht="13.05" customHeight="1" x14ac:dyDescent="0.3">
      <c r="A4524" s="2" t="s">
        <v>665</v>
      </c>
      <c r="B4524" s="2" t="s">
        <v>1018</v>
      </c>
      <c r="C4524" s="5" t="s">
        <v>968</v>
      </c>
      <c r="D4524" s="2" t="s">
        <v>1023</v>
      </c>
    </row>
    <row r="4525" spans="1:4" ht="13.05" customHeight="1" x14ac:dyDescent="0.3">
      <c r="A4525" s="2" t="s">
        <v>665</v>
      </c>
      <c r="B4525" s="2" t="s">
        <v>1018</v>
      </c>
      <c r="C4525" s="5" t="s">
        <v>970</v>
      </c>
      <c r="D4525" s="2" t="s">
        <v>5962</v>
      </c>
    </row>
    <row r="4526" spans="1:4" ht="13.05" customHeight="1" x14ac:dyDescent="0.3">
      <c r="A4526" s="2" t="s">
        <v>668</v>
      </c>
      <c r="B4526" s="2" t="s">
        <v>955</v>
      </c>
      <c r="C4526" s="5" t="s">
        <v>956</v>
      </c>
      <c r="D4526" s="2" t="s">
        <v>957</v>
      </c>
    </row>
    <row r="4527" spans="1:4" ht="13.05" customHeight="1" x14ac:dyDescent="0.3">
      <c r="A4527" s="2" t="s">
        <v>668</v>
      </c>
      <c r="B4527" s="2" t="s">
        <v>955</v>
      </c>
      <c r="C4527" s="5" t="s">
        <v>958</v>
      </c>
      <c r="D4527" s="2" t="s">
        <v>959</v>
      </c>
    </row>
    <row r="4528" spans="1:4" ht="13.05" customHeight="1" x14ac:dyDescent="0.3">
      <c r="A4528" s="2" t="s">
        <v>668</v>
      </c>
      <c r="B4528" s="2" t="s">
        <v>955</v>
      </c>
      <c r="C4528" s="5" t="s">
        <v>960</v>
      </c>
      <c r="D4528" s="2" t="s">
        <v>961</v>
      </c>
    </row>
    <row r="4529" spans="1:4" ht="13.05" customHeight="1" x14ac:dyDescent="0.3">
      <c r="A4529" s="2" t="s">
        <v>668</v>
      </c>
      <c r="B4529" s="2" t="s">
        <v>955</v>
      </c>
      <c r="C4529" s="5" t="s">
        <v>962</v>
      </c>
      <c r="D4529" s="2" t="s">
        <v>6054</v>
      </c>
    </row>
    <row r="4530" spans="1:4" ht="13.05" customHeight="1" x14ac:dyDescent="0.3">
      <c r="A4530" s="2" t="s">
        <v>668</v>
      </c>
      <c r="B4530" s="2" t="s">
        <v>955</v>
      </c>
      <c r="C4530" s="5" t="s">
        <v>964</v>
      </c>
      <c r="D4530" s="2" t="s">
        <v>6055</v>
      </c>
    </row>
    <row r="4531" spans="1:4" ht="13.05" customHeight="1" x14ac:dyDescent="0.3">
      <c r="A4531" s="2" t="s">
        <v>668</v>
      </c>
      <c r="B4531" s="2" t="s">
        <v>955</v>
      </c>
      <c r="C4531" s="5" t="s">
        <v>966</v>
      </c>
      <c r="D4531" s="2" t="s">
        <v>6056</v>
      </c>
    </row>
    <row r="4532" spans="1:4" ht="13.05" customHeight="1" x14ac:dyDescent="0.3">
      <c r="A4532" s="2" t="s">
        <v>668</v>
      </c>
      <c r="B4532" s="2" t="s">
        <v>955</v>
      </c>
      <c r="C4532" s="5" t="s">
        <v>968</v>
      </c>
      <c r="D4532" s="2" t="s">
        <v>6057</v>
      </c>
    </row>
    <row r="4533" spans="1:4" ht="13.05" customHeight="1" x14ac:dyDescent="0.3">
      <c r="A4533" s="2" t="s">
        <v>668</v>
      </c>
      <c r="B4533" s="2" t="s">
        <v>955</v>
      </c>
      <c r="C4533" s="5" t="s">
        <v>970</v>
      </c>
      <c r="D4533" s="2" t="s">
        <v>6058</v>
      </c>
    </row>
    <row r="4534" spans="1:4" ht="13.05" customHeight="1" x14ac:dyDescent="0.3">
      <c r="A4534" s="2" t="s">
        <v>668</v>
      </c>
      <c r="B4534" s="2" t="s">
        <v>955</v>
      </c>
      <c r="C4534" s="5" t="s">
        <v>972</v>
      </c>
      <c r="D4534" s="2" t="s">
        <v>6059</v>
      </c>
    </row>
    <row r="4535" spans="1:4" ht="13.05" customHeight="1" x14ac:dyDescent="0.3">
      <c r="A4535" s="2" t="s">
        <v>668</v>
      </c>
      <c r="B4535" s="2" t="s">
        <v>955</v>
      </c>
      <c r="C4535" s="5" t="s">
        <v>981</v>
      </c>
      <c r="D4535" s="2" t="s">
        <v>6060</v>
      </c>
    </row>
    <row r="4536" spans="1:4" ht="13.05" customHeight="1" x14ac:dyDescent="0.3">
      <c r="A4536" s="2" t="s">
        <v>668</v>
      </c>
      <c r="B4536" s="2" t="s">
        <v>955</v>
      </c>
      <c r="C4536" s="5" t="s">
        <v>991</v>
      </c>
      <c r="D4536" s="2" t="s">
        <v>6061</v>
      </c>
    </row>
    <row r="4537" spans="1:4" ht="13.05" customHeight="1" x14ac:dyDescent="0.3">
      <c r="A4537" s="2" t="s">
        <v>672</v>
      </c>
      <c r="B4537" s="2" t="s">
        <v>955</v>
      </c>
      <c r="C4537" s="5" t="s">
        <v>956</v>
      </c>
      <c r="D4537" s="2" t="s">
        <v>957</v>
      </c>
    </row>
    <row r="4538" spans="1:4" ht="13.05" customHeight="1" x14ac:dyDescent="0.3">
      <c r="A4538" s="2" t="s">
        <v>672</v>
      </c>
      <c r="B4538" s="2" t="s">
        <v>955</v>
      </c>
      <c r="C4538" s="5" t="s">
        <v>958</v>
      </c>
      <c r="D4538" s="2" t="s">
        <v>959</v>
      </c>
    </row>
    <row r="4539" spans="1:4" ht="13.05" customHeight="1" x14ac:dyDescent="0.3">
      <c r="A4539" s="2" t="s">
        <v>672</v>
      </c>
      <c r="B4539" s="2" t="s">
        <v>955</v>
      </c>
      <c r="C4539" s="5" t="s">
        <v>960</v>
      </c>
      <c r="D4539" s="2" t="s">
        <v>961</v>
      </c>
    </row>
    <row r="4540" spans="1:4" ht="13.05" customHeight="1" x14ac:dyDescent="0.3">
      <c r="A4540" s="2" t="s">
        <v>672</v>
      </c>
      <c r="B4540" s="2" t="s">
        <v>955</v>
      </c>
      <c r="C4540" s="5" t="s">
        <v>962</v>
      </c>
      <c r="D4540" s="2" t="s">
        <v>6054</v>
      </c>
    </row>
    <row r="4541" spans="1:4" ht="13.05" customHeight="1" x14ac:dyDescent="0.3">
      <c r="A4541" s="2" t="s">
        <v>672</v>
      </c>
      <c r="B4541" s="2" t="s">
        <v>955</v>
      </c>
      <c r="C4541" s="5" t="s">
        <v>964</v>
      </c>
      <c r="D4541" s="2" t="s">
        <v>6055</v>
      </c>
    </row>
    <row r="4542" spans="1:4" ht="13.05" customHeight="1" x14ac:dyDescent="0.3">
      <c r="A4542" s="2" t="s">
        <v>672</v>
      </c>
      <c r="B4542" s="2" t="s">
        <v>955</v>
      </c>
      <c r="C4542" s="5" t="s">
        <v>966</v>
      </c>
      <c r="D4542" s="2" t="s">
        <v>6056</v>
      </c>
    </row>
    <row r="4543" spans="1:4" ht="13.05" customHeight="1" x14ac:dyDescent="0.3">
      <c r="A4543" s="2" t="s">
        <v>672</v>
      </c>
      <c r="B4543" s="2" t="s">
        <v>955</v>
      </c>
      <c r="C4543" s="5" t="s">
        <v>968</v>
      </c>
      <c r="D4543" s="2" t="s">
        <v>6057</v>
      </c>
    </row>
    <row r="4544" spans="1:4" ht="13.05" customHeight="1" x14ac:dyDescent="0.3">
      <c r="A4544" s="2" t="s">
        <v>672</v>
      </c>
      <c r="B4544" s="2" t="s">
        <v>955</v>
      </c>
      <c r="C4544" s="5" t="s">
        <v>970</v>
      </c>
      <c r="D4544" s="2" t="s">
        <v>6058</v>
      </c>
    </row>
    <row r="4545" spans="1:4" ht="13.05" customHeight="1" x14ac:dyDescent="0.3">
      <c r="A4545" s="2" t="s">
        <v>672</v>
      </c>
      <c r="B4545" s="2" t="s">
        <v>955</v>
      </c>
      <c r="C4545" s="5" t="s">
        <v>972</v>
      </c>
      <c r="D4545" s="2" t="s">
        <v>6059</v>
      </c>
    </row>
    <row r="4546" spans="1:4" ht="13.05" customHeight="1" x14ac:dyDescent="0.3">
      <c r="A4546" s="2" t="s">
        <v>672</v>
      </c>
      <c r="B4546" s="2" t="s">
        <v>955</v>
      </c>
      <c r="C4546" s="5" t="s">
        <v>981</v>
      </c>
      <c r="D4546" s="2" t="s">
        <v>6060</v>
      </c>
    </row>
    <row r="4547" spans="1:4" ht="13.05" customHeight="1" x14ac:dyDescent="0.3">
      <c r="A4547" s="2" t="s">
        <v>672</v>
      </c>
      <c r="B4547" s="2" t="s">
        <v>955</v>
      </c>
      <c r="C4547" s="5" t="s">
        <v>991</v>
      </c>
      <c r="D4547" s="2" t="s">
        <v>6061</v>
      </c>
    </row>
    <row r="4548" spans="1:4" ht="13.05" customHeight="1" x14ac:dyDescent="0.3">
      <c r="A4548" s="2" t="s">
        <v>674</v>
      </c>
      <c r="B4548" s="2" t="s">
        <v>955</v>
      </c>
      <c r="C4548" s="5" t="s">
        <v>956</v>
      </c>
      <c r="D4548" s="2" t="s">
        <v>957</v>
      </c>
    </row>
    <row r="4549" spans="1:4" ht="13.05" customHeight="1" x14ac:dyDescent="0.3">
      <c r="A4549" s="2" t="s">
        <v>674</v>
      </c>
      <c r="B4549" s="2" t="s">
        <v>955</v>
      </c>
      <c r="C4549" s="5" t="s">
        <v>958</v>
      </c>
      <c r="D4549" s="2" t="s">
        <v>959</v>
      </c>
    </row>
    <row r="4550" spans="1:4" ht="13.05" customHeight="1" x14ac:dyDescent="0.3">
      <c r="A4550" s="2" t="s">
        <v>674</v>
      </c>
      <c r="B4550" s="2" t="s">
        <v>955</v>
      </c>
      <c r="C4550" s="5" t="s">
        <v>960</v>
      </c>
      <c r="D4550" s="2" t="s">
        <v>961</v>
      </c>
    </row>
    <row r="4551" spans="1:4" ht="13.05" customHeight="1" x14ac:dyDescent="0.3">
      <c r="A4551" s="2" t="s">
        <v>674</v>
      </c>
      <c r="B4551" s="2" t="s">
        <v>955</v>
      </c>
      <c r="C4551" s="5" t="s">
        <v>962</v>
      </c>
      <c r="D4551" s="2" t="s">
        <v>6054</v>
      </c>
    </row>
    <row r="4552" spans="1:4" ht="13.05" customHeight="1" x14ac:dyDescent="0.3">
      <c r="A4552" s="2" t="s">
        <v>674</v>
      </c>
      <c r="B4552" s="2" t="s">
        <v>955</v>
      </c>
      <c r="C4552" s="5" t="s">
        <v>964</v>
      </c>
      <c r="D4552" s="2" t="s">
        <v>6055</v>
      </c>
    </row>
    <row r="4553" spans="1:4" ht="13.05" customHeight="1" x14ac:dyDescent="0.3">
      <c r="A4553" s="2" t="s">
        <v>674</v>
      </c>
      <c r="B4553" s="2" t="s">
        <v>955</v>
      </c>
      <c r="C4553" s="5" t="s">
        <v>966</v>
      </c>
      <c r="D4553" s="2" t="s">
        <v>6056</v>
      </c>
    </row>
    <row r="4554" spans="1:4" ht="13.05" customHeight="1" x14ac:dyDescent="0.3">
      <c r="A4554" s="2" t="s">
        <v>674</v>
      </c>
      <c r="B4554" s="2" t="s">
        <v>955</v>
      </c>
      <c r="C4554" s="5" t="s">
        <v>968</v>
      </c>
      <c r="D4554" s="2" t="s">
        <v>6057</v>
      </c>
    </row>
    <row r="4555" spans="1:4" ht="13.05" customHeight="1" x14ac:dyDescent="0.3">
      <c r="A4555" s="2" t="s">
        <v>674</v>
      </c>
      <c r="B4555" s="2" t="s">
        <v>955</v>
      </c>
      <c r="C4555" s="5" t="s">
        <v>970</v>
      </c>
      <c r="D4555" s="2" t="s">
        <v>6058</v>
      </c>
    </row>
    <row r="4556" spans="1:4" ht="13.05" customHeight="1" x14ac:dyDescent="0.3">
      <c r="A4556" s="2" t="s">
        <v>674</v>
      </c>
      <c r="B4556" s="2" t="s">
        <v>955</v>
      </c>
      <c r="C4556" s="5" t="s">
        <v>972</v>
      </c>
      <c r="D4556" s="2" t="s">
        <v>6059</v>
      </c>
    </row>
    <row r="4557" spans="1:4" ht="13.05" customHeight="1" x14ac:dyDescent="0.3">
      <c r="A4557" s="2" t="s">
        <v>674</v>
      </c>
      <c r="B4557" s="2" t="s">
        <v>955</v>
      </c>
      <c r="C4557" s="5" t="s">
        <v>981</v>
      </c>
      <c r="D4557" s="2" t="s">
        <v>6060</v>
      </c>
    </row>
    <row r="4558" spans="1:4" ht="13.05" customHeight="1" x14ac:dyDescent="0.3">
      <c r="A4558" s="2" t="s">
        <v>674</v>
      </c>
      <c r="B4558" s="2" t="s">
        <v>955</v>
      </c>
      <c r="C4558" s="5" t="s">
        <v>991</v>
      </c>
      <c r="D4558" s="2" t="s">
        <v>6061</v>
      </c>
    </row>
    <row r="4559" spans="1:4" ht="13.05" customHeight="1" x14ac:dyDescent="0.3">
      <c r="A4559" s="2" t="s">
        <v>677</v>
      </c>
      <c r="B4559" s="2" t="s">
        <v>955</v>
      </c>
      <c r="C4559" s="5" t="s">
        <v>956</v>
      </c>
      <c r="D4559" s="2" t="s">
        <v>957</v>
      </c>
    </row>
    <row r="4560" spans="1:4" ht="13.05" customHeight="1" x14ac:dyDescent="0.3">
      <c r="A4560" s="2" t="s">
        <v>677</v>
      </c>
      <c r="B4560" s="2" t="s">
        <v>955</v>
      </c>
      <c r="C4560" s="5" t="s">
        <v>958</v>
      </c>
      <c r="D4560" s="2" t="s">
        <v>959</v>
      </c>
    </row>
    <row r="4561" spans="1:4" ht="13.05" customHeight="1" x14ac:dyDescent="0.3">
      <c r="A4561" s="2" t="s">
        <v>677</v>
      </c>
      <c r="B4561" s="2" t="s">
        <v>955</v>
      </c>
      <c r="C4561" s="5" t="s">
        <v>960</v>
      </c>
      <c r="D4561" s="2" t="s">
        <v>961</v>
      </c>
    </row>
    <row r="4562" spans="1:4" ht="13.05" customHeight="1" x14ac:dyDescent="0.3">
      <c r="A4562" s="2" t="s">
        <v>677</v>
      </c>
      <c r="B4562" s="2" t="s">
        <v>955</v>
      </c>
      <c r="C4562" s="5" t="s">
        <v>962</v>
      </c>
      <c r="D4562" s="2" t="s">
        <v>6054</v>
      </c>
    </row>
    <row r="4563" spans="1:4" ht="13.05" customHeight="1" x14ac:dyDescent="0.3">
      <c r="A4563" s="2" t="s">
        <v>677</v>
      </c>
      <c r="B4563" s="2" t="s">
        <v>955</v>
      </c>
      <c r="C4563" s="5" t="s">
        <v>964</v>
      </c>
      <c r="D4563" s="2" t="s">
        <v>6055</v>
      </c>
    </row>
    <row r="4564" spans="1:4" ht="13.05" customHeight="1" x14ac:dyDescent="0.3">
      <c r="A4564" s="2" t="s">
        <v>677</v>
      </c>
      <c r="B4564" s="2" t="s">
        <v>955</v>
      </c>
      <c r="C4564" s="5" t="s">
        <v>966</v>
      </c>
      <c r="D4564" s="2" t="s">
        <v>6056</v>
      </c>
    </row>
    <row r="4565" spans="1:4" ht="13.05" customHeight="1" x14ac:dyDescent="0.3">
      <c r="A4565" s="2" t="s">
        <v>677</v>
      </c>
      <c r="B4565" s="2" t="s">
        <v>955</v>
      </c>
      <c r="C4565" s="5" t="s">
        <v>968</v>
      </c>
      <c r="D4565" s="2" t="s">
        <v>6057</v>
      </c>
    </row>
    <row r="4566" spans="1:4" ht="13.05" customHeight="1" x14ac:dyDescent="0.3">
      <c r="A4566" s="2" t="s">
        <v>677</v>
      </c>
      <c r="B4566" s="2" t="s">
        <v>955</v>
      </c>
      <c r="C4566" s="5" t="s">
        <v>970</v>
      </c>
      <c r="D4566" s="2" t="s">
        <v>6058</v>
      </c>
    </row>
    <row r="4567" spans="1:4" ht="13.05" customHeight="1" x14ac:dyDescent="0.3">
      <c r="A4567" s="2" t="s">
        <v>677</v>
      </c>
      <c r="B4567" s="2" t="s">
        <v>955</v>
      </c>
      <c r="C4567" s="5" t="s">
        <v>972</v>
      </c>
      <c r="D4567" s="2" t="s">
        <v>6059</v>
      </c>
    </row>
    <row r="4568" spans="1:4" ht="13.05" customHeight="1" x14ac:dyDescent="0.3">
      <c r="A4568" s="2" t="s">
        <v>677</v>
      </c>
      <c r="B4568" s="2" t="s">
        <v>955</v>
      </c>
      <c r="C4568" s="5" t="s">
        <v>981</v>
      </c>
      <c r="D4568" s="2" t="s">
        <v>6060</v>
      </c>
    </row>
    <row r="4569" spans="1:4" ht="13.05" customHeight="1" x14ac:dyDescent="0.3">
      <c r="A4569" s="2" t="s">
        <v>677</v>
      </c>
      <c r="B4569" s="2" t="s">
        <v>955</v>
      </c>
      <c r="C4569" s="5" t="s">
        <v>991</v>
      </c>
      <c r="D4569" s="2" t="s">
        <v>6061</v>
      </c>
    </row>
    <row r="4570" spans="1:4" ht="13.05" customHeight="1" x14ac:dyDescent="0.3">
      <c r="A4570" s="2" t="s">
        <v>679</v>
      </c>
      <c r="B4570" s="2" t="s">
        <v>955</v>
      </c>
      <c r="C4570" s="5" t="s">
        <v>956</v>
      </c>
      <c r="D4570" s="2" t="s">
        <v>957</v>
      </c>
    </row>
    <row r="4571" spans="1:4" ht="13.05" customHeight="1" x14ac:dyDescent="0.3">
      <c r="A4571" s="2" t="s">
        <v>679</v>
      </c>
      <c r="B4571" s="2" t="s">
        <v>955</v>
      </c>
      <c r="C4571" s="5" t="s">
        <v>958</v>
      </c>
      <c r="D4571" s="2" t="s">
        <v>959</v>
      </c>
    </row>
    <row r="4572" spans="1:4" ht="13.05" customHeight="1" x14ac:dyDescent="0.3">
      <c r="A4572" s="2" t="s">
        <v>679</v>
      </c>
      <c r="B4572" s="2" t="s">
        <v>955</v>
      </c>
      <c r="C4572" s="5" t="s">
        <v>960</v>
      </c>
      <c r="D4572" s="2" t="s">
        <v>961</v>
      </c>
    </row>
    <row r="4573" spans="1:4" ht="13.05" customHeight="1" x14ac:dyDescent="0.3">
      <c r="A4573" s="2" t="s">
        <v>679</v>
      </c>
      <c r="B4573" s="2" t="s">
        <v>955</v>
      </c>
      <c r="C4573" s="5" t="s">
        <v>962</v>
      </c>
      <c r="D4573" s="2" t="s">
        <v>6054</v>
      </c>
    </row>
    <row r="4574" spans="1:4" ht="13.05" customHeight="1" x14ac:dyDescent="0.3">
      <c r="A4574" s="2" t="s">
        <v>679</v>
      </c>
      <c r="B4574" s="2" t="s">
        <v>955</v>
      </c>
      <c r="C4574" s="5" t="s">
        <v>964</v>
      </c>
      <c r="D4574" s="2" t="s">
        <v>6055</v>
      </c>
    </row>
    <row r="4575" spans="1:4" ht="13.05" customHeight="1" x14ac:dyDescent="0.3">
      <c r="A4575" s="2" t="s">
        <v>679</v>
      </c>
      <c r="B4575" s="2" t="s">
        <v>955</v>
      </c>
      <c r="C4575" s="5" t="s">
        <v>966</v>
      </c>
      <c r="D4575" s="2" t="s">
        <v>6056</v>
      </c>
    </row>
    <row r="4576" spans="1:4" ht="13.05" customHeight="1" x14ac:dyDescent="0.3">
      <c r="A4576" s="2" t="s">
        <v>679</v>
      </c>
      <c r="B4576" s="2" t="s">
        <v>955</v>
      </c>
      <c r="C4576" s="5" t="s">
        <v>968</v>
      </c>
      <c r="D4576" s="2" t="s">
        <v>6057</v>
      </c>
    </row>
    <row r="4577" spans="1:4" ht="13.05" customHeight="1" x14ac:dyDescent="0.3">
      <c r="A4577" s="2" t="s">
        <v>679</v>
      </c>
      <c r="B4577" s="2" t="s">
        <v>955</v>
      </c>
      <c r="C4577" s="5" t="s">
        <v>970</v>
      </c>
      <c r="D4577" s="2" t="s">
        <v>6058</v>
      </c>
    </row>
    <row r="4578" spans="1:4" ht="13.05" customHeight="1" x14ac:dyDescent="0.3">
      <c r="A4578" s="2" t="s">
        <v>679</v>
      </c>
      <c r="B4578" s="2" t="s">
        <v>955</v>
      </c>
      <c r="C4578" s="5" t="s">
        <v>972</v>
      </c>
      <c r="D4578" s="2" t="s">
        <v>6059</v>
      </c>
    </row>
    <row r="4579" spans="1:4" ht="13.05" customHeight="1" x14ac:dyDescent="0.3">
      <c r="A4579" s="2" t="s">
        <v>679</v>
      </c>
      <c r="B4579" s="2" t="s">
        <v>955</v>
      </c>
      <c r="C4579" s="5" t="s">
        <v>981</v>
      </c>
      <c r="D4579" s="2" t="s">
        <v>6060</v>
      </c>
    </row>
    <row r="4580" spans="1:4" ht="13.05" customHeight="1" x14ac:dyDescent="0.3">
      <c r="A4580" s="2" t="s">
        <v>679</v>
      </c>
      <c r="B4580" s="2" t="s">
        <v>955</v>
      </c>
      <c r="C4580" s="5" t="s">
        <v>991</v>
      </c>
      <c r="D4580" s="2" t="s">
        <v>6061</v>
      </c>
    </row>
    <row r="4581" spans="1:4" ht="13.05" customHeight="1" x14ac:dyDescent="0.3">
      <c r="A4581" s="2" t="s">
        <v>681</v>
      </c>
      <c r="B4581" s="2" t="s">
        <v>955</v>
      </c>
      <c r="C4581" s="5" t="s">
        <v>956</v>
      </c>
      <c r="D4581" s="2" t="s">
        <v>957</v>
      </c>
    </row>
    <row r="4582" spans="1:4" ht="13.05" customHeight="1" x14ac:dyDescent="0.3">
      <c r="A4582" s="2" t="s">
        <v>681</v>
      </c>
      <c r="B4582" s="2" t="s">
        <v>955</v>
      </c>
      <c r="C4582" s="5" t="s">
        <v>958</v>
      </c>
      <c r="D4582" s="2" t="s">
        <v>959</v>
      </c>
    </row>
    <row r="4583" spans="1:4" ht="13.05" customHeight="1" x14ac:dyDescent="0.3">
      <c r="A4583" s="2" t="s">
        <v>681</v>
      </c>
      <c r="B4583" s="2" t="s">
        <v>955</v>
      </c>
      <c r="C4583" s="5" t="s">
        <v>960</v>
      </c>
      <c r="D4583" s="2" t="s">
        <v>961</v>
      </c>
    </row>
    <row r="4584" spans="1:4" ht="13.05" customHeight="1" x14ac:dyDescent="0.3">
      <c r="A4584" s="2" t="s">
        <v>681</v>
      </c>
      <c r="B4584" s="2" t="s">
        <v>955</v>
      </c>
      <c r="C4584" s="5" t="s">
        <v>962</v>
      </c>
      <c r="D4584" s="2" t="s">
        <v>6054</v>
      </c>
    </row>
    <row r="4585" spans="1:4" ht="13.05" customHeight="1" x14ac:dyDescent="0.3">
      <c r="A4585" s="2" t="s">
        <v>681</v>
      </c>
      <c r="B4585" s="2" t="s">
        <v>955</v>
      </c>
      <c r="C4585" s="5" t="s">
        <v>964</v>
      </c>
      <c r="D4585" s="2" t="s">
        <v>6055</v>
      </c>
    </row>
    <row r="4586" spans="1:4" ht="13.05" customHeight="1" x14ac:dyDescent="0.3">
      <c r="A4586" s="2" t="s">
        <v>681</v>
      </c>
      <c r="B4586" s="2" t="s">
        <v>955</v>
      </c>
      <c r="C4586" s="5" t="s">
        <v>966</v>
      </c>
      <c r="D4586" s="2" t="s">
        <v>6056</v>
      </c>
    </row>
    <row r="4587" spans="1:4" ht="13.05" customHeight="1" x14ac:dyDescent="0.3">
      <c r="A4587" s="2" t="s">
        <v>681</v>
      </c>
      <c r="B4587" s="2" t="s">
        <v>955</v>
      </c>
      <c r="C4587" s="5" t="s">
        <v>968</v>
      </c>
      <c r="D4587" s="2" t="s">
        <v>6057</v>
      </c>
    </row>
    <row r="4588" spans="1:4" ht="13.05" customHeight="1" x14ac:dyDescent="0.3">
      <c r="A4588" s="2" t="s">
        <v>681</v>
      </c>
      <c r="B4588" s="2" t="s">
        <v>955</v>
      </c>
      <c r="C4588" s="5" t="s">
        <v>970</v>
      </c>
      <c r="D4588" s="2" t="s">
        <v>6058</v>
      </c>
    </row>
    <row r="4589" spans="1:4" ht="13.05" customHeight="1" x14ac:dyDescent="0.3">
      <c r="A4589" s="2" t="s">
        <v>681</v>
      </c>
      <c r="B4589" s="2" t="s">
        <v>955</v>
      </c>
      <c r="C4589" s="5" t="s">
        <v>972</v>
      </c>
      <c r="D4589" s="2" t="s">
        <v>6059</v>
      </c>
    </row>
    <row r="4590" spans="1:4" ht="13.05" customHeight="1" x14ac:dyDescent="0.3">
      <c r="A4590" s="2" t="s">
        <v>681</v>
      </c>
      <c r="B4590" s="2" t="s">
        <v>955</v>
      </c>
      <c r="C4590" s="5" t="s">
        <v>981</v>
      </c>
      <c r="D4590" s="2" t="s">
        <v>6060</v>
      </c>
    </row>
    <row r="4591" spans="1:4" ht="13.05" customHeight="1" x14ac:dyDescent="0.3">
      <c r="A4591" s="2" t="s">
        <v>681</v>
      </c>
      <c r="B4591" s="2" t="s">
        <v>955</v>
      </c>
      <c r="C4591" s="5" t="s">
        <v>991</v>
      </c>
      <c r="D4591" s="2" t="s">
        <v>6061</v>
      </c>
    </row>
    <row r="4592" spans="1:4" ht="13.05" customHeight="1" x14ac:dyDescent="0.3">
      <c r="A4592" s="2" t="s">
        <v>683</v>
      </c>
      <c r="B4592" s="2" t="s">
        <v>955</v>
      </c>
      <c r="C4592" s="5" t="s">
        <v>956</v>
      </c>
      <c r="D4592" s="2" t="s">
        <v>957</v>
      </c>
    </row>
    <row r="4593" spans="1:4" ht="13.05" customHeight="1" x14ac:dyDescent="0.3">
      <c r="A4593" s="2" t="s">
        <v>683</v>
      </c>
      <c r="B4593" s="2" t="s">
        <v>955</v>
      </c>
      <c r="C4593" s="5" t="s">
        <v>958</v>
      </c>
      <c r="D4593" s="2" t="s">
        <v>959</v>
      </c>
    </row>
    <row r="4594" spans="1:4" ht="13.05" customHeight="1" x14ac:dyDescent="0.3">
      <c r="A4594" s="2" t="s">
        <v>683</v>
      </c>
      <c r="B4594" s="2" t="s">
        <v>955</v>
      </c>
      <c r="C4594" s="5" t="s">
        <v>960</v>
      </c>
      <c r="D4594" s="2" t="s">
        <v>961</v>
      </c>
    </row>
    <row r="4595" spans="1:4" ht="13.05" customHeight="1" x14ac:dyDescent="0.3">
      <c r="A4595" s="2" t="s">
        <v>683</v>
      </c>
      <c r="B4595" s="2" t="s">
        <v>955</v>
      </c>
      <c r="C4595" s="5" t="s">
        <v>962</v>
      </c>
      <c r="D4595" s="2" t="s">
        <v>6054</v>
      </c>
    </row>
    <row r="4596" spans="1:4" ht="13.05" customHeight="1" x14ac:dyDescent="0.3">
      <c r="A4596" s="2" t="s">
        <v>683</v>
      </c>
      <c r="B4596" s="2" t="s">
        <v>955</v>
      </c>
      <c r="C4596" s="5" t="s">
        <v>964</v>
      </c>
      <c r="D4596" s="2" t="s">
        <v>6055</v>
      </c>
    </row>
    <row r="4597" spans="1:4" ht="13.05" customHeight="1" x14ac:dyDescent="0.3">
      <c r="A4597" s="2" t="s">
        <v>683</v>
      </c>
      <c r="B4597" s="2" t="s">
        <v>955</v>
      </c>
      <c r="C4597" s="5" t="s">
        <v>966</v>
      </c>
      <c r="D4597" s="2" t="s">
        <v>6056</v>
      </c>
    </row>
    <row r="4598" spans="1:4" ht="13.05" customHeight="1" x14ac:dyDescent="0.3">
      <c r="A4598" s="2" t="s">
        <v>683</v>
      </c>
      <c r="B4598" s="2" t="s">
        <v>955</v>
      </c>
      <c r="C4598" s="5" t="s">
        <v>968</v>
      </c>
      <c r="D4598" s="2" t="s">
        <v>6057</v>
      </c>
    </row>
    <row r="4599" spans="1:4" ht="13.05" customHeight="1" x14ac:dyDescent="0.3">
      <c r="A4599" s="2" t="s">
        <v>683</v>
      </c>
      <c r="B4599" s="2" t="s">
        <v>955</v>
      </c>
      <c r="C4599" s="5" t="s">
        <v>970</v>
      </c>
      <c r="D4599" s="2" t="s">
        <v>6058</v>
      </c>
    </row>
    <row r="4600" spans="1:4" ht="13.05" customHeight="1" x14ac:dyDescent="0.3">
      <c r="A4600" s="2" t="s">
        <v>683</v>
      </c>
      <c r="B4600" s="2" t="s">
        <v>955</v>
      </c>
      <c r="C4600" s="5" t="s">
        <v>972</v>
      </c>
      <c r="D4600" s="2" t="s">
        <v>6059</v>
      </c>
    </row>
    <row r="4601" spans="1:4" ht="13.05" customHeight="1" x14ac:dyDescent="0.3">
      <c r="A4601" s="2" t="s">
        <v>683</v>
      </c>
      <c r="B4601" s="2" t="s">
        <v>955</v>
      </c>
      <c r="C4601" s="5" t="s">
        <v>981</v>
      </c>
      <c r="D4601" s="2" t="s">
        <v>6060</v>
      </c>
    </row>
    <row r="4602" spans="1:4" ht="13.05" customHeight="1" x14ac:dyDescent="0.3">
      <c r="A4602" s="2" t="s">
        <v>683</v>
      </c>
      <c r="B4602" s="2" t="s">
        <v>955</v>
      </c>
      <c r="C4602" s="5" t="s">
        <v>991</v>
      </c>
      <c r="D4602" s="2" t="s">
        <v>6061</v>
      </c>
    </row>
    <row r="4603" spans="1:4" ht="13.05" customHeight="1" x14ac:dyDescent="0.3">
      <c r="A4603" s="2" t="s">
        <v>685</v>
      </c>
      <c r="B4603" s="2" t="s">
        <v>955</v>
      </c>
      <c r="C4603" s="5" t="s">
        <v>956</v>
      </c>
      <c r="D4603" s="2" t="s">
        <v>957</v>
      </c>
    </row>
    <row r="4604" spans="1:4" ht="13.05" customHeight="1" x14ac:dyDescent="0.3">
      <c r="A4604" s="2" t="s">
        <v>685</v>
      </c>
      <c r="B4604" s="2" t="s">
        <v>955</v>
      </c>
      <c r="C4604" s="5" t="s">
        <v>958</v>
      </c>
      <c r="D4604" s="2" t="s">
        <v>959</v>
      </c>
    </row>
    <row r="4605" spans="1:4" ht="13.05" customHeight="1" x14ac:dyDescent="0.3">
      <c r="A4605" s="2" t="s">
        <v>685</v>
      </c>
      <c r="B4605" s="2" t="s">
        <v>955</v>
      </c>
      <c r="C4605" s="5" t="s">
        <v>960</v>
      </c>
      <c r="D4605" s="2" t="s">
        <v>961</v>
      </c>
    </row>
    <row r="4606" spans="1:4" ht="13.05" customHeight="1" x14ac:dyDescent="0.3">
      <c r="A4606" s="2" t="s">
        <v>685</v>
      </c>
      <c r="B4606" s="2" t="s">
        <v>955</v>
      </c>
      <c r="C4606" s="5" t="s">
        <v>962</v>
      </c>
      <c r="D4606" s="2" t="s">
        <v>6054</v>
      </c>
    </row>
    <row r="4607" spans="1:4" ht="13.05" customHeight="1" x14ac:dyDescent="0.3">
      <c r="A4607" s="2" t="s">
        <v>685</v>
      </c>
      <c r="B4607" s="2" t="s">
        <v>955</v>
      </c>
      <c r="C4607" s="5" t="s">
        <v>964</v>
      </c>
      <c r="D4607" s="2" t="s">
        <v>6055</v>
      </c>
    </row>
    <row r="4608" spans="1:4" ht="13.05" customHeight="1" x14ac:dyDescent="0.3">
      <c r="A4608" s="2" t="s">
        <v>685</v>
      </c>
      <c r="B4608" s="2" t="s">
        <v>955</v>
      </c>
      <c r="C4608" s="5" t="s">
        <v>966</v>
      </c>
      <c r="D4608" s="2" t="s">
        <v>6056</v>
      </c>
    </row>
    <row r="4609" spans="1:4" ht="13.05" customHeight="1" x14ac:dyDescent="0.3">
      <c r="A4609" s="2" t="s">
        <v>685</v>
      </c>
      <c r="B4609" s="2" t="s">
        <v>955</v>
      </c>
      <c r="C4609" s="5" t="s">
        <v>968</v>
      </c>
      <c r="D4609" s="2" t="s">
        <v>6057</v>
      </c>
    </row>
    <row r="4610" spans="1:4" ht="13.05" customHeight="1" x14ac:dyDescent="0.3">
      <c r="A4610" s="2" t="s">
        <v>685</v>
      </c>
      <c r="B4610" s="2" t="s">
        <v>955</v>
      </c>
      <c r="C4610" s="5" t="s">
        <v>970</v>
      </c>
      <c r="D4610" s="2" t="s">
        <v>6058</v>
      </c>
    </row>
    <row r="4611" spans="1:4" ht="13.05" customHeight="1" x14ac:dyDescent="0.3">
      <c r="A4611" s="2" t="s">
        <v>685</v>
      </c>
      <c r="B4611" s="2" t="s">
        <v>955</v>
      </c>
      <c r="C4611" s="5" t="s">
        <v>972</v>
      </c>
      <c r="D4611" s="2" t="s">
        <v>6059</v>
      </c>
    </row>
    <row r="4612" spans="1:4" ht="13.05" customHeight="1" x14ac:dyDescent="0.3">
      <c r="A4612" s="2" t="s">
        <v>685</v>
      </c>
      <c r="B4612" s="2" t="s">
        <v>955</v>
      </c>
      <c r="C4612" s="5" t="s">
        <v>981</v>
      </c>
      <c r="D4612" s="2" t="s">
        <v>6060</v>
      </c>
    </row>
    <row r="4613" spans="1:4" ht="13.05" customHeight="1" x14ac:dyDescent="0.3">
      <c r="A4613" s="2" t="s">
        <v>685</v>
      </c>
      <c r="B4613" s="2" t="s">
        <v>955</v>
      </c>
      <c r="C4613" s="5" t="s">
        <v>991</v>
      </c>
      <c r="D4613" s="2" t="s">
        <v>6061</v>
      </c>
    </row>
    <row r="4614" spans="1:4" ht="13.05" customHeight="1" x14ac:dyDescent="0.3">
      <c r="A4614" s="2" t="s">
        <v>687</v>
      </c>
      <c r="B4614" s="2" t="s">
        <v>955</v>
      </c>
      <c r="C4614" s="5" t="s">
        <v>956</v>
      </c>
      <c r="D4614" s="2" t="s">
        <v>957</v>
      </c>
    </row>
    <row r="4615" spans="1:4" ht="13.05" customHeight="1" x14ac:dyDescent="0.3">
      <c r="A4615" s="2" t="s">
        <v>687</v>
      </c>
      <c r="B4615" s="2" t="s">
        <v>955</v>
      </c>
      <c r="C4615" s="5" t="s">
        <v>958</v>
      </c>
      <c r="D4615" s="2" t="s">
        <v>959</v>
      </c>
    </row>
    <row r="4616" spans="1:4" ht="13.05" customHeight="1" x14ac:dyDescent="0.3">
      <c r="A4616" s="2" t="s">
        <v>687</v>
      </c>
      <c r="B4616" s="2" t="s">
        <v>955</v>
      </c>
      <c r="C4616" s="5" t="s">
        <v>960</v>
      </c>
      <c r="D4616" s="2" t="s">
        <v>961</v>
      </c>
    </row>
    <row r="4617" spans="1:4" ht="13.05" customHeight="1" x14ac:dyDescent="0.3">
      <c r="A4617" s="2" t="s">
        <v>687</v>
      </c>
      <c r="B4617" s="2" t="s">
        <v>955</v>
      </c>
      <c r="C4617" s="5" t="s">
        <v>962</v>
      </c>
      <c r="D4617" s="2" t="s">
        <v>6054</v>
      </c>
    </row>
    <row r="4618" spans="1:4" ht="13.05" customHeight="1" x14ac:dyDescent="0.3">
      <c r="A4618" s="2" t="s">
        <v>687</v>
      </c>
      <c r="B4618" s="2" t="s">
        <v>955</v>
      </c>
      <c r="C4618" s="5" t="s">
        <v>964</v>
      </c>
      <c r="D4618" s="2" t="s">
        <v>6055</v>
      </c>
    </row>
    <row r="4619" spans="1:4" ht="13.05" customHeight="1" x14ac:dyDescent="0.3">
      <c r="A4619" s="2" t="s">
        <v>687</v>
      </c>
      <c r="B4619" s="2" t="s">
        <v>955</v>
      </c>
      <c r="C4619" s="5" t="s">
        <v>966</v>
      </c>
      <c r="D4619" s="2" t="s">
        <v>6056</v>
      </c>
    </row>
    <row r="4620" spans="1:4" ht="13.05" customHeight="1" x14ac:dyDescent="0.3">
      <c r="A4620" s="2" t="s">
        <v>687</v>
      </c>
      <c r="B4620" s="2" t="s">
        <v>955</v>
      </c>
      <c r="C4620" s="5" t="s">
        <v>968</v>
      </c>
      <c r="D4620" s="2" t="s">
        <v>6057</v>
      </c>
    </row>
    <row r="4621" spans="1:4" ht="13.05" customHeight="1" x14ac:dyDescent="0.3">
      <c r="A4621" s="2" t="s">
        <v>687</v>
      </c>
      <c r="B4621" s="2" t="s">
        <v>955</v>
      </c>
      <c r="C4621" s="5" t="s">
        <v>970</v>
      </c>
      <c r="D4621" s="2" t="s">
        <v>6058</v>
      </c>
    </row>
    <row r="4622" spans="1:4" ht="13.05" customHeight="1" x14ac:dyDescent="0.3">
      <c r="A4622" s="2" t="s">
        <v>687</v>
      </c>
      <c r="B4622" s="2" t="s">
        <v>955</v>
      </c>
      <c r="C4622" s="5" t="s">
        <v>972</v>
      </c>
      <c r="D4622" s="2" t="s">
        <v>6059</v>
      </c>
    </row>
    <row r="4623" spans="1:4" ht="13.05" customHeight="1" x14ac:dyDescent="0.3">
      <c r="A4623" s="2" t="s">
        <v>687</v>
      </c>
      <c r="B4623" s="2" t="s">
        <v>955</v>
      </c>
      <c r="C4623" s="5" t="s">
        <v>981</v>
      </c>
      <c r="D4623" s="2" t="s">
        <v>6060</v>
      </c>
    </row>
    <row r="4624" spans="1:4" ht="13.05" customHeight="1" x14ac:dyDescent="0.3">
      <c r="A4624" s="2" t="s">
        <v>687</v>
      </c>
      <c r="B4624" s="2" t="s">
        <v>955</v>
      </c>
      <c r="C4624" s="5" t="s">
        <v>991</v>
      </c>
      <c r="D4624" s="2" t="s">
        <v>6061</v>
      </c>
    </row>
    <row r="4625" spans="1:4" ht="13.05" customHeight="1" x14ac:dyDescent="0.3">
      <c r="A4625" s="2" t="s">
        <v>689</v>
      </c>
      <c r="B4625" s="2" t="s">
        <v>955</v>
      </c>
      <c r="C4625" s="5" t="s">
        <v>956</v>
      </c>
      <c r="D4625" s="2" t="s">
        <v>957</v>
      </c>
    </row>
    <row r="4626" spans="1:4" ht="13.05" customHeight="1" x14ac:dyDescent="0.3">
      <c r="A4626" s="2" t="s">
        <v>689</v>
      </c>
      <c r="B4626" s="2" t="s">
        <v>955</v>
      </c>
      <c r="C4626" s="5" t="s">
        <v>958</v>
      </c>
      <c r="D4626" s="2" t="s">
        <v>959</v>
      </c>
    </row>
    <row r="4627" spans="1:4" ht="13.05" customHeight="1" x14ac:dyDescent="0.3">
      <c r="A4627" s="2" t="s">
        <v>689</v>
      </c>
      <c r="B4627" s="2" t="s">
        <v>955</v>
      </c>
      <c r="C4627" s="5" t="s">
        <v>960</v>
      </c>
      <c r="D4627" s="2" t="s">
        <v>961</v>
      </c>
    </row>
    <row r="4628" spans="1:4" ht="13.05" customHeight="1" x14ac:dyDescent="0.3">
      <c r="A4628" s="2" t="s">
        <v>689</v>
      </c>
      <c r="B4628" s="2" t="s">
        <v>955</v>
      </c>
      <c r="C4628" s="5" t="s">
        <v>962</v>
      </c>
      <c r="D4628" s="2" t="s">
        <v>6054</v>
      </c>
    </row>
    <row r="4629" spans="1:4" ht="13.05" customHeight="1" x14ac:dyDescent="0.3">
      <c r="A4629" s="2" t="s">
        <v>689</v>
      </c>
      <c r="B4629" s="2" t="s">
        <v>955</v>
      </c>
      <c r="C4629" s="5" t="s">
        <v>964</v>
      </c>
      <c r="D4629" s="2" t="s">
        <v>6055</v>
      </c>
    </row>
    <row r="4630" spans="1:4" ht="13.05" customHeight="1" x14ac:dyDescent="0.3">
      <c r="A4630" s="2" t="s">
        <v>689</v>
      </c>
      <c r="B4630" s="2" t="s">
        <v>955</v>
      </c>
      <c r="C4630" s="5" t="s">
        <v>966</v>
      </c>
      <c r="D4630" s="2" t="s">
        <v>6056</v>
      </c>
    </row>
    <row r="4631" spans="1:4" ht="13.05" customHeight="1" x14ac:dyDescent="0.3">
      <c r="A4631" s="2" t="s">
        <v>689</v>
      </c>
      <c r="B4631" s="2" t="s">
        <v>955</v>
      </c>
      <c r="C4631" s="5" t="s">
        <v>968</v>
      </c>
      <c r="D4631" s="2" t="s">
        <v>6057</v>
      </c>
    </row>
    <row r="4632" spans="1:4" ht="13.05" customHeight="1" x14ac:dyDescent="0.3">
      <c r="A4632" s="2" t="s">
        <v>689</v>
      </c>
      <c r="B4632" s="2" t="s">
        <v>955</v>
      </c>
      <c r="C4632" s="5" t="s">
        <v>970</v>
      </c>
      <c r="D4632" s="2" t="s">
        <v>6058</v>
      </c>
    </row>
    <row r="4633" spans="1:4" ht="13.05" customHeight="1" x14ac:dyDescent="0.3">
      <c r="A4633" s="2" t="s">
        <v>689</v>
      </c>
      <c r="B4633" s="2" t="s">
        <v>955</v>
      </c>
      <c r="C4633" s="5" t="s">
        <v>972</v>
      </c>
      <c r="D4633" s="2" t="s">
        <v>6059</v>
      </c>
    </row>
    <row r="4634" spans="1:4" ht="13.05" customHeight="1" x14ac:dyDescent="0.3">
      <c r="A4634" s="2" t="s">
        <v>689</v>
      </c>
      <c r="B4634" s="2" t="s">
        <v>955</v>
      </c>
      <c r="C4634" s="5" t="s">
        <v>981</v>
      </c>
      <c r="D4634" s="2" t="s">
        <v>6060</v>
      </c>
    </row>
    <row r="4635" spans="1:4" ht="13.05" customHeight="1" x14ac:dyDescent="0.3">
      <c r="A4635" s="2" t="s">
        <v>689</v>
      </c>
      <c r="B4635" s="2" t="s">
        <v>955</v>
      </c>
      <c r="C4635" s="5" t="s">
        <v>991</v>
      </c>
      <c r="D4635" s="2" t="s">
        <v>6061</v>
      </c>
    </row>
    <row r="4636" spans="1:4" ht="13.05" customHeight="1" x14ac:dyDescent="0.3">
      <c r="A4636" s="2" t="s">
        <v>691</v>
      </c>
      <c r="B4636" s="2" t="s">
        <v>1018</v>
      </c>
      <c r="C4636" s="5" t="s">
        <v>962</v>
      </c>
      <c r="D4636" s="2" t="s">
        <v>6062</v>
      </c>
    </row>
    <row r="4637" spans="1:4" ht="13.05" customHeight="1" x14ac:dyDescent="0.3">
      <c r="A4637" s="2" t="s">
        <v>691</v>
      </c>
      <c r="B4637" s="2" t="s">
        <v>1018</v>
      </c>
      <c r="C4637" s="5" t="s">
        <v>964</v>
      </c>
      <c r="D4637" s="2" t="s">
        <v>6063</v>
      </c>
    </row>
    <row r="4638" spans="1:4" ht="13.05" customHeight="1" x14ac:dyDescent="0.3">
      <c r="A4638" s="2" t="s">
        <v>691</v>
      </c>
      <c r="B4638" s="2" t="s">
        <v>1018</v>
      </c>
      <c r="C4638" s="5" t="s">
        <v>966</v>
      </c>
      <c r="D4638" s="2" t="s">
        <v>6064</v>
      </c>
    </row>
    <row r="4639" spans="1:4" ht="13.05" customHeight="1" x14ac:dyDescent="0.3">
      <c r="A4639" s="2" t="s">
        <v>691</v>
      </c>
      <c r="B4639" s="2" t="s">
        <v>1018</v>
      </c>
      <c r="C4639" s="5" t="s">
        <v>968</v>
      </c>
      <c r="D4639" s="2" t="s">
        <v>6065</v>
      </c>
    </row>
    <row r="4640" spans="1:4" ht="13.05" customHeight="1" x14ac:dyDescent="0.3">
      <c r="A4640" s="2" t="s">
        <v>691</v>
      </c>
      <c r="B4640" s="2" t="s">
        <v>1018</v>
      </c>
      <c r="C4640" s="5" t="s">
        <v>970</v>
      </c>
      <c r="D4640" s="2" t="s">
        <v>6066</v>
      </c>
    </row>
    <row r="4641" spans="1:4" ht="13.05" customHeight="1" x14ac:dyDescent="0.3">
      <c r="A4641" s="2" t="s">
        <v>691</v>
      </c>
      <c r="B4641" s="2" t="s">
        <v>1018</v>
      </c>
      <c r="C4641" s="5" t="s">
        <v>972</v>
      </c>
      <c r="D4641" s="2" t="s">
        <v>6067</v>
      </c>
    </row>
    <row r="4642" spans="1:4" ht="13.05" customHeight="1" x14ac:dyDescent="0.3">
      <c r="A4642" s="2" t="s">
        <v>691</v>
      </c>
      <c r="B4642" s="2" t="s">
        <v>1018</v>
      </c>
      <c r="C4642" s="5" t="s">
        <v>981</v>
      </c>
      <c r="D4642" s="2" t="s">
        <v>6068</v>
      </c>
    </row>
    <row r="4643" spans="1:4" ht="13.05" customHeight="1" x14ac:dyDescent="0.3">
      <c r="A4643" s="2" t="s">
        <v>693</v>
      </c>
      <c r="B4643" s="2" t="s">
        <v>1132</v>
      </c>
      <c r="C4643" s="5" t="s">
        <v>974</v>
      </c>
      <c r="D4643" s="2" t="s">
        <v>975</v>
      </c>
    </row>
    <row r="4644" spans="1:4" ht="13.05" customHeight="1" x14ac:dyDescent="0.3">
      <c r="A4644" s="2" t="s">
        <v>693</v>
      </c>
      <c r="B4644" s="2" t="s">
        <v>1132</v>
      </c>
      <c r="C4644" s="5" t="s">
        <v>956</v>
      </c>
      <c r="D4644" s="2" t="s">
        <v>957</v>
      </c>
    </row>
    <row r="4645" spans="1:4" ht="13.05" customHeight="1" x14ac:dyDescent="0.3">
      <c r="A4645" s="2" t="s">
        <v>693</v>
      </c>
      <c r="B4645" s="2" t="s">
        <v>1132</v>
      </c>
      <c r="C4645" s="5" t="s">
        <v>958</v>
      </c>
      <c r="D4645" s="2" t="s">
        <v>959</v>
      </c>
    </row>
    <row r="4646" spans="1:4" ht="13.05" customHeight="1" x14ac:dyDescent="0.3">
      <c r="A4646" s="2" t="s">
        <v>693</v>
      </c>
      <c r="B4646" s="2" t="s">
        <v>1132</v>
      </c>
      <c r="C4646" s="5" t="s">
        <v>960</v>
      </c>
      <c r="D4646" s="2" t="s">
        <v>961</v>
      </c>
    </row>
    <row r="4647" spans="1:4" ht="13.05" customHeight="1" x14ac:dyDescent="0.3">
      <c r="A4647" s="2" t="s">
        <v>693</v>
      </c>
      <c r="B4647" s="2" t="s">
        <v>1132</v>
      </c>
      <c r="C4647" s="5" t="s">
        <v>962</v>
      </c>
      <c r="D4647" s="2" t="s">
        <v>827</v>
      </c>
    </row>
    <row r="4648" spans="1:4" ht="13.05" customHeight="1" x14ac:dyDescent="0.3">
      <c r="A4648" s="2" t="s">
        <v>693</v>
      </c>
      <c r="B4648" s="2" t="s">
        <v>1132</v>
      </c>
      <c r="C4648" s="5" t="s">
        <v>964</v>
      </c>
      <c r="D4648" s="2" t="s">
        <v>6041</v>
      </c>
    </row>
    <row r="4649" spans="1:4" ht="13.05" customHeight="1" x14ac:dyDescent="0.3">
      <c r="A4649" s="2" t="s">
        <v>693</v>
      </c>
      <c r="B4649" s="2" t="s">
        <v>1132</v>
      </c>
      <c r="C4649" s="5" t="s">
        <v>966</v>
      </c>
      <c r="D4649" s="2" t="s">
        <v>6069</v>
      </c>
    </row>
    <row r="4650" spans="1:4" ht="13.05" customHeight="1" x14ac:dyDescent="0.3">
      <c r="A4650" s="2" t="s">
        <v>693</v>
      </c>
      <c r="B4650" s="2" t="s">
        <v>1132</v>
      </c>
      <c r="C4650" s="5" t="s">
        <v>968</v>
      </c>
      <c r="D4650" s="2" t="s">
        <v>6021</v>
      </c>
    </row>
    <row r="4651" spans="1:4" ht="13.05" customHeight="1" x14ac:dyDescent="0.3">
      <c r="A4651" s="2" t="s">
        <v>693</v>
      </c>
      <c r="B4651" s="2" t="s">
        <v>1132</v>
      </c>
      <c r="C4651" s="5" t="s">
        <v>970</v>
      </c>
      <c r="D4651" s="2" t="s">
        <v>6042</v>
      </c>
    </row>
    <row r="4652" spans="1:4" ht="13.05" customHeight="1" x14ac:dyDescent="0.3">
      <c r="A4652" s="2" t="s">
        <v>693</v>
      </c>
      <c r="B4652" s="2" t="s">
        <v>1132</v>
      </c>
      <c r="C4652" s="5" t="s">
        <v>972</v>
      </c>
      <c r="D4652" s="2" t="s">
        <v>6043</v>
      </c>
    </row>
    <row r="4653" spans="1:4" ht="13.05" customHeight="1" x14ac:dyDescent="0.3">
      <c r="A4653" s="2" t="s">
        <v>693</v>
      </c>
      <c r="B4653" s="2" t="s">
        <v>1132</v>
      </c>
      <c r="C4653" s="5" t="s">
        <v>981</v>
      </c>
      <c r="D4653" s="2" t="s">
        <v>6044</v>
      </c>
    </row>
    <row r="4654" spans="1:4" ht="13.05" customHeight="1" x14ac:dyDescent="0.3">
      <c r="A4654" s="2" t="s">
        <v>693</v>
      </c>
      <c r="B4654" s="2" t="s">
        <v>1132</v>
      </c>
      <c r="C4654" s="5" t="s">
        <v>991</v>
      </c>
      <c r="D4654" s="2" t="s">
        <v>6045</v>
      </c>
    </row>
    <row r="4655" spans="1:4" ht="13.05" customHeight="1" x14ac:dyDescent="0.3">
      <c r="A4655" s="2" t="s">
        <v>693</v>
      </c>
      <c r="B4655" s="2" t="s">
        <v>1132</v>
      </c>
      <c r="C4655" s="5" t="s">
        <v>993</v>
      </c>
      <c r="D4655" s="2" t="s">
        <v>6046</v>
      </c>
    </row>
    <row r="4656" spans="1:4" ht="13.05" customHeight="1" x14ac:dyDescent="0.3">
      <c r="A4656" s="2" t="s">
        <v>693</v>
      </c>
      <c r="B4656" s="2" t="s">
        <v>1132</v>
      </c>
      <c r="C4656" s="5" t="s">
        <v>995</v>
      </c>
      <c r="D4656" s="2" t="s">
        <v>6047</v>
      </c>
    </row>
    <row r="4657" spans="1:4" ht="13.05" customHeight="1" x14ac:dyDescent="0.3">
      <c r="A4657" s="2" t="s">
        <v>693</v>
      </c>
      <c r="B4657" s="2" t="s">
        <v>1132</v>
      </c>
      <c r="C4657" s="5" t="s">
        <v>997</v>
      </c>
      <c r="D4657" s="2" t="s">
        <v>6048</v>
      </c>
    </row>
    <row r="4658" spans="1:4" ht="13.05" customHeight="1" x14ac:dyDescent="0.3">
      <c r="A4658" s="2" t="s">
        <v>693</v>
      </c>
      <c r="B4658" s="2" t="s">
        <v>1132</v>
      </c>
      <c r="C4658" s="5" t="s">
        <v>999</v>
      </c>
      <c r="D4658" s="2" t="s">
        <v>6028</v>
      </c>
    </row>
    <row r="4659" spans="1:4" ht="13.05" customHeight="1" x14ac:dyDescent="0.3">
      <c r="A4659" s="2" t="s">
        <v>693</v>
      </c>
      <c r="B4659" s="2" t="s">
        <v>1132</v>
      </c>
      <c r="C4659" s="5" t="s">
        <v>1001</v>
      </c>
      <c r="D4659" s="2" t="s">
        <v>6049</v>
      </c>
    </row>
    <row r="4660" spans="1:4" ht="13.05" customHeight="1" x14ac:dyDescent="0.3">
      <c r="A4660" s="2" t="s">
        <v>693</v>
      </c>
      <c r="B4660" s="2" t="s">
        <v>1132</v>
      </c>
      <c r="C4660" s="5" t="s">
        <v>1003</v>
      </c>
      <c r="D4660" s="2" t="s">
        <v>6030</v>
      </c>
    </row>
    <row r="4661" spans="1:4" ht="13.05" customHeight="1" x14ac:dyDescent="0.3">
      <c r="A4661" s="2" t="s">
        <v>693</v>
      </c>
      <c r="B4661" s="2" t="s">
        <v>1132</v>
      </c>
      <c r="C4661" s="5" t="s">
        <v>1005</v>
      </c>
      <c r="D4661" s="2" t="s">
        <v>6031</v>
      </c>
    </row>
    <row r="4662" spans="1:4" ht="13.05" customHeight="1" x14ac:dyDescent="0.3">
      <c r="A4662" s="2" t="s">
        <v>693</v>
      </c>
      <c r="B4662" s="2" t="s">
        <v>1132</v>
      </c>
      <c r="C4662" s="5" t="s">
        <v>1007</v>
      </c>
      <c r="D4662" s="2" t="s">
        <v>6032</v>
      </c>
    </row>
    <row r="4663" spans="1:4" ht="13.05" customHeight="1" x14ac:dyDescent="0.3">
      <c r="A4663" s="2" t="s">
        <v>693</v>
      </c>
      <c r="B4663" s="2" t="s">
        <v>1132</v>
      </c>
      <c r="C4663" s="5" t="s">
        <v>1009</v>
      </c>
      <c r="D4663" s="2" t="s">
        <v>6033</v>
      </c>
    </row>
    <row r="4664" spans="1:4" ht="13.05" customHeight="1" x14ac:dyDescent="0.3">
      <c r="A4664" s="2" t="s">
        <v>693</v>
      </c>
      <c r="B4664" s="2" t="s">
        <v>1132</v>
      </c>
      <c r="C4664" s="5" t="s">
        <v>1011</v>
      </c>
      <c r="D4664" s="2" t="s">
        <v>6034</v>
      </c>
    </row>
    <row r="4665" spans="1:4" ht="13.05" customHeight="1" x14ac:dyDescent="0.3">
      <c r="A4665" s="2" t="s">
        <v>693</v>
      </c>
      <c r="B4665" s="2" t="s">
        <v>1132</v>
      </c>
      <c r="C4665" s="5" t="s">
        <v>1013</v>
      </c>
      <c r="D4665" s="2" t="s">
        <v>6035</v>
      </c>
    </row>
    <row r="4666" spans="1:4" ht="13.05" customHeight="1" x14ac:dyDescent="0.3">
      <c r="A4666" s="2" t="s">
        <v>693</v>
      </c>
      <c r="B4666" s="2" t="s">
        <v>1132</v>
      </c>
      <c r="C4666" s="5" t="s">
        <v>1155</v>
      </c>
      <c r="D4666" s="2" t="s">
        <v>6036</v>
      </c>
    </row>
    <row r="4667" spans="1:4" ht="13.05" customHeight="1" x14ac:dyDescent="0.3">
      <c r="A4667" s="2" t="s">
        <v>693</v>
      </c>
      <c r="B4667" s="2" t="s">
        <v>1132</v>
      </c>
      <c r="C4667" s="5" t="s">
        <v>983</v>
      </c>
      <c r="D4667" s="2" t="s">
        <v>984</v>
      </c>
    </row>
    <row r="4668" spans="1:4" ht="13.05" customHeight="1" x14ac:dyDescent="0.3">
      <c r="A4668" s="2" t="s">
        <v>696</v>
      </c>
      <c r="B4668" s="2" t="s">
        <v>1132</v>
      </c>
      <c r="C4668" s="5" t="s">
        <v>974</v>
      </c>
      <c r="D4668" s="2" t="s">
        <v>975</v>
      </c>
    </row>
    <row r="4669" spans="1:4" ht="13.05" customHeight="1" x14ac:dyDescent="0.3">
      <c r="A4669" s="2" t="s">
        <v>696</v>
      </c>
      <c r="B4669" s="2" t="s">
        <v>1132</v>
      </c>
      <c r="C4669" s="5" t="s">
        <v>956</v>
      </c>
      <c r="D4669" s="2" t="s">
        <v>957</v>
      </c>
    </row>
    <row r="4670" spans="1:4" ht="13.05" customHeight="1" x14ac:dyDescent="0.3">
      <c r="A4670" s="2" t="s">
        <v>696</v>
      </c>
      <c r="B4670" s="2" t="s">
        <v>1132</v>
      </c>
      <c r="C4670" s="5" t="s">
        <v>958</v>
      </c>
      <c r="D4670" s="2" t="s">
        <v>959</v>
      </c>
    </row>
    <row r="4671" spans="1:4" ht="13.05" customHeight="1" x14ac:dyDescent="0.3">
      <c r="A4671" s="2" t="s">
        <v>696</v>
      </c>
      <c r="B4671" s="2" t="s">
        <v>1132</v>
      </c>
      <c r="C4671" s="5" t="s">
        <v>960</v>
      </c>
      <c r="D4671" s="2" t="s">
        <v>961</v>
      </c>
    </row>
    <row r="4672" spans="1:4" ht="13.05" customHeight="1" x14ac:dyDescent="0.3">
      <c r="A4672" s="2" t="s">
        <v>696</v>
      </c>
      <c r="B4672" s="2" t="s">
        <v>1132</v>
      </c>
      <c r="C4672" s="5" t="s">
        <v>962</v>
      </c>
      <c r="D4672" s="2" t="s">
        <v>827</v>
      </c>
    </row>
    <row r="4673" spans="1:4" ht="13.05" customHeight="1" x14ac:dyDescent="0.3">
      <c r="A4673" s="2" t="s">
        <v>696</v>
      </c>
      <c r="B4673" s="2" t="s">
        <v>1132</v>
      </c>
      <c r="C4673" s="5" t="s">
        <v>964</v>
      </c>
      <c r="D4673" s="2" t="s">
        <v>6041</v>
      </c>
    </row>
    <row r="4674" spans="1:4" ht="13.05" customHeight="1" x14ac:dyDescent="0.3">
      <c r="A4674" s="2" t="s">
        <v>696</v>
      </c>
      <c r="B4674" s="2" t="s">
        <v>1132</v>
      </c>
      <c r="C4674" s="5" t="s">
        <v>966</v>
      </c>
      <c r="D4674" s="2" t="s">
        <v>6069</v>
      </c>
    </row>
    <row r="4675" spans="1:4" ht="13.05" customHeight="1" x14ac:dyDescent="0.3">
      <c r="A4675" s="2" t="s">
        <v>696</v>
      </c>
      <c r="B4675" s="2" t="s">
        <v>1132</v>
      </c>
      <c r="C4675" s="5" t="s">
        <v>968</v>
      </c>
      <c r="D4675" s="2" t="s">
        <v>6021</v>
      </c>
    </row>
    <row r="4676" spans="1:4" ht="13.05" customHeight="1" x14ac:dyDescent="0.3">
      <c r="A4676" s="2" t="s">
        <v>696</v>
      </c>
      <c r="B4676" s="2" t="s">
        <v>1132</v>
      </c>
      <c r="C4676" s="5" t="s">
        <v>970</v>
      </c>
      <c r="D4676" s="2" t="s">
        <v>6042</v>
      </c>
    </row>
    <row r="4677" spans="1:4" ht="13.05" customHeight="1" x14ac:dyDescent="0.3">
      <c r="A4677" s="2" t="s">
        <v>696</v>
      </c>
      <c r="B4677" s="2" t="s">
        <v>1132</v>
      </c>
      <c r="C4677" s="5" t="s">
        <v>972</v>
      </c>
      <c r="D4677" s="2" t="s">
        <v>6043</v>
      </c>
    </row>
    <row r="4678" spans="1:4" ht="13.05" customHeight="1" x14ac:dyDescent="0.3">
      <c r="A4678" s="2" t="s">
        <v>696</v>
      </c>
      <c r="B4678" s="2" t="s">
        <v>1132</v>
      </c>
      <c r="C4678" s="5" t="s">
        <v>981</v>
      </c>
      <c r="D4678" s="2" t="s">
        <v>6044</v>
      </c>
    </row>
    <row r="4679" spans="1:4" ht="13.05" customHeight="1" x14ac:dyDescent="0.3">
      <c r="A4679" s="2" t="s">
        <v>696</v>
      </c>
      <c r="B4679" s="2" t="s">
        <v>1132</v>
      </c>
      <c r="C4679" s="5" t="s">
        <v>991</v>
      </c>
      <c r="D4679" s="2" t="s">
        <v>6045</v>
      </c>
    </row>
    <row r="4680" spans="1:4" ht="13.05" customHeight="1" x14ac:dyDescent="0.3">
      <c r="A4680" s="2" t="s">
        <v>696</v>
      </c>
      <c r="B4680" s="2" t="s">
        <v>1132</v>
      </c>
      <c r="C4680" s="5" t="s">
        <v>993</v>
      </c>
      <c r="D4680" s="2" t="s">
        <v>6046</v>
      </c>
    </row>
    <row r="4681" spans="1:4" ht="13.05" customHeight="1" x14ac:dyDescent="0.3">
      <c r="A4681" s="2" t="s">
        <v>696</v>
      </c>
      <c r="B4681" s="2" t="s">
        <v>1132</v>
      </c>
      <c r="C4681" s="5" t="s">
        <v>995</v>
      </c>
      <c r="D4681" s="2" t="s">
        <v>6047</v>
      </c>
    </row>
    <row r="4682" spans="1:4" ht="13.05" customHeight="1" x14ac:dyDescent="0.3">
      <c r="A4682" s="2" t="s">
        <v>696</v>
      </c>
      <c r="B4682" s="2" t="s">
        <v>1132</v>
      </c>
      <c r="C4682" s="5" t="s">
        <v>997</v>
      </c>
      <c r="D4682" s="2" t="s">
        <v>6048</v>
      </c>
    </row>
    <row r="4683" spans="1:4" ht="13.05" customHeight="1" x14ac:dyDescent="0.3">
      <c r="A4683" s="2" t="s">
        <v>696</v>
      </c>
      <c r="B4683" s="2" t="s">
        <v>1132</v>
      </c>
      <c r="C4683" s="5" t="s">
        <v>999</v>
      </c>
      <c r="D4683" s="2" t="s">
        <v>6028</v>
      </c>
    </row>
    <row r="4684" spans="1:4" ht="13.05" customHeight="1" x14ac:dyDescent="0.3">
      <c r="A4684" s="2" t="s">
        <v>696</v>
      </c>
      <c r="B4684" s="2" t="s">
        <v>1132</v>
      </c>
      <c r="C4684" s="5" t="s">
        <v>1001</v>
      </c>
      <c r="D4684" s="2" t="s">
        <v>6049</v>
      </c>
    </row>
    <row r="4685" spans="1:4" ht="13.05" customHeight="1" x14ac:dyDescent="0.3">
      <c r="A4685" s="2" t="s">
        <v>696</v>
      </c>
      <c r="B4685" s="2" t="s">
        <v>1132</v>
      </c>
      <c r="C4685" s="5" t="s">
        <v>1003</v>
      </c>
      <c r="D4685" s="2" t="s">
        <v>6030</v>
      </c>
    </row>
    <row r="4686" spans="1:4" ht="13.05" customHeight="1" x14ac:dyDescent="0.3">
      <c r="A4686" s="2" t="s">
        <v>696</v>
      </c>
      <c r="B4686" s="2" t="s">
        <v>1132</v>
      </c>
      <c r="C4686" s="5" t="s">
        <v>1005</v>
      </c>
      <c r="D4686" s="2" t="s">
        <v>6031</v>
      </c>
    </row>
    <row r="4687" spans="1:4" ht="13.05" customHeight="1" x14ac:dyDescent="0.3">
      <c r="A4687" s="2" t="s">
        <v>696</v>
      </c>
      <c r="B4687" s="2" t="s">
        <v>1132</v>
      </c>
      <c r="C4687" s="5" t="s">
        <v>1007</v>
      </c>
      <c r="D4687" s="2" t="s">
        <v>6032</v>
      </c>
    </row>
    <row r="4688" spans="1:4" ht="13.05" customHeight="1" x14ac:dyDescent="0.3">
      <c r="A4688" s="2" t="s">
        <v>696</v>
      </c>
      <c r="B4688" s="2" t="s">
        <v>1132</v>
      </c>
      <c r="C4688" s="5" t="s">
        <v>1009</v>
      </c>
      <c r="D4688" s="2" t="s">
        <v>6033</v>
      </c>
    </row>
    <row r="4689" spans="1:4" ht="13.05" customHeight="1" x14ac:dyDescent="0.3">
      <c r="A4689" s="2" t="s">
        <v>696</v>
      </c>
      <c r="B4689" s="2" t="s">
        <v>1132</v>
      </c>
      <c r="C4689" s="5" t="s">
        <v>1011</v>
      </c>
      <c r="D4689" s="2" t="s">
        <v>6034</v>
      </c>
    </row>
    <row r="4690" spans="1:4" ht="13.05" customHeight="1" x14ac:dyDescent="0.3">
      <c r="A4690" s="2" t="s">
        <v>696</v>
      </c>
      <c r="B4690" s="2" t="s">
        <v>1132</v>
      </c>
      <c r="C4690" s="5" t="s">
        <v>1013</v>
      </c>
      <c r="D4690" s="2" t="s">
        <v>6035</v>
      </c>
    </row>
    <row r="4691" spans="1:4" ht="13.05" customHeight="1" x14ac:dyDescent="0.3">
      <c r="A4691" s="2" t="s">
        <v>696</v>
      </c>
      <c r="B4691" s="2" t="s">
        <v>1132</v>
      </c>
      <c r="C4691" s="5" t="s">
        <v>1155</v>
      </c>
      <c r="D4691" s="2" t="s">
        <v>6036</v>
      </c>
    </row>
    <row r="4692" spans="1:4" ht="13.05" customHeight="1" x14ac:dyDescent="0.3">
      <c r="A4692" s="2" t="s">
        <v>696</v>
      </c>
      <c r="B4692" s="2" t="s">
        <v>1132</v>
      </c>
      <c r="C4692" s="5" t="s">
        <v>983</v>
      </c>
      <c r="D4692" s="2" t="s">
        <v>984</v>
      </c>
    </row>
    <row r="4693" spans="1:4" ht="13.05" customHeight="1" x14ac:dyDescent="0.3">
      <c r="A4693" s="2" t="s">
        <v>698</v>
      </c>
      <c r="B4693" s="2" t="s">
        <v>1132</v>
      </c>
      <c r="C4693" s="5" t="s">
        <v>974</v>
      </c>
      <c r="D4693" s="2" t="s">
        <v>975</v>
      </c>
    </row>
    <row r="4694" spans="1:4" ht="13.05" customHeight="1" x14ac:dyDescent="0.3">
      <c r="A4694" s="2" t="s">
        <v>698</v>
      </c>
      <c r="B4694" s="2" t="s">
        <v>1132</v>
      </c>
      <c r="C4694" s="5" t="s">
        <v>956</v>
      </c>
      <c r="D4694" s="2" t="s">
        <v>957</v>
      </c>
    </row>
    <row r="4695" spans="1:4" ht="13.05" customHeight="1" x14ac:dyDescent="0.3">
      <c r="A4695" s="2" t="s">
        <v>698</v>
      </c>
      <c r="B4695" s="2" t="s">
        <v>1132</v>
      </c>
      <c r="C4695" s="5" t="s">
        <v>958</v>
      </c>
      <c r="D4695" s="2" t="s">
        <v>959</v>
      </c>
    </row>
    <row r="4696" spans="1:4" ht="13.05" customHeight="1" x14ac:dyDescent="0.3">
      <c r="A4696" s="2" t="s">
        <v>698</v>
      </c>
      <c r="B4696" s="2" t="s">
        <v>1132</v>
      </c>
      <c r="C4696" s="5" t="s">
        <v>960</v>
      </c>
      <c r="D4696" s="2" t="s">
        <v>961</v>
      </c>
    </row>
    <row r="4697" spans="1:4" ht="13.05" customHeight="1" x14ac:dyDescent="0.3">
      <c r="A4697" s="2" t="s">
        <v>698</v>
      </c>
      <c r="B4697" s="2" t="s">
        <v>1132</v>
      </c>
      <c r="C4697" s="5" t="s">
        <v>962</v>
      </c>
      <c r="D4697" s="2" t="s">
        <v>827</v>
      </c>
    </row>
    <row r="4698" spans="1:4" ht="13.05" customHeight="1" x14ac:dyDescent="0.3">
      <c r="A4698" s="2" t="s">
        <v>698</v>
      </c>
      <c r="B4698" s="2" t="s">
        <v>1132</v>
      </c>
      <c r="C4698" s="5" t="s">
        <v>964</v>
      </c>
      <c r="D4698" s="2" t="s">
        <v>6041</v>
      </c>
    </row>
    <row r="4699" spans="1:4" ht="13.05" customHeight="1" x14ac:dyDescent="0.3">
      <c r="A4699" s="2" t="s">
        <v>698</v>
      </c>
      <c r="B4699" s="2" t="s">
        <v>1132</v>
      </c>
      <c r="C4699" s="5" t="s">
        <v>966</v>
      </c>
      <c r="D4699" s="2" t="s">
        <v>6069</v>
      </c>
    </row>
    <row r="4700" spans="1:4" ht="13.05" customHeight="1" x14ac:dyDescent="0.3">
      <c r="A4700" s="2" t="s">
        <v>698</v>
      </c>
      <c r="B4700" s="2" t="s">
        <v>1132</v>
      </c>
      <c r="C4700" s="5" t="s">
        <v>968</v>
      </c>
      <c r="D4700" s="2" t="s">
        <v>6021</v>
      </c>
    </row>
    <row r="4701" spans="1:4" ht="13.05" customHeight="1" x14ac:dyDescent="0.3">
      <c r="A4701" s="2" t="s">
        <v>698</v>
      </c>
      <c r="B4701" s="2" t="s">
        <v>1132</v>
      </c>
      <c r="C4701" s="5" t="s">
        <v>970</v>
      </c>
      <c r="D4701" s="2" t="s">
        <v>6042</v>
      </c>
    </row>
    <row r="4702" spans="1:4" ht="13.05" customHeight="1" x14ac:dyDescent="0.3">
      <c r="A4702" s="2" t="s">
        <v>698</v>
      </c>
      <c r="B4702" s="2" t="s">
        <v>1132</v>
      </c>
      <c r="C4702" s="5" t="s">
        <v>972</v>
      </c>
      <c r="D4702" s="2" t="s">
        <v>6043</v>
      </c>
    </row>
    <row r="4703" spans="1:4" ht="13.05" customHeight="1" x14ac:dyDescent="0.3">
      <c r="A4703" s="2" t="s">
        <v>698</v>
      </c>
      <c r="B4703" s="2" t="s">
        <v>1132</v>
      </c>
      <c r="C4703" s="5" t="s">
        <v>981</v>
      </c>
      <c r="D4703" s="2" t="s">
        <v>6044</v>
      </c>
    </row>
    <row r="4704" spans="1:4" ht="13.05" customHeight="1" x14ac:dyDescent="0.3">
      <c r="A4704" s="2" t="s">
        <v>698</v>
      </c>
      <c r="B4704" s="2" t="s">
        <v>1132</v>
      </c>
      <c r="C4704" s="5" t="s">
        <v>991</v>
      </c>
      <c r="D4704" s="2" t="s">
        <v>6045</v>
      </c>
    </row>
    <row r="4705" spans="1:4" ht="13.05" customHeight="1" x14ac:dyDescent="0.3">
      <c r="A4705" s="2" t="s">
        <v>698</v>
      </c>
      <c r="B4705" s="2" t="s">
        <v>1132</v>
      </c>
      <c r="C4705" s="5" t="s">
        <v>993</v>
      </c>
      <c r="D4705" s="2" t="s">
        <v>6046</v>
      </c>
    </row>
    <row r="4706" spans="1:4" ht="13.05" customHeight="1" x14ac:dyDescent="0.3">
      <c r="A4706" s="2" t="s">
        <v>698</v>
      </c>
      <c r="B4706" s="2" t="s">
        <v>1132</v>
      </c>
      <c r="C4706" s="5" t="s">
        <v>995</v>
      </c>
      <c r="D4706" s="2" t="s">
        <v>6047</v>
      </c>
    </row>
    <row r="4707" spans="1:4" ht="13.05" customHeight="1" x14ac:dyDescent="0.3">
      <c r="A4707" s="2" t="s">
        <v>698</v>
      </c>
      <c r="B4707" s="2" t="s">
        <v>1132</v>
      </c>
      <c r="C4707" s="5" t="s">
        <v>997</v>
      </c>
      <c r="D4707" s="2" t="s">
        <v>6048</v>
      </c>
    </row>
    <row r="4708" spans="1:4" ht="13.05" customHeight="1" x14ac:dyDescent="0.3">
      <c r="A4708" s="2" t="s">
        <v>698</v>
      </c>
      <c r="B4708" s="2" t="s">
        <v>1132</v>
      </c>
      <c r="C4708" s="5" t="s">
        <v>999</v>
      </c>
      <c r="D4708" s="2" t="s">
        <v>6028</v>
      </c>
    </row>
    <row r="4709" spans="1:4" ht="13.05" customHeight="1" x14ac:dyDescent="0.3">
      <c r="A4709" s="2" t="s">
        <v>698</v>
      </c>
      <c r="B4709" s="2" t="s">
        <v>1132</v>
      </c>
      <c r="C4709" s="5" t="s">
        <v>1001</v>
      </c>
      <c r="D4709" s="2" t="s">
        <v>6049</v>
      </c>
    </row>
    <row r="4710" spans="1:4" ht="13.05" customHeight="1" x14ac:dyDescent="0.3">
      <c r="A4710" s="2" t="s">
        <v>698</v>
      </c>
      <c r="B4710" s="2" t="s">
        <v>1132</v>
      </c>
      <c r="C4710" s="5" t="s">
        <v>1003</v>
      </c>
      <c r="D4710" s="2" t="s">
        <v>6030</v>
      </c>
    </row>
    <row r="4711" spans="1:4" ht="13.05" customHeight="1" x14ac:dyDescent="0.3">
      <c r="A4711" s="2" t="s">
        <v>698</v>
      </c>
      <c r="B4711" s="2" t="s">
        <v>1132</v>
      </c>
      <c r="C4711" s="5" t="s">
        <v>1005</v>
      </c>
      <c r="D4711" s="2" t="s">
        <v>6031</v>
      </c>
    </row>
    <row r="4712" spans="1:4" ht="13.05" customHeight="1" x14ac:dyDescent="0.3">
      <c r="A4712" s="2" t="s">
        <v>698</v>
      </c>
      <c r="B4712" s="2" t="s">
        <v>1132</v>
      </c>
      <c r="C4712" s="5" t="s">
        <v>1007</v>
      </c>
      <c r="D4712" s="2" t="s">
        <v>6032</v>
      </c>
    </row>
    <row r="4713" spans="1:4" ht="13.05" customHeight="1" x14ac:dyDescent="0.3">
      <c r="A4713" s="2" t="s">
        <v>698</v>
      </c>
      <c r="B4713" s="2" t="s">
        <v>1132</v>
      </c>
      <c r="C4713" s="5" t="s">
        <v>1009</v>
      </c>
      <c r="D4713" s="2" t="s">
        <v>6033</v>
      </c>
    </row>
    <row r="4714" spans="1:4" ht="13.05" customHeight="1" x14ac:dyDescent="0.3">
      <c r="A4714" s="2" t="s">
        <v>698</v>
      </c>
      <c r="B4714" s="2" t="s">
        <v>1132</v>
      </c>
      <c r="C4714" s="5" t="s">
        <v>1011</v>
      </c>
      <c r="D4714" s="2" t="s">
        <v>6034</v>
      </c>
    </row>
    <row r="4715" spans="1:4" ht="13.05" customHeight="1" x14ac:dyDescent="0.3">
      <c r="A4715" s="2" t="s">
        <v>698</v>
      </c>
      <c r="B4715" s="2" t="s">
        <v>1132</v>
      </c>
      <c r="C4715" s="5" t="s">
        <v>1013</v>
      </c>
      <c r="D4715" s="2" t="s">
        <v>6035</v>
      </c>
    </row>
    <row r="4716" spans="1:4" ht="13.05" customHeight="1" x14ac:dyDescent="0.3">
      <c r="A4716" s="2" t="s">
        <v>698</v>
      </c>
      <c r="B4716" s="2" t="s">
        <v>1132</v>
      </c>
      <c r="C4716" s="5" t="s">
        <v>1155</v>
      </c>
      <c r="D4716" s="2" t="s">
        <v>6036</v>
      </c>
    </row>
    <row r="4717" spans="1:4" ht="13.05" customHeight="1" x14ac:dyDescent="0.3">
      <c r="A4717" s="2" t="s">
        <v>698</v>
      </c>
      <c r="B4717" s="2" t="s">
        <v>1132</v>
      </c>
      <c r="C4717" s="5" t="s">
        <v>983</v>
      </c>
      <c r="D4717" s="2" t="s">
        <v>984</v>
      </c>
    </row>
    <row r="4718" spans="1:4" ht="13.05" customHeight="1" x14ac:dyDescent="0.3">
      <c r="A4718" s="2" t="s">
        <v>700</v>
      </c>
      <c r="B4718" s="2" t="s">
        <v>1132</v>
      </c>
      <c r="C4718" s="5" t="s">
        <v>974</v>
      </c>
      <c r="D4718" s="2" t="s">
        <v>975</v>
      </c>
    </row>
    <row r="4719" spans="1:4" ht="13.05" customHeight="1" x14ac:dyDescent="0.3">
      <c r="A4719" s="2" t="s">
        <v>700</v>
      </c>
      <c r="B4719" s="2" t="s">
        <v>1132</v>
      </c>
      <c r="C4719" s="5" t="s">
        <v>956</v>
      </c>
      <c r="D4719" s="2" t="s">
        <v>957</v>
      </c>
    </row>
    <row r="4720" spans="1:4" ht="13.05" customHeight="1" x14ac:dyDescent="0.3">
      <c r="A4720" s="2" t="s">
        <v>700</v>
      </c>
      <c r="B4720" s="2" t="s">
        <v>1132</v>
      </c>
      <c r="C4720" s="5" t="s">
        <v>958</v>
      </c>
      <c r="D4720" s="2" t="s">
        <v>959</v>
      </c>
    </row>
    <row r="4721" spans="1:4" ht="13.05" customHeight="1" x14ac:dyDescent="0.3">
      <c r="A4721" s="2" t="s">
        <v>700</v>
      </c>
      <c r="B4721" s="2" t="s">
        <v>1132</v>
      </c>
      <c r="C4721" s="5" t="s">
        <v>960</v>
      </c>
      <c r="D4721" s="2" t="s">
        <v>961</v>
      </c>
    </row>
    <row r="4722" spans="1:4" ht="13.05" customHeight="1" x14ac:dyDescent="0.3">
      <c r="A4722" s="2" t="s">
        <v>700</v>
      </c>
      <c r="B4722" s="2" t="s">
        <v>1132</v>
      </c>
      <c r="C4722" s="5" t="s">
        <v>962</v>
      </c>
      <c r="D4722" s="2" t="s">
        <v>827</v>
      </c>
    </row>
    <row r="4723" spans="1:4" ht="13.05" customHeight="1" x14ac:dyDescent="0.3">
      <c r="A4723" s="2" t="s">
        <v>700</v>
      </c>
      <c r="B4723" s="2" t="s">
        <v>1132</v>
      </c>
      <c r="C4723" s="5" t="s">
        <v>964</v>
      </c>
      <c r="D4723" s="2" t="s">
        <v>6041</v>
      </c>
    </row>
    <row r="4724" spans="1:4" ht="13.05" customHeight="1" x14ac:dyDescent="0.3">
      <c r="A4724" s="2" t="s">
        <v>700</v>
      </c>
      <c r="B4724" s="2" t="s">
        <v>1132</v>
      </c>
      <c r="C4724" s="5" t="s">
        <v>966</v>
      </c>
      <c r="D4724" s="2" t="s">
        <v>6069</v>
      </c>
    </row>
    <row r="4725" spans="1:4" ht="13.05" customHeight="1" x14ac:dyDescent="0.3">
      <c r="A4725" s="2" t="s">
        <v>700</v>
      </c>
      <c r="B4725" s="2" t="s">
        <v>1132</v>
      </c>
      <c r="C4725" s="5" t="s">
        <v>968</v>
      </c>
      <c r="D4725" s="2" t="s">
        <v>6021</v>
      </c>
    </row>
    <row r="4726" spans="1:4" ht="13.05" customHeight="1" x14ac:dyDescent="0.3">
      <c r="A4726" s="2" t="s">
        <v>700</v>
      </c>
      <c r="B4726" s="2" t="s">
        <v>1132</v>
      </c>
      <c r="C4726" s="5" t="s">
        <v>970</v>
      </c>
      <c r="D4726" s="2" t="s">
        <v>6042</v>
      </c>
    </row>
    <row r="4727" spans="1:4" ht="13.05" customHeight="1" x14ac:dyDescent="0.3">
      <c r="A4727" s="2" t="s">
        <v>700</v>
      </c>
      <c r="B4727" s="2" t="s">
        <v>1132</v>
      </c>
      <c r="C4727" s="5" t="s">
        <v>972</v>
      </c>
      <c r="D4727" s="2" t="s">
        <v>6043</v>
      </c>
    </row>
    <row r="4728" spans="1:4" ht="13.05" customHeight="1" x14ac:dyDescent="0.3">
      <c r="A4728" s="2" t="s">
        <v>700</v>
      </c>
      <c r="B4728" s="2" t="s">
        <v>1132</v>
      </c>
      <c r="C4728" s="5" t="s">
        <v>981</v>
      </c>
      <c r="D4728" s="2" t="s">
        <v>6044</v>
      </c>
    </row>
    <row r="4729" spans="1:4" ht="13.05" customHeight="1" x14ac:dyDescent="0.3">
      <c r="A4729" s="2" t="s">
        <v>700</v>
      </c>
      <c r="B4729" s="2" t="s">
        <v>1132</v>
      </c>
      <c r="C4729" s="5" t="s">
        <v>991</v>
      </c>
      <c r="D4729" s="2" t="s">
        <v>6045</v>
      </c>
    </row>
    <row r="4730" spans="1:4" ht="13.05" customHeight="1" x14ac:dyDescent="0.3">
      <c r="A4730" s="2" t="s">
        <v>700</v>
      </c>
      <c r="B4730" s="2" t="s">
        <v>1132</v>
      </c>
      <c r="C4730" s="5" t="s">
        <v>993</v>
      </c>
      <c r="D4730" s="2" t="s">
        <v>6046</v>
      </c>
    </row>
    <row r="4731" spans="1:4" ht="13.05" customHeight="1" x14ac:dyDescent="0.3">
      <c r="A4731" s="2" t="s">
        <v>700</v>
      </c>
      <c r="B4731" s="2" t="s">
        <v>1132</v>
      </c>
      <c r="C4731" s="5" t="s">
        <v>995</v>
      </c>
      <c r="D4731" s="2" t="s">
        <v>6047</v>
      </c>
    </row>
    <row r="4732" spans="1:4" ht="13.05" customHeight="1" x14ac:dyDescent="0.3">
      <c r="A4732" s="2" t="s">
        <v>700</v>
      </c>
      <c r="B4732" s="2" t="s">
        <v>1132</v>
      </c>
      <c r="C4732" s="5" t="s">
        <v>997</v>
      </c>
      <c r="D4732" s="2" t="s">
        <v>6048</v>
      </c>
    </row>
    <row r="4733" spans="1:4" ht="13.05" customHeight="1" x14ac:dyDescent="0.3">
      <c r="A4733" s="2" t="s">
        <v>700</v>
      </c>
      <c r="B4733" s="2" t="s">
        <v>1132</v>
      </c>
      <c r="C4733" s="5" t="s">
        <v>999</v>
      </c>
      <c r="D4733" s="2" t="s">
        <v>6028</v>
      </c>
    </row>
    <row r="4734" spans="1:4" ht="13.05" customHeight="1" x14ac:dyDescent="0.3">
      <c r="A4734" s="2" t="s">
        <v>700</v>
      </c>
      <c r="B4734" s="2" t="s">
        <v>1132</v>
      </c>
      <c r="C4734" s="5" t="s">
        <v>1001</v>
      </c>
      <c r="D4734" s="2" t="s">
        <v>6049</v>
      </c>
    </row>
    <row r="4735" spans="1:4" ht="13.05" customHeight="1" x14ac:dyDescent="0.3">
      <c r="A4735" s="2" t="s">
        <v>700</v>
      </c>
      <c r="B4735" s="2" t="s">
        <v>1132</v>
      </c>
      <c r="C4735" s="5" t="s">
        <v>1003</v>
      </c>
      <c r="D4735" s="2" t="s">
        <v>6030</v>
      </c>
    </row>
    <row r="4736" spans="1:4" ht="13.05" customHeight="1" x14ac:dyDescent="0.3">
      <c r="A4736" s="2" t="s">
        <v>700</v>
      </c>
      <c r="B4736" s="2" t="s">
        <v>1132</v>
      </c>
      <c r="C4736" s="5" t="s">
        <v>1005</v>
      </c>
      <c r="D4736" s="2" t="s">
        <v>6031</v>
      </c>
    </row>
    <row r="4737" spans="1:4" ht="13.05" customHeight="1" x14ac:dyDescent="0.3">
      <c r="A4737" s="2" t="s">
        <v>700</v>
      </c>
      <c r="B4737" s="2" t="s">
        <v>1132</v>
      </c>
      <c r="C4737" s="5" t="s">
        <v>1007</v>
      </c>
      <c r="D4737" s="2" t="s">
        <v>6032</v>
      </c>
    </row>
    <row r="4738" spans="1:4" ht="13.05" customHeight="1" x14ac:dyDescent="0.3">
      <c r="A4738" s="2" t="s">
        <v>700</v>
      </c>
      <c r="B4738" s="2" t="s">
        <v>1132</v>
      </c>
      <c r="C4738" s="5" t="s">
        <v>1009</v>
      </c>
      <c r="D4738" s="2" t="s">
        <v>6033</v>
      </c>
    </row>
    <row r="4739" spans="1:4" ht="13.05" customHeight="1" x14ac:dyDescent="0.3">
      <c r="A4739" s="2" t="s">
        <v>700</v>
      </c>
      <c r="B4739" s="2" t="s">
        <v>1132</v>
      </c>
      <c r="C4739" s="5" t="s">
        <v>1011</v>
      </c>
      <c r="D4739" s="2" t="s">
        <v>6034</v>
      </c>
    </row>
    <row r="4740" spans="1:4" ht="13.05" customHeight="1" x14ac:dyDescent="0.3">
      <c r="A4740" s="2" t="s">
        <v>700</v>
      </c>
      <c r="B4740" s="2" t="s">
        <v>1132</v>
      </c>
      <c r="C4740" s="5" t="s">
        <v>1013</v>
      </c>
      <c r="D4740" s="2" t="s">
        <v>6035</v>
      </c>
    </row>
    <row r="4741" spans="1:4" ht="13.05" customHeight="1" x14ac:dyDescent="0.3">
      <c r="A4741" s="2" t="s">
        <v>700</v>
      </c>
      <c r="B4741" s="2" t="s">
        <v>1132</v>
      </c>
      <c r="C4741" s="5" t="s">
        <v>1155</v>
      </c>
      <c r="D4741" s="2" t="s">
        <v>6036</v>
      </c>
    </row>
    <row r="4742" spans="1:4" ht="13.05" customHeight="1" x14ac:dyDescent="0.3">
      <c r="A4742" s="2" t="s">
        <v>700</v>
      </c>
      <c r="B4742" s="2" t="s">
        <v>1132</v>
      </c>
      <c r="C4742" s="5" t="s">
        <v>983</v>
      </c>
      <c r="D4742" s="2" t="s">
        <v>984</v>
      </c>
    </row>
    <row r="4743" spans="1:4" ht="13.05" customHeight="1" x14ac:dyDescent="0.3">
      <c r="A4743" s="2" t="s">
        <v>702</v>
      </c>
      <c r="B4743" s="2" t="s">
        <v>1132</v>
      </c>
      <c r="C4743" s="5" t="s">
        <v>974</v>
      </c>
      <c r="D4743" s="2" t="s">
        <v>975</v>
      </c>
    </row>
    <row r="4744" spans="1:4" ht="13.05" customHeight="1" x14ac:dyDescent="0.3">
      <c r="A4744" s="2" t="s">
        <v>702</v>
      </c>
      <c r="B4744" s="2" t="s">
        <v>1132</v>
      </c>
      <c r="C4744" s="5" t="s">
        <v>956</v>
      </c>
      <c r="D4744" s="2" t="s">
        <v>957</v>
      </c>
    </row>
    <row r="4745" spans="1:4" ht="13.05" customHeight="1" x14ac:dyDescent="0.3">
      <c r="A4745" s="2" t="s">
        <v>702</v>
      </c>
      <c r="B4745" s="2" t="s">
        <v>1132</v>
      </c>
      <c r="C4745" s="5" t="s">
        <v>958</v>
      </c>
      <c r="D4745" s="2" t="s">
        <v>959</v>
      </c>
    </row>
    <row r="4746" spans="1:4" ht="13.05" customHeight="1" x14ac:dyDescent="0.3">
      <c r="A4746" s="2" t="s">
        <v>702</v>
      </c>
      <c r="B4746" s="2" t="s">
        <v>1132</v>
      </c>
      <c r="C4746" s="5" t="s">
        <v>960</v>
      </c>
      <c r="D4746" s="2" t="s">
        <v>961</v>
      </c>
    </row>
    <row r="4747" spans="1:4" ht="13.05" customHeight="1" x14ac:dyDescent="0.3">
      <c r="A4747" s="2" t="s">
        <v>702</v>
      </c>
      <c r="B4747" s="2" t="s">
        <v>1132</v>
      </c>
      <c r="C4747" s="5" t="s">
        <v>962</v>
      </c>
      <c r="D4747" s="2" t="s">
        <v>827</v>
      </c>
    </row>
    <row r="4748" spans="1:4" ht="13.05" customHeight="1" x14ac:dyDescent="0.3">
      <c r="A4748" s="2" t="s">
        <v>702</v>
      </c>
      <c r="B4748" s="2" t="s">
        <v>1132</v>
      </c>
      <c r="C4748" s="5" t="s">
        <v>964</v>
      </c>
      <c r="D4748" s="2" t="s">
        <v>6041</v>
      </c>
    </row>
    <row r="4749" spans="1:4" ht="13.05" customHeight="1" x14ac:dyDescent="0.3">
      <c r="A4749" s="2" t="s">
        <v>702</v>
      </c>
      <c r="B4749" s="2" t="s">
        <v>1132</v>
      </c>
      <c r="C4749" s="5" t="s">
        <v>966</v>
      </c>
      <c r="D4749" s="2" t="s">
        <v>6069</v>
      </c>
    </row>
    <row r="4750" spans="1:4" ht="13.05" customHeight="1" x14ac:dyDescent="0.3">
      <c r="A4750" s="2" t="s">
        <v>702</v>
      </c>
      <c r="B4750" s="2" t="s">
        <v>1132</v>
      </c>
      <c r="C4750" s="5" t="s">
        <v>968</v>
      </c>
      <c r="D4750" s="2" t="s">
        <v>6021</v>
      </c>
    </row>
    <row r="4751" spans="1:4" ht="13.05" customHeight="1" x14ac:dyDescent="0.3">
      <c r="A4751" s="2" t="s">
        <v>702</v>
      </c>
      <c r="B4751" s="2" t="s">
        <v>1132</v>
      </c>
      <c r="C4751" s="5" t="s">
        <v>970</v>
      </c>
      <c r="D4751" s="2" t="s">
        <v>6042</v>
      </c>
    </row>
    <row r="4752" spans="1:4" ht="13.05" customHeight="1" x14ac:dyDescent="0.3">
      <c r="A4752" s="2" t="s">
        <v>702</v>
      </c>
      <c r="B4752" s="2" t="s">
        <v>1132</v>
      </c>
      <c r="C4752" s="5" t="s">
        <v>972</v>
      </c>
      <c r="D4752" s="2" t="s">
        <v>6043</v>
      </c>
    </row>
    <row r="4753" spans="1:4" ht="13.05" customHeight="1" x14ac:dyDescent="0.3">
      <c r="A4753" s="2" t="s">
        <v>702</v>
      </c>
      <c r="B4753" s="2" t="s">
        <v>1132</v>
      </c>
      <c r="C4753" s="5" t="s">
        <v>981</v>
      </c>
      <c r="D4753" s="2" t="s">
        <v>6044</v>
      </c>
    </row>
    <row r="4754" spans="1:4" ht="13.05" customHeight="1" x14ac:dyDescent="0.3">
      <c r="A4754" s="2" t="s">
        <v>702</v>
      </c>
      <c r="B4754" s="2" t="s">
        <v>1132</v>
      </c>
      <c r="C4754" s="5" t="s">
        <v>991</v>
      </c>
      <c r="D4754" s="2" t="s">
        <v>6045</v>
      </c>
    </row>
    <row r="4755" spans="1:4" ht="13.05" customHeight="1" x14ac:dyDescent="0.3">
      <c r="A4755" s="2" t="s">
        <v>702</v>
      </c>
      <c r="B4755" s="2" t="s">
        <v>1132</v>
      </c>
      <c r="C4755" s="5" t="s">
        <v>993</v>
      </c>
      <c r="D4755" s="2" t="s">
        <v>6046</v>
      </c>
    </row>
    <row r="4756" spans="1:4" ht="13.05" customHeight="1" x14ac:dyDescent="0.3">
      <c r="A4756" s="2" t="s">
        <v>702</v>
      </c>
      <c r="B4756" s="2" t="s">
        <v>1132</v>
      </c>
      <c r="C4756" s="5" t="s">
        <v>995</v>
      </c>
      <c r="D4756" s="2" t="s">
        <v>6047</v>
      </c>
    </row>
    <row r="4757" spans="1:4" ht="13.05" customHeight="1" x14ac:dyDescent="0.3">
      <c r="A4757" s="2" t="s">
        <v>702</v>
      </c>
      <c r="B4757" s="2" t="s">
        <v>1132</v>
      </c>
      <c r="C4757" s="5" t="s">
        <v>997</v>
      </c>
      <c r="D4757" s="2" t="s">
        <v>6048</v>
      </c>
    </row>
    <row r="4758" spans="1:4" ht="13.05" customHeight="1" x14ac:dyDescent="0.3">
      <c r="A4758" s="2" t="s">
        <v>702</v>
      </c>
      <c r="B4758" s="2" t="s">
        <v>1132</v>
      </c>
      <c r="C4758" s="5" t="s">
        <v>999</v>
      </c>
      <c r="D4758" s="2" t="s">
        <v>6028</v>
      </c>
    </row>
    <row r="4759" spans="1:4" ht="13.05" customHeight="1" x14ac:dyDescent="0.3">
      <c r="A4759" s="2" t="s">
        <v>702</v>
      </c>
      <c r="B4759" s="2" t="s">
        <v>1132</v>
      </c>
      <c r="C4759" s="5" t="s">
        <v>1001</v>
      </c>
      <c r="D4759" s="2" t="s">
        <v>6049</v>
      </c>
    </row>
    <row r="4760" spans="1:4" ht="13.05" customHeight="1" x14ac:dyDescent="0.3">
      <c r="A4760" s="2" t="s">
        <v>702</v>
      </c>
      <c r="B4760" s="2" t="s">
        <v>1132</v>
      </c>
      <c r="C4760" s="5" t="s">
        <v>1003</v>
      </c>
      <c r="D4760" s="2" t="s">
        <v>6030</v>
      </c>
    </row>
    <row r="4761" spans="1:4" ht="13.05" customHeight="1" x14ac:dyDescent="0.3">
      <c r="A4761" s="2" t="s">
        <v>702</v>
      </c>
      <c r="B4761" s="2" t="s">
        <v>1132</v>
      </c>
      <c r="C4761" s="5" t="s">
        <v>1005</v>
      </c>
      <c r="D4761" s="2" t="s">
        <v>6031</v>
      </c>
    </row>
    <row r="4762" spans="1:4" ht="13.05" customHeight="1" x14ac:dyDescent="0.3">
      <c r="A4762" s="2" t="s">
        <v>702</v>
      </c>
      <c r="B4762" s="2" t="s">
        <v>1132</v>
      </c>
      <c r="C4762" s="5" t="s">
        <v>1007</v>
      </c>
      <c r="D4762" s="2" t="s">
        <v>6032</v>
      </c>
    </row>
    <row r="4763" spans="1:4" ht="13.05" customHeight="1" x14ac:dyDescent="0.3">
      <c r="A4763" s="2" t="s">
        <v>702</v>
      </c>
      <c r="B4763" s="2" t="s">
        <v>1132</v>
      </c>
      <c r="C4763" s="5" t="s">
        <v>1009</v>
      </c>
      <c r="D4763" s="2" t="s">
        <v>6033</v>
      </c>
    </row>
    <row r="4764" spans="1:4" ht="13.05" customHeight="1" x14ac:dyDescent="0.3">
      <c r="A4764" s="2" t="s">
        <v>702</v>
      </c>
      <c r="B4764" s="2" t="s">
        <v>1132</v>
      </c>
      <c r="C4764" s="5" t="s">
        <v>1011</v>
      </c>
      <c r="D4764" s="2" t="s">
        <v>6034</v>
      </c>
    </row>
    <row r="4765" spans="1:4" ht="13.05" customHeight="1" x14ac:dyDescent="0.3">
      <c r="A4765" s="2" t="s">
        <v>702</v>
      </c>
      <c r="B4765" s="2" t="s">
        <v>1132</v>
      </c>
      <c r="C4765" s="5" t="s">
        <v>1013</v>
      </c>
      <c r="D4765" s="2" t="s">
        <v>6035</v>
      </c>
    </row>
    <row r="4766" spans="1:4" ht="13.05" customHeight="1" x14ac:dyDescent="0.3">
      <c r="A4766" s="2" t="s">
        <v>702</v>
      </c>
      <c r="B4766" s="2" t="s">
        <v>1132</v>
      </c>
      <c r="C4766" s="5" t="s">
        <v>1155</v>
      </c>
      <c r="D4766" s="2" t="s">
        <v>6036</v>
      </c>
    </row>
    <row r="4767" spans="1:4" ht="13.05" customHeight="1" x14ac:dyDescent="0.3">
      <c r="A4767" s="2" t="s">
        <v>702</v>
      </c>
      <c r="B4767" s="2" t="s">
        <v>1132</v>
      </c>
      <c r="C4767" s="5" t="s">
        <v>983</v>
      </c>
      <c r="D4767" s="2" t="s">
        <v>984</v>
      </c>
    </row>
    <row r="4768" spans="1:4" ht="13.05" customHeight="1" x14ac:dyDescent="0.3">
      <c r="A4768" s="2" t="s">
        <v>704</v>
      </c>
      <c r="B4768" s="2" t="s">
        <v>1132</v>
      </c>
      <c r="C4768" s="5" t="s">
        <v>974</v>
      </c>
      <c r="D4768" s="2" t="s">
        <v>975</v>
      </c>
    </row>
    <row r="4769" spans="1:4" ht="13.05" customHeight="1" x14ac:dyDescent="0.3">
      <c r="A4769" s="2" t="s">
        <v>704</v>
      </c>
      <c r="B4769" s="2" t="s">
        <v>1132</v>
      </c>
      <c r="C4769" s="5" t="s">
        <v>956</v>
      </c>
      <c r="D4769" s="2" t="s">
        <v>957</v>
      </c>
    </row>
    <row r="4770" spans="1:4" ht="13.05" customHeight="1" x14ac:dyDescent="0.3">
      <c r="A4770" s="2" t="s">
        <v>704</v>
      </c>
      <c r="B4770" s="2" t="s">
        <v>1132</v>
      </c>
      <c r="C4770" s="5" t="s">
        <v>958</v>
      </c>
      <c r="D4770" s="2" t="s">
        <v>959</v>
      </c>
    </row>
    <row r="4771" spans="1:4" ht="13.05" customHeight="1" x14ac:dyDescent="0.3">
      <c r="A4771" s="2" t="s">
        <v>704</v>
      </c>
      <c r="B4771" s="2" t="s">
        <v>1132</v>
      </c>
      <c r="C4771" s="5" t="s">
        <v>960</v>
      </c>
      <c r="D4771" s="2" t="s">
        <v>961</v>
      </c>
    </row>
    <row r="4772" spans="1:4" ht="13.05" customHeight="1" x14ac:dyDescent="0.3">
      <c r="A4772" s="2" t="s">
        <v>704</v>
      </c>
      <c r="B4772" s="2" t="s">
        <v>1132</v>
      </c>
      <c r="C4772" s="5" t="s">
        <v>962</v>
      </c>
      <c r="D4772" s="2" t="s">
        <v>827</v>
      </c>
    </row>
    <row r="4773" spans="1:4" ht="13.05" customHeight="1" x14ac:dyDescent="0.3">
      <c r="A4773" s="2" t="s">
        <v>704</v>
      </c>
      <c r="B4773" s="2" t="s">
        <v>1132</v>
      </c>
      <c r="C4773" s="5" t="s">
        <v>964</v>
      </c>
      <c r="D4773" s="2" t="s">
        <v>6041</v>
      </c>
    </row>
    <row r="4774" spans="1:4" ht="13.05" customHeight="1" x14ac:dyDescent="0.3">
      <c r="A4774" s="2" t="s">
        <v>704</v>
      </c>
      <c r="B4774" s="2" t="s">
        <v>1132</v>
      </c>
      <c r="C4774" s="5" t="s">
        <v>966</v>
      </c>
      <c r="D4774" s="2" t="s">
        <v>6069</v>
      </c>
    </row>
    <row r="4775" spans="1:4" ht="13.05" customHeight="1" x14ac:dyDescent="0.3">
      <c r="A4775" s="2" t="s">
        <v>704</v>
      </c>
      <c r="B4775" s="2" t="s">
        <v>1132</v>
      </c>
      <c r="C4775" s="5" t="s">
        <v>968</v>
      </c>
      <c r="D4775" s="2" t="s">
        <v>6021</v>
      </c>
    </row>
    <row r="4776" spans="1:4" ht="13.05" customHeight="1" x14ac:dyDescent="0.3">
      <c r="A4776" s="2" t="s">
        <v>704</v>
      </c>
      <c r="B4776" s="2" t="s">
        <v>1132</v>
      </c>
      <c r="C4776" s="5" t="s">
        <v>970</v>
      </c>
      <c r="D4776" s="2" t="s">
        <v>6042</v>
      </c>
    </row>
    <row r="4777" spans="1:4" ht="13.05" customHeight="1" x14ac:dyDescent="0.3">
      <c r="A4777" s="2" t="s">
        <v>704</v>
      </c>
      <c r="B4777" s="2" t="s">
        <v>1132</v>
      </c>
      <c r="C4777" s="5" t="s">
        <v>972</v>
      </c>
      <c r="D4777" s="2" t="s">
        <v>6043</v>
      </c>
    </row>
    <row r="4778" spans="1:4" ht="13.05" customHeight="1" x14ac:dyDescent="0.3">
      <c r="A4778" s="2" t="s">
        <v>704</v>
      </c>
      <c r="B4778" s="2" t="s">
        <v>1132</v>
      </c>
      <c r="C4778" s="5" t="s">
        <v>981</v>
      </c>
      <c r="D4778" s="2" t="s">
        <v>6044</v>
      </c>
    </row>
    <row r="4779" spans="1:4" ht="13.05" customHeight="1" x14ac:dyDescent="0.3">
      <c r="A4779" s="2" t="s">
        <v>704</v>
      </c>
      <c r="B4779" s="2" t="s">
        <v>1132</v>
      </c>
      <c r="C4779" s="5" t="s">
        <v>991</v>
      </c>
      <c r="D4779" s="2" t="s">
        <v>6045</v>
      </c>
    </row>
    <row r="4780" spans="1:4" ht="13.05" customHeight="1" x14ac:dyDescent="0.3">
      <c r="A4780" s="2" t="s">
        <v>704</v>
      </c>
      <c r="B4780" s="2" t="s">
        <v>1132</v>
      </c>
      <c r="C4780" s="5" t="s">
        <v>993</v>
      </c>
      <c r="D4780" s="2" t="s">
        <v>6046</v>
      </c>
    </row>
    <row r="4781" spans="1:4" ht="13.05" customHeight="1" x14ac:dyDescent="0.3">
      <c r="A4781" s="2" t="s">
        <v>704</v>
      </c>
      <c r="B4781" s="2" t="s">
        <v>1132</v>
      </c>
      <c r="C4781" s="5" t="s">
        <v>995</v>
      </c>
      <c r="D4781" s="2" t="s">
        <v>6047</v>
      </c>
    </row>
    <row r="4782" spans="1:4" ht="13.05" customHeight="1" x14ac:dyDescent="0.3">
      <c r="A4782" s="2" t="s">
        <v>704</v>
      </c>
      <c r="B4782" s="2" t="s">
        <v>1132</v>
      </c>
      <c r="C4782" s="5" t="s">
        <v>997</v>
      </c>
      <c r="D4782" s="2" t="s">
        <v>6048</v>
      </c>
    </row>
    <row r="4783" spans="1:4" ht="13.05" customHeight="1" x14ac:dyDescent="0.3">
      <c r="A4783" s="2" t="s">
        <v>704</v>
      </c>
      <c r="B4783" s="2" t="s">
        <v>1132</v>
      </c>
      <c r="C4783" s="5" t="s">
        <v>999</v>
      </c>
      <c r="D4783" s="2" t="s">
        <v>6028</v>
      </c>
    </row>
    <row r="4784" spans="1:4" ht="13.05" customHeight="1" x14ac:dyDescent="0.3">
      <c r="A4784" s="2" t="s">
        <v>704</v>
      </c>
      <c r="B4784" s="2" t="s">
        <v>1132</v>
      </c>
      <c r="C4784" s="5" t="s">
        <v>1001</v>
      </c>
      <c r="D4784" s="2" t="s">
        <v>6049</v>
      </c>
    </row>
    <row r="4785" spans="1:4" ht="13.05" customHeight="1" x14ac:dyDescent="0.3">
      <c r="A4785" s="2" t="s">
        <v>704</v>
      </c>
      <c r="B4785" s="2" t="s">
        <v>1132</v>
      </c>
      <c r="C4785" s="5" t="s">
        <v>1003</v>
      </c>
      <c r="D4785" s="2" t="s">
        <v>6030</v>
      </c>
    </row>
    <row r="4786" spans="1:4" ht="13.05" customHeight="1" x14ac:dyDescent="0.3">
      <c r="A4786" s="2" t="s">
        <v>704</v>
      </c>
      <c r="B4786" s="2" t="s">
        <v>1132</v>
      </c>
      <c r="C4786" s="5" t="s">
        <v>1005</v>
      </c>
      <c r="D4786" s="2" t="s">
        <v>6031</v>
      </c>
    </row>
    <row r="4787" spans="1:4" ht="13.05" customHeight="1" x14ac:dyDescent="0.3">
      <c r="A4787" s="2" t="s">
        <v>704</v>
      </c>
      <c r="B4787" s="2" t="s">
        <v>1132</v>
      </c>
      <c r="C4787" s="5" t="s">
        <v>1007</v>
      </c>
      <c r="D4787" s="2" t="s">
        <v>6032</v>
      </c>
    </row>
    <row r="4788" spans="1:4" ht="13.05" customHeight="1" x14ac:dyDescent="0.3">
      <c r="A4788" s="2" t="s">
        <v>704</v>
      </c>
      <c r="B4788" s="2" t="s">
        <v>1132</v>
      </c>
      <c r="C4788" s="5" t="s">
        <v>1009</v>
      </c>
      <c r="D4788" s="2" t="s">
        <v>6033</v>
      </c>
    </row>
    <row r="4789" spans="1:4" ht="13.05" customHeight="1" x14ac:dyDescent="0.3">
      <c r="A4789" s="2" t="s">
        <v>704</v>
      </c>
      <c r="B4789" s="2" t="s">
        <v>1132</v>
      </c>
      <c r="C4789" s="5" t="s">
        <v>1011</v>
      </c>
      <c r="D4789" s="2" t="s">
        <v>6034</v>
      </c>
    </row>
    <row r="4790" spans="1:4" ht="13.05" customHeight="1" x14ac:dyDescent="0.3">
      <c r="A4790" s="2" t="s">
        <v>704</v>
      </c>
      <c r="B4790" s="2" t="s">
        <v>1132</v>
      </c>
      <c r="C4790" s="5" t="s">
        <v>1013</v>
      </c>
      <c r="D4790" s="2" t="s">
        <v>6035</v>
      </c>
    </row>
    <row r="4791" spans="1:4" ht="13.05" customHeight="1" x14ac:dyDescent="0.3">
      <c r="A4791" s="2" t="s">
        <v>704</v>
      </c>
      <c r="B4791" s="2" t="s">
        <v>1132</v>
      </c>
      <c r="C4791" s="5" t="s">
        <v>1155</v>
      </c>
      <c r="D4791" s="2" t="s">
        <v>6036</v>
      </c>
    </row>
    <row r="4792" spans="1:4" ht="13.05" customHeight="1" x14ac:dyDescent="0.3">
      <c r="A4792" s="2" t="s">
        <v>704</v>
      </c>
      <c r="B4792" s="2" t="s">
        <v>1132</v>
      </c>
      <c r="C4792" s="5" t="s">
        <v>983</v>
      </c>
      <c r="D4792" s="2" t="s">
        <v>984</v>
      </c>
    </row>
    <row r="4793" spans="1:4" ht="13.05" customHeight="1" x14ac:dyDescent="0.3">
      <c r="A4793" s="2" t="s">
        <v>706</v>
      </c>
      <c r="B4793" s="2" t="s">
        <v>1132</v>
      </c>
      <c r="C4793" s="5" t="s">
        <v>974</v>
      </c>
      <c r="D4793" s="2" t="s">
        <v>975</v>
      </c>
    </row>
    <row r="4794" spans="1:4" ht="13.05" customHeight="1" x14ac:dyDescent="0.3">
      <c r="A4794" s="2" t="s">
        <v>706</v>
      </c>
      <c r="B4794" s="2" t="s">
        <v>1132</v>
      </c>
      <c r="C4794" s="5" t="s">
        <v>956</v>
      </c>
      <c r="D4794" s="2" t="s">
        <v>957</v>
      </c>
    </row>
    <row r="4795" spans="1:4" ht="13.05" customHeight="1" x14ac:dyDescent="0.3">
      <c r="A4795" s="2" t="s">
        <v>706</v>
      </c>
      <c r="B4795" s="2" t="s">
        <v>1132</v>
      </c>
      <c r="C4795" s="5" t="s">
        <v>958</v>
      </c>
      <c r="D4795" s="2" t="s">
        <v>959</v>
      </c>
    </row>
    <row r="4796" spans="1:4" ht="13.05" customHeight="1" x14ac:dyDescent="0.3">
      <c r="A4796" s="2" t="s">
        <v>706</v>
      </c>
      <c r="B4796" s="2" t="s">
        <v>1132</v>
      </c>
      <c r="C4796" s="5" t="s">
        <v>960</v>
      </c>
      <c r="D4796" s="2" t="s">
        <v>961</v>
      </c>
    </row>
    <row r="4797" spans="1:4" ht="13.05" customHeight="1" x14ac:dyDescent="0.3">
      <c r="A4797" s="2" t="s">
        <v>706</v>
      </c>
      <c r="B4797" s="2" t="s">
        <v>1132</v>
      </c>
      <c r="C4797" s="5" t="s">
        <v>962</v>
      </c>
      <c r="D4797" s="2" t="s">
        <v>827</v>
      </c>
    </row>
    <row r="4798" spans="1:4" ht="13.05" customHeight="1" x14ac:dyDescent="0.3">
      <c r="A4798" s="2" t="s">
        <v>706</v>
      </c>
      <c r="B4798" s="2" t="s">
        <v>1132</v>
      </c>
      <c r="C4798" s="5" t="s">
        <v>964</v>
      </c>
      <c r="D4798" s="2" t="s">
        <v>6041</v>
      </c>
    </row>
    <row r="4799" spans="1:4" ht="13.05" customHeight="1" x14ac:dyDescent="0.3">
      <c r="A4799" s="2" t="s">
        <v>706</v>
      </c>
      <c r="B4799" s="2" t="s">
        <v>1132</v>
      </c>
      <c r="C4799" s="5" t="s">
        <v>966</v>
      </c>
      <c r="D4799" s="2" t="s">
        <v>6069</v>
      </c>
    </row>
    <row r="4800" spans="1:4" ht="13.05" customHeight="1" x14ac:dyDescent="0.3">
      <c r="A4800" s="2" t="s">
        <v>706</v>
      </c>
      <c r="B4800" s="2" t="s">
        <v>1132</v>
      </c>
      <c r="C4800" s="5" t="s">
        <v>968</v>
      </c>
      <c r="D4800" s="2" t="s">
        <v>6021</v>
      </c>
    </row>
    <row r="4801" spans="1:4" ht="13.05" customHeight="1" x14ac:dyDescent="0.3">
      <c r="A4801" s="2" t="s">
        <v>706</v>
      </c>
      <c r="B4801" s="2" t="s">
        <v>1132</v>
      </c>
      <c r="C4801" s="5" t="s">
        <v>970</v>
      </c>
      <c r="D4801" s="2" t="s">
        <v>6042</v>
      </c>
    </row>
    <row r="4802" spans="1:4" ht="13.05" customHeight="1" x14ac:dyDescent="0.3">
      <c r="A4802" s="2" t="s">
        <v>706</v>
      </c>
      <c r="B4802" s="2" t="s">
        <v>1132</v>
      </c>
      <c r="C4802" s="5" t="s">
        <v>972</v>
      </c>
      <c r="D4802" s="2" t="s">
        <v>6043</v>
      </c>
    </row>
    <row r="4803" spans="1:4" ht="13.05" customHeight="1" x14ac:dyDescent="0.3">
      <c r="A4803" s="2" t="s">
        <v>706</v>
      </c>
      <c r="B4803" s="2" t="s">
        <v>1132</v>
      </c>
      <c r="C4803" s="5" t="s">
        <v>981</v>
      </c>
      <c r="D4803" s="2" t="s">
        <v>6044</v>
      </c>
    </row>
    <row r="4804" spans="1:4" ht="13.05" customHeight="1" x14ac:dyDescent="0.3">
      <c r="A4804" s="2" t="s">
        <v>706</v>
      </c>
      <c r="B4804" s="2" t="s">
        <v>1132</v>
      </c>
      <c r="C4804" s="5" t="s">
        <v>991</v>
      </c>
      <c r="D4804" s="2" t="s">
        <v>6045</v>
      </c>
    </row>
    <row r="4805" spans="1:4" ht="13.05" customHeight="1" x14ac:dyDescent="0.3">
      <c r="A4805" s="2" t="s">
        <v>706</v>
      </c>
      <c r="B4805" s="2" t="s">
        <v>1132</v>
      </c>
      <c r="C4805" s="5" t="s">
        <v>993</v>
      </c>
      <c r="D4805" s="2" t="s">
        <v>6046</v>
      </c>
    </row>
    <row r="4806" spans="1:4" ht="13.05" customHeight="1" x14ac:dyDescent="0.3">
      <c r="A4806" s="2" t="s">
        <v>706</v>
      </c>
      <c r="B4806" s="2" t="s">
        <v>1132</v>
      </c>
      <c r="C4806" s="5" t="s">
        <v>995</v>
      </c>
      <c r="D4806" s="2" t="s">
        <v>6047</v>
      </c>
    </row>
    <row r="4807" spans="1:4" ht="13.05" customHeight="1" x14ac:dyDescent="0.3">
      <c r="A4807" s="2" t="s">
        <v>706</v>
      </c>
      <c r="B4807" s="2" t="s">
        <v>1132</v>
      </c>
      <c r="C4807" s="5" t="s">
        <v>997</v>
      </c>
      <c r="D4807" s="2" t="s">
        <v>6048</v>
      </c>
    </row>
    <row r="4808" spans="1:4" ht="13.05" customHeight="1" x14ac:dyDescent="0.3">
      <c r="A4808" s="2" t="s">
        <v>706</v>
      </c>
      <c r="B4808" s="2" t="s">
        <v>1132</v>
      </c>
      <c r="C4808" s="5" t="s">
        <v>999</v>
      </c>
      <c r="D4808" s="2" t="s">
        <v>6028</v>
      </c>
    </row>
    <row r="4809" spans="1:4" ht="13.05" customHeight="1" x14ac:dyDescent="0.3">
      <c r="A4809" s="2" t="s">
        <v>706</v>
      </c>
      <c r="B4809" s="2" t="s">
        <v>1132</v>
      </c>
      <c r="C4809" s="5" t="s">
        <v>1001</v>
      </c>
      <c r="D4809" s="2" t="s">
        <v>6049</v>
      </c>
    </row>
    <row r="4810" spans="1:4" ht="13.05" customHeight="1" x14ac:dyDescent="0.3">
      <c r="A4810" s="2" t="s">
        <v>706</v>
      </c>
      <c r="B4810" s="2" t="s">
        <v>1132</v>
      </c>
      <c r="C4810" s="5" t="s">
        <v>1003</v>
      </c>
      <c r="D4810" s="2" t="s">
        <v>6030</v>
      </c>
    </row>
    <row r="4811" spans="1:4" ht="13.05" customHeight="1" x14ac:dyDescent="0.3">
      <c r="A4811" s="2" t="s">
        <v>706</v>
      </c>
      <c r="B4811" s="2" t="s">
        <v>1132</v>
      </c>
      <c r="C4811" s="5" t="s">
        <v>1005</v>
      </c>
      <c r="D4811" s="2" t="s">
        <v>6031</v>
      </c>
    </row>
    <row r="4812" spans="1:4" ht="13.05" customHeight="1" x14ac:dyDescent="0.3">
      <c r="A4812" s="2" t="s">
        <v>706</v>
      </c>
      <c r="B4812" s="2" t="s">
        <v>1132</v>
      </c>
      <c r="C4812" s="5" t="s">
        <v>1007</v>
      </c>
      <c r="D4812" s="2" t="s">
        <v>6032</v>
      </c>
    </row>
    <row r="4813" spans="1:4" ht="13.05" customHeight="1" x14ac:dyDescent="0.3">
      <c r="A4813" s="2" t="s">
        <v>706</v>
      </c>
      <c r="B4813" s="2" t="s">
        <v>1132</v>
      </c>
      <c r="C4813" s="5" t="s">
        <v>1009</v>
      </c>
      <c r="D4813" s="2" t="s">
        <v>6033</v>
      </c>
    </row>
    <row r="4814" spans="1:4" ht="13.05" customHeight="1" x14ac:dyDescent="0.3">
      <c r="A4814" s="2" t="s">
        <v>706</v>
      </c>
      <c r="B4814" s="2" t="s">
        <v>1132</v>
      </c>
      <c r="C4814" s="5" t="s">
        <v>1011</v>
      </c>
      <c r="D4814" s="2" t="s">
        <v>6034</v>
      </c>
    </row>
    <row r="4815" spans="1:4" ht="13.05" customHeight="1" x14ac:dyDescent="0.3">
      <c r="A4815" s="2" t="s">
        <v>706</v>
      </c>
      <c r="B4815" s="2" t="s">
        <v>1132</v>
      </c>
      <c r="C4815" s="5" t="s">
        <v>1013</v>
      </c>
      <c r="D4815" s="2" t="s">
        <v>6035</v>
      </c>
    </row>
    <row r="4816" spans="1:4" ht="13.05" customHeight="1" x14ac:dyDescent="0.3">
      <c r="A4816" s="2" t="s">
        <v>706</v>
      </c>
      <c r="B4816" s="2" t="s">
        <v>1132</v>
      </c>
      <c r="C4816" s="5" t="s">
        <v>1155</v>
      </c>
      <c r="D4816" s="2" t="s">
        <v>6036</v>
      </c>
    </row>
    <row r="4817" spans="1:4" ht="13.05" customHeight="1" x14ac:dyDescent="0.3">
      <c r="A4817" s="2" t="s">
        <v>706</v>
      </c>
      <c r="B4817" s="2" t="s">
        <v>1132</v>
      </c>
      <c r="C4817" s="5" t="s">
        <v>983</v>
      </c>
      <c r="D4817" s="2" t="s">
        <v>984</v>
      </c>
    </row>
    <row r="4818" spans="1:4" ht="13.05" customHeight="1" x14ac:dyDescent="0.3">
      <c r="A4818" s="2" t="s">
        <v>708</v>
      </c>
      <c r="B4818" s="2" t="s">
        <v>1132</v>
      </c>
      <c r="C4818" s="5" t="s">
        <v>974</v>
      </c>
      <c r="D4818" s="2" t="s">
        <v>975</v>
      </c>
    </row>
    <row r="4819" spans="1:4" ht="13.05" customHeight="1" x14ac:dyDescent="0.3">
      <c r="A4819" s="2" t="s">
        <v>708</v>
      </c>
      <c r="B4819" s="2" t="s">
        <v>1132</v>
      </c>
      <c r="C4819" s="5" t="s">
        <v>956</v>
      </c>
      <c r="D4819" s="2" t="s">
        <v>957</v>
      </c>
    </row>
    <row r="4820" spans="1:4" ht="13.05" customHeight="1" x14ac:dyDescent="0.3">
      <c r="A4820" s="2" t="s">
        <v>708</v>
      </c>
      <c r="B4820" s="2" t="s">
        <v>1132</v>
      </c>
      <c r="C4820" s="5" t="s">
        <v>958</v>
      </c>
      <c r="D4820" s="2" t="s">
        <v>959</v>
      </c>
    </row>
    <row r="4821" spans="1:4" ht="13.05" customHeight="1" x14ac:dyDescent="0.3">
      <c r="A4821" s="2" t="s">
        <v>708</v>
      </c>
      <c r="B4821" s="2" t="s">
        <v>1132</v>
      </c>
      <c r="C4821" s="5" t="s">
        <v>960</v>
      </c>
      <c r="D4821" s="2" t="s">
        <v>961</v>
      </c>
    </row>
    <row r="4822" spans="1:4" ht="13.05" customHeight="1" x14ac:dyDescent="0.3">
      <c r="A4822" s="2" t="s">
        <v>708</v>
      </c>
      <c r="B4822" s="2" t="s">
        <v>1132</v>
      </c>
      <c r="C4822" s="5" t="s">
        <v>962</v>
      </c>
      <c r="D4822" s="2" t="s">
        <v>827</v>
      </c>
    </row>
    <row r="4823" spans="1:4" ht="13.05" customHeight="1" x14ac:dyDescent="0.3">
      <c r="A4823" s="2" t="s">
        <v>708</v>
      </c>
      <c r="B4823" s="2" t="s">
        <v>1132</v>
      </c>
      <c r="C4823" s="5" t="s">
        <v>964</v>
      </c>
      <c r="D4823" s="2" t="s">
        <v>6041</v>
      </c>
    </row>
    <row r="4824" spans="1:4" ht="13.05" customHeight="1" x14ac:dyDescent="0.3">
      <c r="A4824" s="2" t="s">
        <v>708</v>
      </c>
      <c r="B4824" s="2" t="s">
        <v>1132</v>
      </c>
      <c r="C4824" s="5" t="s">
        <v>966</v>
      </c>
      <c r="D4824" s="2" t="s">
        <v>6069</v>
      </c>
    </row>
    <row r="4825" spans="1:4" ht="13.05" customHeight="1" x14ac:dyDescent="0.3">
      <c r="A4825" s="2" t="s">
        <v>708</v>
      </c>
      <c r="B4825" s="2" t="s">
        <v>1132</v>
      </c>
      <c r="C4825" s="5" t="s">
        <v>968</v>
      </c>
      <c r="D4825" s="2" t="s">
        <v>6021</v>
      </c>
    </row>
    <row r="4826" spans="1:4" ht="13.05" customHeight="1" x14ac:dyDescent="0.3">
      <c r="A4826" s="2" t="s">
        <v>708</v>
      </c>
      <c r="B4826" s="2" t="s">
        <v>1132</v>
      </c>
      <c r="C4826" s="5" t="s">
        <v>970</v>
      </c>
      <c r="D4826" s="2" t="s">
        <v>6042</v>
      </c>
    </row>
    <row r="4827" spans="1:4" ht="13.05" customHeight="1" x14ac:dyDescent="0.3">
      <c r="A4827" s="2" t="s">
        <v>708</v>
      </c>
      <c r="B4827" s="2" t="s">
        <v>1132</v>
      </c>
      <c r="C4827" s="5" t="s">
        <v>972</v>
      </c>
      <c r="D4827" s="2" t="s">
        <v>6043</v>
      </c>
    </row>
    <row r="4828" spans="1:4" ht="13.05" customHeight="1" x14ac:dyDescent="0.3">
      <c r="A4828" s="2" t="s">
        <v>708</v>
      </c>
      <c r="B4828" s="2" t="s">
        <v>1132</v>
      </c>
      <c r="C4828" s="5" t="s">
        <v>981</v>
      </c>
      <c r="D4828" s="2" t="s">
        <v>6044</v>
      </c>
    </row>
    <row r="4829" spans="1:4" ht="13.05" customHeight="1" x14ac:dyDescent="0.3">
      <c r="A4829" s="2" t="s">
        <v>708</v>
      </c>
      <c r="B4829" s="2" t="s">
        <v>1132</v>
      </c>
      <c r="C4829" s="5" t="s">
        <v>991</v>
      </c>
      <c r="D4829" s="2" t="s">
        <v>6045</v>
      </c>
    </row>
    <row r="4830" spans="1:4" ht="13.05" customHeight="1" x14ac:dyDescent="0.3">
      <c r="A4830" s="2" t="s">
        <v>708</v>
      </c>
      <c r="B4830" s="2" t="s">
        <v>1132</v>
      </c>
      <c r="C4830" s="5" t="s">
        <v>993</v>
      </c>
      <c r="D4830" s="2" t="s">
        <v>6046</v>
      </c>
    </row>
    <row r="4831" spans="1:4" ht="13.05" customHeight="1" x14ac:dyDescent="0.3">
      <c r="A4831" s="2" t="s">
        <v>708</v>
      </c>
      <c r="B4831" s="2" t="s">
        <v>1132</v>
      </c>
      <c r="C4831" s="5" t="s">
        <v>995</v>
      </c>
      <c r="D4831" s="2" t="s">
        <v>6047</v>
      </c>
    </row>
    <row r="4832" spans="1:4" ht="13.05" customHeight="1" x14ac:dyDescent="0.3">
      <c r="A4832" s="2" t="s">
        <v>708</v>
      </c>
      <c r="B4832" s="2" t="s">
        <v>1132</v>
      </c>
      <c r="C4832" s="5" t="s">
        <v>997</v>
      </c>
      <c r="D4832" s="2" t="s">
        <v>6048</v>
      </c>
    </row>
    <row r="4833" spans="1:4" ht="13.05" customHeight="1" x14ac:dyDescent="0.3">
      <c r="A4833" s="2" t="s">
        <v>708</v>
      </c>
      <c r="B4833" s="2" t="s">
        <v>1132</v>
      </c>
      <c r="C4833" s="5" t="s">
        <v>999</v>
      </c>
      <c r="D4833" s="2" t="s">
        <v>6028</v>
      </c>
    </row>
    <row r="4834" spans="1:4" ht="13.05" customHeight="1" x14ac:dyDescent="0.3">
      <c r="A4834" s="2" t="s">
        <v>708</v>
      </c>
      <c r="B4834" s="2" t="s">
        <v>1132</v>
      </c>
      <c r="C4834" s="5" t="s">
        <v>1001</v>
      </c>
      <c r="D4834" s="2" t="s">
        <v>6049</v>
      </c>
    </row>
    <row r="4835" spans="1:4" ht="13.05" customHeight="1" x14ac:dyDescent="0.3">
      <c r="A4835" s="2" t="s">
        <v>708</v>
      </c>
      <c r="B4835" s="2" t="s">
        <v>1132</v>
      </c>
      <c r="C4835" s="5" t="s">
        <v>1003</v>
      </c>
      <c r="D4835" s="2" t="s">
        <v>6030</v>
      </c>
    </row>
    <row r="4836" spans="1:4" ht="13.05" customHeight="1" x14ac:dyDescent="0.3">
      <c r="A4836" s="2" t="s">
        <v>708</v>
      </c>
      <c r="B4836" s="2" t="s">
        <v>1132</v>
      </c>
      <c r="C4836" s="5" t="s">
        <v>1005</v>
      </c>
      <c r="D4836" s="2" t="s">
        <v>6031</v>
      </c>
    </row>
    <row r="4837" spans="1:4" ht="13.05" customHeight="1" x14ac:dyDescent="0.3">
      <c r="A4837" s="2" t="s">
        <v>708</v>
      </c>
      <c r="B4837" s="2" t="s">
        <v>1132</v>
      </c>
      <c r="C4837" s="5" t="s">
        <v>1007</v>
      </c>
      <c r="D4837" s="2" t="s">
        <v>6032</v>
      </c>
    </row>
    <row r="4838" spans="1:4" ht="13.05" customHeight="1" x14ac:dyDescent="0.3">
      <c r="A4838" s="2" t="s">
        <v>708</v>
      </c>
      <c r="B4838" s="2" t="s">
        <v>1132</v>
      </c>
      <c r="C4838" s="5" t="s">
        <v>1009</v>
      </c>
      <c r="D4838" s="2" t="s">
        <v>6033</v>
      </c>
    </row>
    <row r="4839" spans="1:4" ht="13.05" customHeight="1" x14ac:dyDescent="0.3">
      <c r="A4839" s="2" t="s">
        <v>708</v>
      </c>
      <c r="B4839" s="2" t="s">
        <v>1132</v>
      </c>
      <c r="C4839" s="5" t="s">
        <v>1011</v>
      </c>
      <c r="D4839" s="2" t="s">
        <v>6034</v>
      </c>
    </row>
    <row r="4840" spans="1:4" ht="13.05" customHeight="1" x14ac:dyDescent="0.3">
      <c r="A4840" s="2" t="s">
        <v>708</v>
      </c>
      <c r="B4840" s="2" t="s">
        <v>1132</v>
      </c>
      <c r="C4840" s="5" t="s">
        <v>1013</v>
      </c>
      <c r="D4840" s="2" t="s">
        <v>6035</v>
      </c>
    </row>
    <row r="4841" spans="1:4" ht="13.05" customHeight="1" x14ac:dyDescent="0.3">
      <c r="A4841" s="2" t="s">
        <v>708</v>
      </c>
      <c r="B4841" s="2" t="s">
        <v>1132</v>
      </c>
      <c r="C4841" s="5" t="s">
        <v>1155</v>
      </c>
      <c r="D4841" s="2" t="s">
        <v>6036</v>
      </c>
    </row>
    <row r="4842" spans="1:4" ht="13.05" customHeight="1" x14ac:dyDescent="0.3">
      <c r="A4842" s="2" t="s">
        <v>708</v>
      </c>
      <c r="B4842" s="2" t="s">
        <v>1132</v>
      </c>
      <c r="C4842" s="5" t="s">
        <v>983</v>
      </c>
      <c r="D4842" s="2" t="s">
        <v>984</v>
      </c>
    </row>
    <row r="4843" spans="1:4" ht="13.05" customHeight="1" x14ac:dyDescent="0.3">
      <c r="A4843" s="2" t="s">
        <v>710</v>
      </c>
      <c r="B4843" s="2" t="s">
        <v>1132</v>
      </c>
      <c r="C4843" s="5" t="s">
        <v>974</v>
      </c>
      <c r="D4843" s="2" t="s">
        <v>975</v>
      </c>
    </row>
    <row r="4844" spans="1:4" ht="13.05" customHeight="1" x14ac:dyDescent="0.3">
      <c r="A4844" s="2" t="s">
        <v>710</v>
      </c>
      <c r="B4844" s="2" t="s">
        <v>1132</v>
      </c>
      <c r="C4844" s="5" t="s">
        <v>956</v>
      </c>
      <c r="D4844" s="2" t="s">
        <v>957</v>
      </c>
    </row>
    <row r="4845" spans="1:4" ht="13.05" customHeight="1" x14ac:dyDescent="0.3">
      <c r="A4845" s="2" t="s">
        <v>710</v>
      </c>
      <c r="B4845" s="2" t="s">
        <v>1132</v>
      </c>
      <c r="C4845" s="5" t="s">
        <v>958</v>
      </c>
      <c r="D4845" s="2" t="s">
        <v>959</v>
      </c>
    </row>
    <row r="4846" spans="1:4" ht="13.05" customHeight="1" x14ac:dyDescent="0.3">
      <c r="A4846" s="2" t="s">
        <v>710</v>
      </c>
      <c r="B4846" s="2" t="s">
        <v>1132</v>
      </c>
      <c r="C4846" s="5" t="s">
        <v>960</v>
      </c>
      <c r="D4846" s="2" t="s">
        <v>961</v>
      </c>
    </row>
    <row r="4847" spans="1:4" ht="13.05" customHeight="1" x14ac:dyDescent="0.3">
      <c r="A4847" s="2" t="s">
        <v>710</v>
      </c>
      <c r="B4847" s="2" t="s">
        <v>1132</v>
      </c>
      <c r="C4847" s="5" t="s">
        <v>962</v>
      </c>
      <c r="D4847" s="2" t="s">
        <v>827</v>
      </c>
    </row>
    <row r="4848" spans="1:4" ht="13.05" customHeight="1" x14ac:dyDescent="0.3">
      <c r="A4848" s="2" t="s">
        <v>710</v>
      </c>
      <c r="B4848" s="2" t="s">
        <v>1132</v>
      </c>
      <c r="C4848" s="5" t="s">
        <v>964</v>
      </c>
      <c r="D4848" s="2" t="s">
        <v>6041</v>
      </c>
    </row>
    <row r="4849" spans="1:4" ht="13.05" customHeight="1" x14ac:dyDescent="0.3">
      <c r="A4849" s="2" t="s">
        <v>710</v>
      </c>
      <c r="B4849" s="2" t="s">
        <v>1132</v>
      </c>
      <c r="C4849" s="5" t="s">
        <v>966</v>
      </c>
      <c r="D4849" s="2" t="s">
        <v>6069</v>
      </c>
    </row>
    <row r="4850" spans="1:4" ht="13.05" customHeight="1" x14ac:dyDescent="0.3">
      <c r="A4850" s="2" t="s">
        <v>710</v>
      </c>
      <c r="B4850" s="2" t="s">
        <v>1132</v>
      </c>
      <c r="C4850" s="5" t="s">
        <v>968</v>
      </c>
      <c r="D4850" s="2" t="s">
        <v>6021</v>
      </c>
    </row>
    <row r="4851" spans="1:4" ht="13.05" customHeight="1" x14ac:dyDescent="0.3">
      <c r="A4851" s="2" t="s">
        <v>710</v>
      </c>
      <c r="B4851" s="2" t="s">
        <v>1132</v>
      </c>
      <c r="C4851" s="5" t="s">
        <v>970</v>
      </c>
      <c r="D4851" s="2" t="s">
        <v>6042</v>
      </c>
    </row>
    <row r="4852" spans="1:4" ht="13.05" customHeight="1" x14ac:dyDescent="0.3">
      <c r="A4852" s="2" t="s">
        <v>710</v>
      </c>
      <c r="B4852" s="2" t="s">
        <v>1132</v>
      </c>
      <c r="C4852" s="5" t="s">
        <v>972</v>
      </c>
      <c r="D4852" s="2" t="s">
        <v>6043</v>
      </c>
    </row>
    <row r="4853" spans="1:4" ht="13.05" customHeight="1" x14ac:dyDescent="0.3">
      <c r="A4853" s="2" t="s">
        <v>710</v>
      </c>
      <c r="B4853" s="2" t="s">
        <v>1132</v>
      </c>
      <c r="C4853" s="5" t="s">
        <v>981</v>
      </c>
      <c r="D4853" s="2" t="s">
        <v>6044</v>
      </c>
    </row>
    <row r="4854" spans="1:4" ht="13.05" customHeight="1" x14ac:dyDescent="0.3">
      <c r="A4854" s="2" t="s">
        <v>710</v>
      </c>
      <c r="B4854" s="2" t="s">
        <v>1132</v>
      </c>
      <c r="C4854" s="5" t="s">
        <v>991</v>
      </c>
      <c r="D4854" s="2" t="s">
        <v>6045</v>
      </c>
    </row>
    <row r="4855" spans="1:4" ht="13.05" customHeight="1" x14ac:dyDescent="0.3">
      <c r="A4855" s="2" t="s">
        <v>710</v>
      </c>
      <c r="B4855" s="2" t="s">
        <v>1132</v>
      </c>
      <c r="C4855" s="5" t="s">
        <v>993</v>
      </c>
      <c r="D4855" s="2" t="s">
        <v>6046</v>
      </c>
    </row>
    <row r="4856" spans="1:4" ht="13.05" customHeight="1" x14ac:dyDescent="0.3">
      <c r="A4856" s="2" t="s">
        <v>710</v>
      </c>
      <c r="B4856" s="2" t="s">
        <v>1132</v>
      </c>
      <c r="C4856" s="5" t="s">
        <v>995</v>
      </c>
      <c r="D4856" s="2" t="s">
        <v>6047</v>
      </c>
    </row>
    <row r="4857" spans="1:4" ht="13.05" customHeight="1" x14ac:dyDescent="0.3">
      <c r="A4857" s="2" t="s">
        <v>710</v>
      </c>
      <c r="B4857" s="2" t="s">
        <v>1132</v>
      </c>
      <c r="C4857" s="5" t="s">
        <v>997</v>
      </c>
      <c r="D4857" s="2" t="s">
        <v>6048</v>
      </c>
    </row>
    <row r="4858" spans="1:4" ht="13.05" customHeight="1" x14ac:dyDescent="0.3">
      <c r="A4858" s="2" t="s">
        <v>710</v>
      </c>
      <c r="B4858" s="2" t="s">
        <v>1132</v>
      </c>
      <c r="C4858" s="5" t="s">
        <v>999</v>
      </c>
      <c r="D4858" s="2" t="s">
        <v>6028</v>
      </c>
    </row>
    <row r="4859" spans="1:4" ht="13.05" customHeight="1" x14ac:dyDescent="0.3">
      <c r="A4859" s="2" t="s">
        <v>710</v>
      </c>
      <c r="B4859" s="2" t="s">
        <v>1132</v>
      </c>
      <c r="C4859" s="5" t="s">
        <v>1001</v>
      </c>
      <c r="D4859" s="2" t="s">
        <v>6049</v>
      </c>
    </row>
    <row r="4860" spans="1:4" ht="13.05" customHeight="1" x14ac:dyDescent="0.3">
      <c r="A4860" s="2" t="s">
        <v>710</v>
      </c>
      <c r="B4860" s="2" t="s">
        <v>1132</v>
      </c>
      <c r="C4860" s="5" t="s">
        <v>1003</v>
      </c>
      <c r="D4860" s="2" t="s">
        <v>6030</v>
      </c>
    </row>
    <row r="4861" spans="1:4" ht="13.05" customHeight="1" x14ac:dyDescent="0.3">
      <c r="A4861" s="2" t="s">
        <v>710</v>
      </c>
      <c r="B4861" s="2" t="s">
        <v>1132</v>
      </c>
      <c r="C4861" s="5" t="s">
        <v>1005</v>
      </c>
      <c r="D4861" s="2" t="s">
        <v>6031</v>
      </c>
    </row>
    <row r="4862" spans="1:4" ht="13.05" customHeight="1" x14ac:dyDescent="0.3">
      <c r="A4862" s="2" t="s">
        <v>710</v>
      </c>
      <c r="B4862" s="2" t="s">
        <v>1132</v>
      </c>
      <c r="C4862" s="5" t="s">
        <v>1007</v>
      </c>
      <c r="D4862" s="2" t="s">
        <v>6032</v>
      </c>
    </row>
    <row r="4863" spans="1:4" ht="13.05" customHeight="1" x14ac:dyDescent="0.3">
      <c r="A4863" s="2" t="s">
        <v>710</v>
      </c>
      <c r="B4863" s="2" t="s">
        <v>1132</v>
      </c>
      <c r="C4863" s="5" t="s">
        <v>1009</v>
      </c>
      <c r="D4863" s="2" t="s">
        <v>6033</v>
      </c>
    </row>
    <row r="4864" spans="1:4" ht="13.05" customHeight="1" x14ac:dyDescent="0.3">
      <c r="A4864" s="2" t="s">
        <v>710</v>
      </c>
      <c r="B4864" s="2" t="s">
        <v>1132</v>
      </c>
      <c r="C4864" s="5" t="s">
        <v>1011</v>
      </c>
      <c r="D4864" s="2" t="s">
        <v>6034</v>
      </c>
    </row>
    <row r="4865" spans="1:4" ht="13.05" customHeight="1" x14ac:dyDescent="0.3">
      <c r="A4865" s="2" t="s">
        <v>710</v>
      </c>
      <c r="B4865" s="2" t="s">
        <v>1132</v>
      </c>
      <c r="C4865" s="5" t="s">
        <v>1013</v>
      </c>
      <c r="D4865" s="2" t="s">
        <v>6035</v>
      </c>
    </row>
    <row r="4866" spans="1:4" ht="13.05" customHeight="1" x14ac:dyDescent="0.3">
      <c r="A4866" s="2" t="s">
        <v>710</v>
      </c>
      <c r="B4866" s="2" t="s">
        <v>1132</v>
      </c>
      <c r="C4866" s="5" t="s">
        <v>1155</v>
      </c>
      <c r="D4866" s="2" t="s">
        <v>6036</v>
      </c>
    </row>
    <row r="4867" spans="1:4" ht="13.05" customHeight="1" x14ac:dyDescent="0.3">
      <c r="A4867" s="2" t="s">
        <v>710</v>
      </c>
      <c r="B4867" s="2" t="s">
        <v>1132</v>
      </c>
      <c r="C4867" s="5" t="s">
        <v>983</v>
      </c>
      <c r="D4867" s="2" t="s">
        <v>984</v>
      </c>
    </row>
    <row r="4868" spans="1:4" ht="13.05" customHeight="1" x14ac:dyDescent="0.3">
      <c r="A4868" s="2" t="s">
        <v>712</v>
      </c>
      <c r="B4868" s="2" t="s">
        <v>1132</v>
      </c>
      <c r="C4868" s="5" t="s">
        <v>974</v>
      </c>
      <c r="D4868" s="2" t="s">
        <v>975</v>
      </c>
    </row>
    <row r="4869" spans="1:4" ht="13.05" customHeight="1" x14ac:dyDescent="0.3">
      <c r="A4869" s="2" t="s">
        <v>712</v>
      </c>
      <c r="B4869" s="2" t="s">
        <v>1132</v>
      </c>
      <c r="C4869" s="5" t="s">
        <v>956</v>
      </c>
      <c r="D4869" s="2" t="s">
        <v>957</v>
      </c>
    </row>
    <row r="4870" spans="1:4" ht="13.05" customHeight="1" x14ac:dyDescent="0.3">
      <c r="A4870" s="2" t="s">
        <v>712</v>
      </c>
      <c r="B4870" s="2" t="s">
        <v>1132</v>
      </c>
      <c r="C4870" s="5" t="s">
        <v>958</v>
      </c>
      <c r="D4870" s="2" t="s">
        <v>959</v>
      </c>
    </row>
    <row r="4871" spans="1:4" ht="13.05" customHeight="1" x14ac:dyDescent="0.3">
      <c r="A4871" s="2" t="s">
        <v>712</v>
      </c>
      <c r="B4871" s="2" t="s">
        <v>1132</v>
      </c>
      <c r="C4871" s="5" t="s">
        <v>960</v>
      </c>
      <c r="D4871" s="2" t="s">
        <v>961</v>
      </c>
    </row>
    <row r="4872" spans="1:4" ht="13.05" customHeight="1" x14ac:dyDescent="0.3">
      <c r="A4872" s="2" t="s">
        <v>712</v>
      </c>
      <c r="B4872" s="2" t="s">
        <v>1132</v>
      </c>
      <c r="C4872" s="5" t="s">
        <v>962</v>
      </c>
      <c r="D4872" s="2" t="s">
        <v>827</v>
      </c>
    </row>
    <row r="4873" spans="1:4" ht="13.05" customHeight="1" x14ac:dyDescent="0.3">
      <c r="A4873" s="2" t="s">
        <v>712</v>
      </c>
      <c r="B4873" s="2" t="s">
        <v>1132</v>
      </c>
      <c r="C4873" s="5" t="s">
        <v>964</v>
      </c>
      <c r="D4873" s="2" t="s">
        <v>6041</v>
      </c>
    </row>
    <row r="4874" spans="1:4" ht="13.05" customHeight="1" x14ac:dyDescent="0.3">
      <c r="A4874" s="2" t="s">
        <v>712</v>
      </c>
      <c r="B4874" s="2" t="s">
        <v>1132</v>
      </c>
      <c r="C4874" s="5" t="s">
        <v>966</v>
      </c>
      <c r="D4874" s="2" t="s">
        <v>6069</v>
      </c>
    </row>
    <row r="4875" spans="1:4" ht="13.05" customHeight="1" x14ac:dyDescent="0.3">
      <c r="A4875" s="2" t="s">
        <v>712</v>
      </c>
      <c r="B4875" s="2" t="s">
        <v>1132</v>
      </c>
      <c r="C4875" s="5" t="s">
        <v>968</v>
      </c>
      <c r="D4875" s="2" t="s">
        <v>6021</v>
      </c>
    </row>
    <row r="4876" spans="1:4" ht="13.05" customHeight="1" x14ac:dyDescent="0.3">
      <c r="A4876" s="2" t="s">
        <v>712</v>
      </c>
      <c r="B4876" s="2" t="s">
        <v>1132</v>
      </c>
      <c r="C4876" s="5" t="s">
        <v>970</v>
      </c>
      <c r="D4876" s="2" t="s">
        <v>6042</v>
      </c>
    </row>
    <row r="4877" spans="1:4" ht="13.05" customHeight="1" x14ac:dyDescent="0.3">
      <c r="A4877" s="2" t="s">
        <v>712</v>
      </c>
      <c r="B4877" s="2" t="s">
        <v>1132</v>
      </c>
      <c r="C4877" s="5" t="s">
        <v>972</v>
      </c>
      <c r="D4877" s="2" t="s">
        <v>6043</v>
      </c>
    </row>
    <row r="4878" spans="1:4" ht="13.05" customHeight="1" x14ac:dyDescent="0.3">
      <c r="A4878" s="2" t="s">
        <v>712</v>
      </c>
      <c r="B4878" s="2" t="s">
        <v>1132</v>
      </c>
      <c r="C4878" s="5" t="s">
        <v>981</v>
      </c>
      <c r="D4878" s="2" t="s">
        <v>6044</v>
      </c>
    </row>
    <row r="4879" spans="1:4" ht="13.05" customHeight="1" x14ac:dyDescent="0.3">
      <c r="A4879" s="2" t="s">
        <v>712</v>
      </c>
      <c r="B4879" s="2" t="s">
        <v>1132</v>
      </c>
      <c r="C4879" s="5" t="s">
        <v>991</v>
      </c>
      <c r="D4879" s="2" t="s">
        <v>6045</v>
      </c>
    </row>
    <row r="4880" spans="1:4" ht="13.05" customHeight="1" x14ac:dyDescent="0.3">
      <c r="A4880" s="2" t="s">
        <v>712</v>
      </c>
      <c r="B4880" s="2" t="s">
        <v>1132</v>
      </c>
      <c r="C4880" s="5" t="s">
        <v>993</v>
      </c>
      <c r="D4880" s="2" t="s">
        <v>6046</v>
      </c>
    </row>
    <row r="4881" spans="1:4" ht="13.05" customHeight="1" x14ac:dyDescent="0.3">
      <c r="A4881" s="2" t="s">
        <v>712</v>
      </c>
      <c r="B4881" s="2" t="s">
        <v>1132</v>
      </c>
      <c r="C4881" s="5" t="s">
        <v>995</v>
      </c>
      <c r="D4881" s="2" t="s">
        <v>6047</v>
      </c>
    </row>
    <row r="4882" spans="1:4" ht="13.05" customHeight="1" x14ac:dyDescent="0.3">
      <c r="A4882" s="2" t="s">
        <v>712</v>
      </c>
      <c r="B4882" s="2" t="s">
        <v>1132</v>
      </c>
      <c r="C4882" s="5" t="s">
        <v>997</v>
      </c>
      <c r="D4882" s="2" t="s">
        <v>6048</v>
      </c>
    </row>
    <row r="4883" spans="1:4" ht="13.05" customHeight="1" x14ac:dyDescent="0.3">
      <c r="A4883" s="2" t="s">
        <v>712</v>
      </c>
      <c r="B4883" s="2" t="s">
        <v>1132</v>
      </c>
      <c r="C4883" s="5" t="s">
        <v>999</v>
      </c>
      <c r="D4883" s="2" t="s">
        <v>6028</v>
      </c>
    </row>
    <row r="4884" spans="1:4" ht="13.05" customHeight="1" x14ac:dyDescent="0.3">
      <c r="A4884" s="2" t="s">
        <v>712</v>
      </c>
      <c r="B4884" s="2" t="s">
        <v>1132</v>
      </c>
      <c r="C4884" s="5" t="s">
        <v>1001</v>
      </c>
      <c r="D4884" s="2" t="s">
        <v>6049</v>
      </c>
    </row>
    <row r="4885" spans="1:4" ht="13.05" customHeight="1" x14ac:dyDescent="0.3">
      <c r="A4885" s="2" t="s">
        <v>712</v>
      </c>
      <c r="B4885" s="2" t="s">
        <v>1132</v>
      </c>
      <c r="C4885" s="5" t="s">
        <v>1003</v>
      </c>
      <c r="D4885" s="2" t="s">
        <v>6030</v>
      </c>
    </row>
    <row r="4886" spans="1:4" ht="13.05" customHeight="1" x14ac:dyDescent="0.3">
      <c r="A4886" s="2" t="s">
        <v>712</v>
      </c>
      <c r="B4886" s="2" t="s">
        <v>1132</v>
      </c>
      <c r="C4886" s="5" t="s">
        <v>1005</v>
      </c>
      <c r="D4886" s="2" t="s">
        <v>6031</v>
      </c>
    </row>
    <row r="4887" spans="1:4" ht="13.05" customHeight="1" x14ac:dyDescent="0.3">
      <c r="A4887" s="2" t="s">
        <v>712</v>
      </c>
      <c r="B4887" s="2" t="s">
        <v>1132</v>
      </c>
      <c r="C4887" s="5" t="s">
        <v>1007</v>
      </c>
      <c r="D4887" s="2" t="s">
        <v>6032</v>
      </c>
    </row>
    <row r="4888" spans="1:4" ht="13.05" customHeight="1" x14ac:dyDescent="0.3">
      <c r="A4888" s="2" t="s">
        <v>712</v>
      </c>
      <c r="B4888" s="2" t="s">
        <v>1132</v>
      </c>
      <c r="C4888" s="5" t="s">
        <v>1009</v>
      </c>
      <c r="D4888" s="2" t="s">
        <v>6033</v>
      </c>
    </row>
    <row r="4889" spans="1:4" ht="13.05" customHeight="1" x14ac:dyDescent="0.3">
      <c r="A4889" s="2" t="s">
        <v>712</v>
      </c>
      <c r="B4889" s="2" t="s">
        <v>1132</v>
      </c>
      <c r="C4889" s="5" t="s">
        <v>1011</v>
      </c>
      <c r="D4889" s="2" t="s">
        <v>6034</v>
      </c>
    </row>
    <row r="4890" spans="1:4" ht="13.05" customHeight="1" x14ac:dyDescent="0.3">
      <c r="A4890" s="2" t="s">
        <v>712</v>
      </c>
      <c r="B4890" s="2" t="s">
        <v>1132</v>
      </c>
      <c r="C4890" s="5" t="s">
        <v>1013</v>
      </c>
      <c r="D4890" s="2" t="s">
        <v>6035</v>
      </c>
    </row>
    <row r="4891" spans="1:4" ht="13.05" customHeight="1" x14ac:dyDescent="0.3">
      <c r="A4891" s="2" t="s">
        <v>712</v>
      </c>
      <c r="B4891" s="2" t="s">
        <v>1132</v>
      </c>
      <c r="C4891" s="5" t="s">
        <v>1155</v>
      </c>
      <c r="D4891" s="2" t="s">
        <v>6036</v>
      </c>
    </row>
    <row r="4892" spans="1:4" ht="13.05" customHeight="1" x14ac:dyDescent="0.3">
      <c r="A4892" s="2" t="s">
        <v>712</v>
      </c>
      <c r="B4892" s="2" t="s">
        <v>1132</v>
      </c>
      <c r="C4892" s="5" t="s">
        <v>983</v>
      </c>
      <c r="D4892" s="2" t="s">
        <v>984</v>
      </c>
    </row>
    <row r="4893" spans="1:4" ht="13.05" customHeight="1" x14ac:dyDescent="0.3">
      <c r="A4893" s="2" t="s">
        <v>714</v>
      </c>
      <c r="B4893" s="2" t="s">
        <v>1132</v>
      </c>
      <c r="C4893" s="5" t="s">
        <v>974</v>
      </c>
      <c r="D4893" s="2" t="s">
        <v>975</v>
      </c>
    </row>
    <row r="4894" spans="1:4" ht="13.05" customHeight="1" x14ac:dyDescent="0.3">
      <c r="A4894" s="2" t="s">
        <v>714</v>
      </c>
      <c r="B4894" s="2" t="s">
        <v>1132</v>
      </c>
      <c r="C4894" s="5" t="s">
        <v>956</v>
      </c>
      <c r="D4894" s="2" t="s">
        <v>957</v>
      </c>
    </row>
    <row r="4895" spans="1:4" ht="13.05" customHeight="1" x14ac:dyDescent="0.3">
      <c r="A4895" s="2" t="s">
        <v>714</v>
      </c>
      <c r="B4895" s="2" t="s">
        <v>1132</v>
      </c>
      <c r="C4895" s="5" t="s">
        <v>958</v>
      </c>
      <c r="D4895" s="2" t="s">
        <v>959</v>
      </c>
    </row>
    <row r="4896" spans="1:4" ht="13.05" customHeight="1" x14ac:dyDescent="0.3">
      <c r="A4896" s="2" t="s">
        <v>714</v>
      </c>
      <c r="B4896" s="2" t="s">
        <v>1132</v>
      </c>
      <c r="C4896" s="5" t="s">
        <v>960</v>
      </c>
      <c r="D4896" s="2" t="s">
        <v>961</v>
      </c>
    </row>
    <row r="4897" spans="1:4" ht="13.05" customHeight="1" x14ac:dyDescent="0.3">
      <c r="A4897" s="2" t="s">
        <v>714</v>
      </c>
      <c r="B4897" s="2" t="s">
        <v>1132</v>
      </c>
      <c r="C4897" s="5" t="s">
        <v>962</v>
      </c>
      <c r="D4897" s="2" t="s">
        <v>827</v>
      </c>
    </row>
    <row r="4898" spans="1:4" ht="13.05" customHeight="1" x14ac:dyDescent="0.3">
      <c r="A4898" s="2" t="s">
        <v>714</v>
      </c>
      <c r="B4898" s="2" t="s">
        <v>1132</v>
      </c>
      <c r="C4898" s="5" t="s">
        <v>964</v>
      </c>
      <c r="D4898" s="2" t="s">
        <v>6041</v>
      </c>
    </row>
    <row r="4899" spans="1:4" ht="13.05" customHeight="1" x14ac:dyDescent="0.3">
      <c r="A4899" s="2" t="s">
        <v>714</v>
      </c>
      <c r="B4899" s="2" t="s">
        <v>1132</v>
      </c>
      <c r="C4899" s="5" t="s">
        <v>966</v>
      </c>
      <c r="D4899" s="2" t="s">
        <v>6069</v>
      </c>
    </row>
    <row r="4900" spans="1:4" ht="13.05" customHeight="1" x14ac:dyDescent="0.3">
      <c r="A4900" s="2" t="s">
        <v>714</v>
      </c>
      <c r="B4900" s="2" t="s">
        <v>1132</v>
      </c>
      <c r="C4900" s="5" t="s">
        <v>968</v>
      </c>
      <c r="D4900" s="2" t="s">
        <v>6021</v>
      </c>
    </row>
    <row r="4901" spans="1:4" ht="13.05" customHeight="1" x14ac:dyDescent="0.3">
      <c r="A4901" s="2" t="s">
        <v>714</v>
      </c>
      <c r="B4901" s="2" t="s">
        <v>1132</v>
      </c>
      <c r="C4901" s="5" t="s">
        <v>970</v>
      </c>
      <c r="D4901" s="2" t="s">
        <v>6042</v>
      </c>
    </row>
    <row r="4902" spans="1:4" ht="13.05" customHeight="1" x14ac:dyDescent="0.3">
      <c r="A4902" s="2" t="s">
        <v>714</v>
      </c>
      <c r="B4902" s="2" t="s">
        <v>1132</v>
      </c>
      <c r="C4902" s="5" t="s">
        <v>972</v>
      </c>
      <c r="D4902" s="2" t="s">
        <v>6043</v>
      </c>
    </row>
    <row r="4903" spans="1:4" ht="13.05" customHeight="1" x14ac:dyDescent="0.3">
      <c r="A4903" s="2" t="s">
        <v>714</v>
      </c>
      <c r="B4903" s="2" t="s">
        <v>1132</v>
      </c>
      <c r="C4903" s="5" t="s">
        <v>981</v>
      </c>
      <c r="D4903" s="2" t="s">
        <v>6044</v>
      </c>
    </row>
    <row r="4904" spans="1:4" ht="13.05" customHeight="1" x14ac:dyDescent="0.3">
      <c r="A4904" s="2" t="s">
        <v>714</v>
      </c>
      <c r="B4904" s="2" t="s">
        <v>1132</v>
      </c>
      <c r="C4904" s="5" t="s">
        <v>991</v>
      </c>
      <c r="D4904" s="2" t="s">
        <v>6045</v>
      </c>
    </row>
    <row r="4905" spans="1:4" ht="13.05" customHeight="1" x14ac:dyDescent="0.3">
      <c r="A4905" s="2" t="s">
        <v>714</v>
      </c>
      <c r="B4905" s="2" t="s">
        <v>1132</v>
      </c>
      <c r="C4905" s="5" t="s">
        <v>993</v>
      </c>
      <c r="D4905" s="2" t="s">
        <v>6046</v>
      </c>
    </row>
    <row r="4906" spans="1:4" ht="13.05" customHeight="1" x14ac:dyDescent="0.3">
      <c r="A4906" s="2" t="s">
        <v>714</v>
      </c>
      <c r="B4906" s="2" t="s">
        <v>1132</v>
      </c>
      <c r="C4906" s="5" t="s">
        <v>995</v>
      </c>
      <c r="D4906" s="2" t="s">
        <v>6047</v>
      </c>
    </row>
    <row r="4907" spans="1:4" ht="13.05" customHeight="1" x14ac:dyDescent="0.3">
      <c r="A4907" s="2" t="s">
        <v>714</v>
      </c>
      <c r="B4907" s="2" t="s">
        <v>1132</v>
      </c>
      <c r="C4907" s="5" t="s">
        <v>997</v>
      </c>
      <c r="D4907" s="2" t="s">
        <v>6048</v>
      </c>
    </row>
    <row r="4908" spans="1:4" ht="13.05" customHeight="1" x14ac:dyDescent="0.3">
      <c r="A4908" s="2" t="s">
        <v>714</v>
      </c>
      <c r="B4908" s="2" t="s">
        <v>1132</v>
      </c>
      <c r="C4908" s="5" t="s">
        <v>999</v>
      </c>
      <c r="D4908" s="2" t="s">
        <v>6028</v>
      </c>
    </row>
    <row r="4909" spans="1:4" ht="13.05" customHeight="1" x14ac:dyDescent="0.3">
      <c r="A4909" s="2" t="s">
        <v>714</v>
      </c>
      <c r="B4909" s="2" t="s">
        <v>1132</v>
      </c>
      <c r="C4909" s="5" t="s">
        <v>1001</v>
      </c>
      <c r="D4909" s="2" t="s">
        <v>6049</v>
      </c>
    </row>
    <row r="4910" spans="1:4" ht="13.05" customHeight="1" x14ac:dyDescent="0.3">
      <c r="A4910" s="2" t="s">
        <v>714</v>
      </c>
      <c r="B4910" s="2" t="s">
        <v>1132</v>
      </c>
      <c r="C4910" s="5" t="s">
        <v>1003</v>
      </c>
      <c r="D4910" s="2" t="s">
        <v>6030</v>
      </c>
    </row>
    <row r="4911" spans="1:4" ht="13.05" customHeight="1" x14ac:dyDescent="0.3">
      <c r="A4911" s="2" t="s">
        <v>714</v>
      </c>
      <c r="B4911" s="2" t="s">
        <v>1132</v>
      </c>
      <c r="C4911" s="5" t="s">
        <v>1005</v>
      </c>
      <c r="D4911" s="2" t="s">
        <v>6031</v>
      </c>
    </row>
    <row r="4912" spans="1:4" ht="13.05" customHeight="1" x14ac:dyDescent="0.3">
      <c r="A4912" s="2" t="s">
        <v>714</v>
      </c>
      <c r="B4912" s="2" t="s">
        <v>1132</v>
      </c>
      <c r="C4912" s="5" t="s">
        <v>1007</v>
      </c>
      <c r="D4912" s="2" t="s">
        <v>6032</v>
      </c>
    </row>
    <row r="4913" spans="1:4" ht="13.05" customHeight="1" x14ac:dyDescent="0.3">
      <c r="A4913" s="2" t="s">
        <v>714</v>
      </c>
      <c r="B4913" s="2" t="s">
        <v>1132</v>
      </c>
      <c r="C4913" s="5" t="s">
        <v>1009</v>
      </c>
      <c r="D4913" s="2" t="s">
        <v>6033</v>
      </c>
    </row>
    <row r="4914" spans="1:4" ht="13.05" customHeight="1" x14ac:dyDescent="0.3">
      <c r="A4914" s="2" t="s">
        <v>714</v>
      </c>
      <c r="B4914" s="2" t="s">
        <v>1132</v>
      </c>
      <c r="C4914" s="5" t="s">
        <v>1011</v>
      </c>
      <c r="D4914" s="2" t="s">
        <v>6034</v>
      </c>
    </row>
    <row r="4915" spans="1:4" ht="13.05" customHeight="1" x14ac:dyDescent="0.3">
      <c r="A4915" s="2" t="s">
        <v>714</v>
      </c>
      <c r="B4915" s="2" t="s">
        <v>1132</v>
      </c>
      <c r="C4915" s="5" t="s">
        <v>1013</v>
      </c>
      <c r="D4915" s="2" t="s">
        <v>6035</v>
      </c>
    </row>
    <row r="4916" spans="1:4" ht="13.05" customHeight="1" x14ac:dyDescent="0.3">
      <c r="A4916" s="2" t="s">
        <v>714</v>
      </c>
      <c r="B4916" s="2" t="s">
        <v>1132</v>
      </c>
      <c r="C4916" s="5" t="s">
        <v>1155</v>
      </c>
      <c r="D4916" s="2" t="s">
        <v>6036</v>
      </c>
    </row>
    <row r="4917" spans="1:4" ht="13.05" customHeight="1" x14ac:dyDescent="0.3">
      <c r="A4917" s="2" t="s">
        <v>714</v>
      </c>
      <c r="B4917" s="2" t="s">
        <v>1132</v>
      </c>
      <c r="C4917" s="5" t="s">
        <v>983</v>
      </c>
      <c r="D4917" s="2" t="s">
        <v>984</v>
      </c>
    </row>
    <row r="4918" spans="1:4" ht="13.05" customHeight="1" x14ac:dyDescent="0.3">
      <c r="A4918" s="2" t="s">
        <v>716</v>
      </c>
      <c r="B4918" s="2" t="s">
        <v>1132</v>
      </c>
      <c r="C4918" s="5" t="s">
        <v>974</v>
      </c>
      <c r="D4918" s="2" t="s">
        <v>975</v>
      </c>
    </row>
    <row r="4919" spans="1:4" ht="13.05" customHeight="1" x14ac:dyDescent="0.3">
      <c r="A4919" s="2" t="s">
        <v>716</v>
      </c>
      <c r="B4919" s="2" t="s">
        <v>1132</v>
      </c>
      <c r="C4919" s="5" t="s">
        <v>956</v>
      </c>
      <c r="D4919" s="2" t="s">
        <v>957</v>
      </c>
    </row>
    <row r="4920" spans="1:4" ht="13.05" customHeight="1" x14ac:dyDescent="0.3">
      <c r="A4920" s="2" t="s">
        <v>716</v>
      </c>
      <c r="B4920" s="2" t="s">
        <v>1132</v>
      </c>
      <c r="C4920" s="5" t="s">
        <v>958</v>
      </c>
      <c r="D4920" s="2" t="s">
        <v>959</v>
      </c>
    </row>
    <row r="4921" spans="1:4" ht="13.05" customHeight="1" x14ac:dyDescent="0.3">
      <c r="A4921" s="2" t="s">
        <v>716</v>
      </c>
      <c r="B4921" s="2" t="s">
        <v>1132</v>
      </c>
      <c r="C4921" s="5" t="s">
        <v>960</v>
      </c>
      <c r="D4921" s="2" t="s">
        <v>961</v>
      </c>
    </row>
    <row r="4922" spans="1:4" ht="13.05" customHeight="1" x14ac:dyDescent="0.3">
      <c r="A4922" s="2" t="s">
        <v>716</v>
      </c>
      <c r="B4922" s="2" t="s">
        <v>1132</v>
      </c>
      <c r="C4922" s="5" t="s">
        <v>962</v>
      </c>
      <c r="D4922" s="2" t="s">
        <v>827</v>
      </c>
    </row>
    <row r="4923" spans="1:4" ht="13.05" customHeight="1" x14ac:dyDescent="0.3">
      <c r="A4923" s="2" t="s">
        <v>716</v>
      </c>
      <c r="B4923" s="2" t="s">
        <v>1132</v>
      </c>
      <c r="C4923" s="5" t="s">
        <v>964</v>
      </c>
      <c r="D4923" s="2" t="s">
        <v>6041</v>
      </c>
    </row>
    <row r="4924" spans="1:4" ht="13.05" customHeight="1" x14ac:dyDescent="0.3">
      <c r="A4924" s="2" t="s">
        <v>716</v>
      </c>
      <c r="B4924" s="2" t="s">
        <v>1132</v>
      </c>
      <c r="C4924" s="5" t="s">
        <v>966</v>
      </c>
      <c r="D4924" s="2" t="s">
        <v>6069</v>
      </c>
    </row>
    <row r="4925" spans="1:4" ht="13.05" customHeight="1" x14ac:dyDescent="0.3">
      <c r="A4925" s="2" t="s">
        <v>716</v>
      </c>
      <c r="B4925" s="2" t="s">
        <v>1132</v>
      </c>
      <c r="C4925" s="5" t="s">
        <v>968</v>
      </c>
      <c r="D4925" s="2" t="s">
        <v>6021</v>
      </c>
    </row>
    <row r="4926" spans="1:4" ht="13.05" customHeight="1" x14ac:dyDescent="0.3">
      <c r="A4926" s="2" t="s">
        <v>716</v>
      </c>
      <c r="B4926" s="2" t="s">
        <v>1132</v>
      </c>
      <c r="C4926" s="5" t="s">
        <v>970</v>
      </c>
      <c r="D4926" s="2" t="s">
        <v>6042</v>
      </c>
    </row>
    <row r="4927" spans="1:4" ht="13.05" customHeight="1" x14ac:dyDescent="0.3">
      <c r="A4927" s="2" t="s">
        <v>716</v>
      </c>
      <c r="B4927" s="2" t="s">
        <v>1132</v>
      </c>
      <c r="C4927" s="5" t="s">
        <v>972</v>
      </c>
      <c r="D4927" s="2" t="s">
        <v>6043</v>
      </c>
    </row>
    <row r="4928" spans="1:4" ht="13.05" customHeight="1" x14ac:dyDescent="0.3">
      <c r="A4928" s="2" t="s">
        <v>716</v>
      </c>
      <c r="B4928" s="2" t="s">
        <v>1132</v>
      </c>
      <c r="C4928" s="5" t="s">
        <v>981</v>
      </c>
      <c r="D4928" s="2" t="s">
        <v>6044</v>
      </c>
    </row>
    <row r="4929" spans="1:4" ht="13.05" customHeight="1" x14ac:dyDescent="0.3">
      <c r="A4929" s="2" t="s">
        <v>716</v>
      </c>
      <c r="B4929" s="2" t="s">
        <v>1132</v>
      </c>
      <c r="C4929" s="5" t="s">
        <v>991</v>
      </c>
      <c r="D4929" s="2" t="s">
        <v>6045</v>
      </c>
    </row>
    <row r="4930" spans="1:4" ht="13.05" customHeight="1" x14ac:dyDescent="0.3">
      <c r="A4930" s="2" t="s">
        <v>716</v>
      </c>
      <c r="B4930" s="2" t="s">
        <v>1132</v>
      </c>
      <c r="C4930" s="5" t="s">
        <v>993</v>
      </c>
      <c r="D4930" s="2" t="s">
        <v>6046</v>
      </c>
    </row>
    <row r="4931" spans="1:4" ht="13.05" customHeight="1" x14ac:dyDescent="0.3">
      <c r="A4931" s="2" t="s">
        <v>716</v>
      </c>
      <c r="B4931" s="2" t="s">
        <v>1132</v>
      </c>
      <c r="C4931" s="5" t="s">
        <v>995</v>
      </c>
      <c r="D4931" s="2" t="s">
        <v>6047</v>
      </c>
    </row>
    <row r="4932" spans="1:4" ht="13.05" customHeight="1" x14ac:dyDescent="0.3">
      <c r="A4932" s="2" t="s">
        <v>716</v>
      </c>
      <c r="B4932" s="2" t="s">
        <v>1132</v>
      </c>
      <c r="C4932" s="5" t="s">
        <v>997</v>
      </c>
      <c r="D4932" s="2" t="s">
        <v>6048</v>
      </c>
    </row>
    <row r="4933" spans="1:4" ht="13.05" customHeight="1" x14ac:dyDescent="0.3">
      <c r="A4933" s="2" t="s">
        <v>716</v>
      </c>
      <c r="B4933" s="2" t="s">
        <v>1132</v>
      </c>
      <c r="C4933" s="5" t="s">
        <v>999</v>
      </c>
      <c r="D4933" s="2" t="s">
        <v>6028</v>
      </c>
    </row>
    <row r="4934" spans="1:4" ht="13.05" customHeight="1" x14ac:dyDescent="0.3">
      <c r="A4934" s="2" t="s">
        <v>716</v>
      </c>
      <c r="B4934" s="2" t="s">
        <v>1132</v>
      </c>
      <c r="C4934" s="5" t="s">
        <v>1001</v>
      </c>
      <c r="D4934" s="2" t="s">
        <v>6049</v>
      </c>
    </row>
    <row r="4935" spans="1:4" ht="13.05" customHeight="1" x14ac:dyDescent="0.3">
      <c r="A4935" s="2" t="s">
        <v>716</v>
      </c>
      <c r="B4935" s="2" t="s">
        <v>1132</v>
      </c>
      <c r="C4935" s="5" t="s">
        <v>1003</v>
      </c>
      <c r="D4935" s="2" t="s">
        <v>6030</v>
      </c>
    </row>
    <row r="4936" spans="1:4" ht="13.05" customHeight="1" x14ac:dyDescent="0.3">
      <c r="A4936" s="2" t="s">
        <v>716</v>
      </c>
      <c r="B4936" s="2" t="s">
        <v>1132</v>
      </c>
      <c r="C4936" s="5" t="s">
        <v>1005</v>
      </c>
      <c r="D4936" s="2" t="s">
        <v>6031</v>
      </c>
    </row>
    <row r="4937" spans="1:4" ht="13.05" customHeight="1" x14ac:dyDescent="0.3">
      <c r="A4937" s="2" t="s">
        <v>716</v>
      </c>
      <c r="B4937" s="2" t="s">
        <v>1132</v>
      </c>
      <c r="C4937" s="5" t="s">
        <v>1007</v>
      </c>
      <c r="D4937" s="2" t="s">
        <v>6032</v>
      </c>
    </row>
    <row r="4938" spans="1:4" ht="13.05" customHeight="1" x14ac:dyDescent="0.3">
      <c r="A4938" s="2" t="s">
        <v>716</v>
      </c>
      <c r="B4938" s="2" t="s">
        <v>1132</v>
      </c>
      <c r="C4938" s="5" t="s">
        <v>1009</v>
      </c>
      <c r="D4938" s="2" t="s">
        <v>6033</v>
      </c>
    </row>
    <row r="4939" spans="1:4" ht="13.05" customHeight="1" x14ac:dyDescent="0.3">
      <c r="A4939" s="2" t="s">
        <v>716</v>
      </c>
      <c r="B4939" s="2" t="s">
        <v>1132</v>
      </c>
      <c r="C4939" s="5" t="s">
        <v>1011</v>
      </c>
      <c r="D4939" s="2" t="s">
        <v>6034</v>
      </c>
    </row>
    <row r="4940" spans="1:4" ht="13.05" customHeight="1" x14ac:dyDescent="0.3">
      <c r="A4940" s="2" t="s">
        <v>716</v>
      </c>
      <c r="B4940" s="2" t="s">
        <v>1132</v>
      </c>
      <c r="C4940" s="5" t="s">
        <v>1013</v>
      </c>
      <c r="D4940" s="2" t="s">
        <v>6035</v>
      </c>
    </row>
    <row r="4941" spans="1:4" ht="13.05" customHeight="1" x14ac:dyDescent="0.3">
      <c r="A4941" s="2" t="s">
        <v>716</v>
      </c>
      <c r="B4941" s="2" t="s">
        <v>1132</v>
      </c>
      <c r="C4941" s="5" t="s">
        <v>1155</v>
      </c>
      <c r="D4941" s="2" t="s">
        <v>6036</v>
      </c>
    </row>
    <row r="4942" spans="1:4" ht="13.05" customHeight="1" x14ac:dyDescent="0.3">
      <c r="A4942" s="2" t="s">
        <v>716</v>
      </c>
      <c r="B4942" s="2" t="s">
        <v>1132</v>
      </c>
      <c r="C4942" s="5" t="s">
        <v>983</v>
      </c>
      <c r="D4942" s="2" t="s">
        <v>984</v>
      </c>
    </row>
    <row r="4943" spans="1:4" ht="13.05" customHeight="1" x14ac:dyDescent="0.3">
      <c r="A4943" s="2" t="s">
        <v>718</v>
      </c>
      <c r="B4943" s="2" t="s">
        <v>1132</v>
      </c>
      <c r="C4943" s="5" t="s">
        <v>974</v>
      </c>
      <c r="D4943" s="2" t="s">
        <v>975</v>
      </c>
    </row>
    <row r="4944" spans="1:4" ht="13.05" customHeight="1" x14ac:dyDescent="0.3">
      <c r="A4944" s="2" t="s">
        <v>718</v>
      </c>
      <c r="B4944" s="2" t="s">
        <v>1132</v>
      </c>
      <c r="C4944" s="5" t="s">
        <v>956</v>
      </c>
      <c r="D4944" s="2" t="s">
        <v>957</v>
      </c>
    </row>
    <row r="4945" spans="1:4" ht="13.05" customHeight="1" x14ac:dyDescent="0.3">
      <c r="A4945" s="2" t="s">
        <v>718</v>
      </c>
      <c r="B4945" s="2" t="s">
        <v>1132</v>
      </c>
      <c r="C4945" s="5" t="s">
        <v>958</v>
      </c>
      <c r="D4945" s="2" t="s">
        <v>959</v>
      </c>
    </row>
    <row r="4946" spans="1:4" ht="13.05" customHeight="1" x14ac:dyDescent="0.3">
      <c r="A4946" s="2" t="s">
        <v>718</v>
      </c>
      <c r="B4946" s="2" t="s">
        <v>1132</v>
      </c>
      <c r="C4946" s="5" t="s">
        <v>960</v>
      </c>
      <c r="D4946" s="2" t="s">
        <v>961</v>
      </c>
    </row>
    <row r="4947" spans="1:4" ht="13.05" customHeight="1" x14ac:dyDescent="0.3">
      <c r="A4947" s="2" t="s">
        <v>718</v>
      </c>
      <c r="B4947" s="2" t="s">
        <v>1132</v>
      </c>
      <c r="C4947" s="5" t="s">
        <v>962</v>
      </c>
      <c r="D4947" s="2" t="s">
        <v>827</v>
      </c>
    </row>
    <row r="4948" spans="1:4" ht="13.05" customHeight="1" x14ac:dyDescent="0.3">
      <c r="A4948" s="2" t="s">
        <v>718</v>
      </c>
      <c r="B4948" s="2" t="s">
        <v>1132</v>
      </c>
      <c r="C4948" s="5" t="s">
        <v>964</v>
      </c>
      <c r="D4948" s="2" t="s">
        <v>6041</v>
      </c>
    </row>
    <row r="4949" spans="1:4" ht="13.05" customHeight="1" x14ac:dyDescent="0.3">
      <c r="A4949" s="2" t="s">
        <v>718</v>
      </c>
      <c r="B4949" s="2" t="s">
        <v>1132</v>
      </c>
      <c r="C4949" s="5" t="s">
        <v>966</v>
      </c>
      <c r="D4949" s="2" t="s">
        <v>6069</v>
      </c>
    </row>
    <row r="4950" spans="1:4" ht="13.05" customHeight="1" x14ac:dyDescent="0.3">
      <c r="A4950" s="2" t="s">
        <v>718</v>
      </c>
      <c r="B4950" s="2" t="s">
        <v>1132</v>
      </c>
      <c r="C4950" s="5" t="s">
        <v>968</v>
      </c>
      <c r="D4950" s="2" t="s">
        <v>6021</v>
      </c>
    </row>
    <row r="4951" spans="1:4" ht="13.05" customHeight="1" x14ac:dyDescent="0.3">
      <c r="A4951" s="2" t="s">
        <v>718</v>
      </c>
      <c r="B4951" s="2" t="s">
        <v>1132</v>
      </c>
      <c r="C4951" s="5" t="s">
        <v>970</v>
      </c>
      <c r="D4951" s="2" t="s">
        <v>6042</v>
      </c>
    </row>
    <row r="4952" spans="1:4" ht="13.05" customHeight="1" x14ac:dyDescent="0.3">
      <c r="A4952" s="2" t="s">
        <v>718</v>
      </c>
      <c r="B4952" s="2" t="s">
        <v>1132</v>
      </c>
      <c r="C4952" s="5" t="s">
        <v>972</v>
      </c>
      <c r="D4952" s="2" t="s">
        <v>6043</v>
      </c>
    </row>
    <row r="4953" spans="1:4" ht="13.05" customHeight="1" x14ac:dyDescent="0.3">
      <c r="A4953" s="2" t="s">
        <v>718</v>
      </c>
      <c r="B4953" s="2" t="s">
        <v>1132</v>
      </c>
      <c r="C4953" s="5" t="s">
        <v>981</v>
      </c>
      <c r="D4953" s="2" t="s">
        <v>6044</v>
      </c>
    </row>
    <row r="4954" spans="1:4" ht="13.05" customHeight="1" x14ac:dyDescent="0.3">
      <c r="A4954" s="2" t="s">
        <v>718</v>
      </c>
      <c r="B4954" s="2" t="s">
        <v>1132</v>
      </c>
      <c r="C4954" s="5" t="s">
        <v>991</v>
      </c>
      <c r="D4954" s="2" t="s">
        <v>6045</v>
      </c>
    </row>
    <row r="4955" spans="1:4" ht="13.05" customHeight="1" x14ac:dyDescent="0.3">
      <c r="A4955" s="2" t="s">
        <v>718</v>
      </c>
      <c r="B4955" s="2" t="s">
        <v>1132</v>
      </c>
      <c r="C4955" s="5" t="s">
        <v>993</v>
      </c>
      <c r="D4955" s="2" t="s">
        <v>6046</v>
      </c>
    </row>
    <row r="4956" spans="1:4" ht="13.05" customHeight="1" x14ac:dyDescent="0.3">
      <c r="A4956" s="2" t="s">
        <v>718</v>
      </c>
      <c r="B4956" s="2" t="s">
        <v>1132</v>
      </c>
      <c r="C4956" s="5" t="s">
        <v>995</v>
      </c>
      <c r="D4956" s="2" t="s">
        <v>6047</v>
      </c>
    </row>
    <row r="4957" spans="1:4" ht="13.05" customHeight="1" x14ac:dyDescent="0.3">
      <c r="A4957" s="2" t="s">
        <v>718</v>
      </c>
      <c r="B4957" s="2" t="s">
        <v>1132</v>
      </c>
      <c r="C4957" s="5" t="s">
        <v>997</v>
      </c>
      <c r="D4957" s="2" t="s">
        <v>6048</v>
      </c>
    </row>
    <row r="4958" spans="1:4" ht="13.05" customHeight="1" x14ac:dyDescent="0.3">
      <c r="A4958" s="2" t="s">
        <v>718</v>
      </c>
      <c r="B4958" s="2" t="s">
        <v>1132</v>
      </c>
      <c r="C4958" s="5" t="s">
        <v>999</v>
      </c>
      <c r="D4958" s="2" t="s">
        <v>6028</v>
      </c>
    </row>
    <row r="4959" spans="1:4" ht="13.05" customHeight="1" x14ac:dyDescent="0.3">
      <c r="A4959" s="2" t="s">
        <v>718</v>
      </c>
      <c r="B4959" s="2" t="s">
        <v>1132</v>
      </c>
      <c r="C4959" s="5" t="s">
        <v>1001</v>
      </c>
      <c r="D4959" s="2" t="s">
        <v>6049</v>
      </c>
    </row>
    <row r="4960" spans="1:4" ht="13.05" customHeight="1" x14ac:dyDescent="0.3">
      <c r="A4960" s="2" t="s">
        <v>718</v>
      </c>
      <c r="B4960" s="2" t="s">
        <v>1132</v>
      </c>
      <c r="C4960" s="5" t="s">
        <v>1003</v>
      </c>
      <c r="D4960" s="2" t="s">
        <v>6030</v>
      </c>
    </row>
    <row r="4961" spans="1:4" ht="13.05" customHeight="1" x14ac:dyDescent="0.3">
      <c r="A4961" s="2" t="s">
        <v>718</v>
      </c>
      <c r="B4961" s="2" t="s">
        <v>1132</v>
      </c>
      <c r="C4961" s="5" t="s">
        <v>1005</v>
      </c>
      <c r="D4961" s="2" t="s">
        <v>6031</v>
      </c>
    </row>
    <row r="4962" spans="1:4" ht="13.05" customHeight="1" x14ac:dyDescent="0.3">
      <c r="A4962" s="2" t="s">
        <v>718</v>
      </c>
      <c r="B4962" s="2" t="s">
        <v>1132</v>
      </c>
      <c r="C4962" s="5" t="s">
        <v>1007</v>
      </c>
      <c r="D4962" s="2" t="s">
        <v>6032</v>
      </c>
    </row>
    <row r="4963" spans="1:4" ht="13.05" customHeight="1" x14ac:dyDescent="0.3">
      <c r="A4963" s="2" t="s">
        <v>718</v>
      </c>
      <c r="B4963" s="2" t="s">
        <v>1132</v>
      </c>
      <c r="C4963" s="5" t="s">
        <v>1009</v>
      </c>
      <c r="D4963" s="2" t="s">
        <v>6033</v>
      </c>
    </row>
    <row r="4964" spans="1:4" ht="13.05" customHeight="1" x14ac:dyDescent="0.3">
      <c r="A4964" s="2" t="s">
        <v>718</v>
      </c>
      <c r="B4964" s="2" t="s">
        <v>1132</v>
      </c>
      <c r="C4964" s="5" t="s">
        <v>1011</v>
      </c>
      <c r="D4964" s="2" t="s">
        <v>6034</v>
      </c>
    </row>
    <row r="4965" spans="1:4" ht="13.05" customHeight="1" x14ac:dyDescent="0.3">
      <c r="A4965" s="2" t="s">
        <v>718</v>
      </c>
      <c r="B4965" s="2" t="s">
        <v>1132</v>
      </c>
      <c r="C4965" s="5" t="s">
        <v>1013</v>
      </c>
      <c r="D4965" s="2" t="s">
        <v>6035</v>
      </c>
    </row>
    <row r="4966" spans="1:4" ht="13.05" customHeight="1" x14ac:dyDescent="0.3">
      <c r="A4966" s="2" t="s">
        <v>718</v>
      </c>
      <c r="B4966" s="2" t="s">
        <v>1132</v>
      </c>
      <c r="C4966" s="5" t="s">
        <v>1155</v>
      </c>
      <c r="D4966" s="2" t="s">
        <v>6036</v>
      </c>
    </row>
    <row r="4967" spans="1:4" ht="13.05" customHeight="1" x14ac:dyDescent="0.3">
      <c r="A4967" s="2" t="s">
        <v>718</v>
      </c>
      <c r="B4967" s="2" t="s">
        <v>1132</v>
      </c>
      <c r="C4967" s="5" t="s">
        <v>983</v>
      </c>
      <c r="D4967" s="2" t="s">
        <v>984</v>
      </c>
    </row>
    <row r="4968" spans="1:4" ht="13.05" customHeight="1" x14ac:dyDescent="0.3">
      <c r="A4968" s="2" t="s">
        <v>720</v>
      </c>
      <c r="B4968" s="2" t="s">
        <v>1132</v>
      </c>
      <c r="C4968" s="5" t="s">
        <v>974</v>
      </c>
      <c r="D4968" s="2" t="s">
        <v>975</v>
      </c>
    </row>
    <row r="4969" spans="1:4" ht="13.05" customHeight="1" x14ac:dyDescent="0.3">
      <c r="A4969" s="2" t="s">
        <v>720</v>
      </c>
      <c r="B4969" s="2" t="s">
        <v>1132</v>
      </c>
      <c r="C4969" s="5" t="s">
        <v>956</v>
      </c>
      <c r="D4969" s="2" t="s">
        <v>957</v>
      </c>
    </row>
    <row r="4970" spans="1:4" ht="13.05" customHeight="1" x14ac:dyDescent="0.3">
      <c r="A4970" s="2" t="s">
        <v>720</v>
      </c>
      <c r="B4970" s="2" t="s">
        <v>1132</v>
      </c>
      <c r="C4970" s="5" t="s">
        <v>958</v>
      </c>
      <c r="D4970" s="2" t="s">
        <v>959</v>
      </c>
    </row>
    <row r="4971" spans="1:4" ht="13.05" customHeight="1" x14ac:dyDescent="0.3">
      <c r="A4971" s="2" t="s">
        <v>720</v>
      </c>
      <c r="B4971" s="2" t="s">
        <v>1132</v>
      </c>
      <c r="C4971" s="5" t="s">
        <v>960</v>
      </c>
      <c r="D4971" s="2" t="s">
        <v>961</v>
      </c>
    </row>
    <row r="4972" spans="1:4" ht="13.05" customHeight="1" x14ac:dyDescent="0.3">
      <c r="A4972" s="2" t="s">
        <v>720</v>
      </c>
      <c r="B4972" s="2" t="s">
        <v>1132</v>
      </c>
      <c r="C4972" s="5" t="s">
        <v>962</v>
      </c>
      <c r="D4972" s="2" t="s">
        <v>827</v>
      </c>
    </row>
    <row r="4973" spans="1:4" ht="13.05" customHeight="1" x14ac:dyDescent="0.3">
      <c r="A4973" s="2" t="s">
        <v>720</v>
      </c>
      <c r="B4973" s="2" t="s">
        <v>1132</v>
      </c>
      <c r="C4973" s="5" t="s">
        <v>964</v>
      </c>
      <c r="D4973" s="2" t="s">
        <v>6041</v>
      </c>
    </row>
    <row r="4974" spans="1:4" ht="13.05" customHeight="1" x14ac:dyDescent="0.3">
      <c r="A4974" s="2" t="s">
        <v>720</v>
      </c>
      <c r="B4974" s="2" t="s">
        <v>1132</v>
      </c>
      <c r="C4974" s="5" t="s">
        <v>966</v>
      </c>
      <c r="D4974" s="2" t="s">
        <v>6069</v>
      </c>
    </row>
    <row r="4975" spans="1:4" ht="13.05" customHeight="1" x14ac:dyDescent="0.3">
      <c r="A4975" s="2" t="s">
        <v>720</v>
      </c>
      <c r="B4975" s="2" t="s">
        <v>1132</v>
      </c>
      <c r="C4975" s="5" t="s">
        <v>968</v>
      </c>
      <c r="D4975" s="2" t="s">
        <v>6021</v>
      </c>
    </row>
    <row r="4976" spans="1:4" ht="13.05" customHeight="1" x14ac:dyDescent="0.3">
      <c r="A4976" s="2" t="s">
        <v>720</v>
      </c>
      <c r="B4976" s="2" t="s">
        <v>1132</v>
      </c>
      <c r="C4976" s="5" t="s">
        <v>970</v>
      </c>
      <c r="D4976" s="2" t="s">
        <v>6042</v>
      </c>
    </row>
    <row r="4977" spans="1:4" ht="13.05" customHeight="1" x14ac:dyDescent="0.3">
      <c r="A4977" s="2" t="s">
        <v>720</v>
      </c>
      <c r="B4977" s="2" t="s">
        <v>1132</v>
      </c>
      <c r="C4977" s="5" t="s">
        <v>972</v>
      </c>
      <c r="D4977" s="2" t="s">
        <v>6043</v>
      </c>
    </row>
    <row r="4978" spans="1:4" ht="13.05" customHeight="1" x14ac:dyDescent="0.3">
      <c r="A4978" s="2" t="s">
        <v>720</v>
      </c>
      <c r="B4978" s="2" t="s">
        <v>1132</v>
      </c>
      <c r="C4978" s="5" t="s">
        <v>981</v>
      </c>
      <c r="D4978" s="2" t="s">
        <v>6044</v>
      </c>
    </row>
    <row r="4979" spans="1:4" ht="13.05" customHeight="1" x14ac:dyDescent="0.3">
      <c r="A4979" s="2" t="s">
        <v>720</v>
      </c>
      <c r="B4979" s="2" t="s">
        <v>1132</v>
      </c>
      <c r="C4979" s="5" t="s">
        <v>991</v>
      </c>
      <c r="D4979" s="2" t="s">
        <v>6045</v>
      </c>
    </row>
    <row r="4980" spans="1:4" ht="13.05" customHeight="1" x14ac:dyDescent="0.3">
      <c r="A4980" s="2" t="s">
        <v>720</v>
      </c>
      <c r="B4980" s="2" t="s">
        <v>1132</v>
      </c>
      <c r="C4980" s="5" t="s">
        <v>993</v>
      </c>
      <c r="D4980" s="2" t="s">
        <v>6046</v>
      </c>
    </row>
    <row r="4981" spans="1:4" ht="13.05" customHeight="1" x14ac:dyDescent="0.3">
      <c r="A4981" s="2" t="s">
        <v>720</v>
      </c>
      <c r="B4981" s="2" t="s">
        <v>1132</v>
      </c>
      <c r="C4981" s="5" t="s">
        <v>995</v>
      </c>
      <c r="D4981" s="2" t="s">
        <v>6047</v>
      </c>
    </row>
    <row r="4982" spans="1:4" ht="13.05" customHeight="1" x14ac:dyDescent="0.3">
      <c r="A4982" s="2" t="s">
        <v>720</v>
      </c>
      <c r="B4982" s="2" t="s">
        <v>1132</v>
      </c>
      <c r="C4982" s="5" t="s">
        <v>997</v>
      </c>
      <c r="D4982" s="2" t="s">
        <v>6048</v>
      </c>
    </row>
    <row r="4983" spans="1:4" ht="13.05" customHeight="1" x14ac:dyDescent="0.3">
      <c r="A4983" s="2" t="s">
        <v>720</v>
      </c>
      <c r="B4983" s="2" t="s">
        <v>1132</v>
      </c>
      <c r="C4983" s="5" t="s">
        <v>999</v>
      </c>
      <c r="D4983" s="2" t="s">
        <v>6028</v>
      </c>
    </row>
    <row r="4984" spans="1:4" ht="13.05" customHeight="1" x14ac:dyDescent="0.3">
      <c r="A4984" s="2" t="s">
        <v>720</v>
      </c>
      <c r="B4984" s="2" t="s">
        <v>1132</v>
      </c>
      <c r="C4984" s="5" t="s">
        <v>1001</v>
      </c>
      <c r="D4984" s="2" t="s">
        <v>6049</v>
      </c>
    </row>
    <row r="4985" spans="1:4" ht="13.05" customHeight="1" x14ac:dyDescent="0.3">
      <c r="A4985" s="2" t="s">
        <v>720</v>
      </c>
      <c r="B4985" s="2" t="s">
        <v>1132</v>
      </c>
      <c r="C4985" s="5" t="s">
        <v>1003</v>
      </c>
      <c r="D4985" s="2" t="s">
        <v>6030</v>
      </c>
    </row>
    <row r="4986" spans="1:4" ht="13.05" customHeight="1" x14ac:dyDescent="0.3">
      <c r="A4986" s="2" t="s">
        <v>720</v>
      </c>
      <c r="B4986" s="2" t="s">
        <v>1132</v>
      </c>
      <c r="C4986" s="5" t="s">
        <v>1005</v>
      </c>
      <c r="D4986" s="2" t="s">
        <v>6031</v>
      </c>
    </row>
    <row r="4987" spans="1:4" ht="13.05" customHeight="1" x14ac:dyDescent="0.3">
      <c r="A4987" s="2" t="s">
        <v>720</v>
      </c>
      <c r="B4987" s="2" t="s">
        <v>1132</v>
      </c>
      <c r="C4987" s="5" t="s">
        <v>1007</v>
      </c>
      <c r="D4987" s="2" t="s">
        <v>6032</v>
      </c>
    </row>
    <row r="4988" spans="1:4" ht="13.05" customHeight="1" x14ac:dyDescent="0.3">
      <c r="A4988" s="2" t="s">
        <v>720</v>
      </c>
      <c r="B4988" s="2" t="s">
        <v>1132</v>
      </c>
      <c r="C4988" s="5" t="s">
        <v>1009</v>
      </c>
      <c r="D4988" s="2" t="s">
        <v>6033</v>
      </c>
    </row>
    <row r="4989" spans="1:4" ht="13.05" customHeight="1" x14ac:dyDescent="0.3">
      <c r="A4989" s="2" t="s">
        <v>720</v>
      </c>
      <c r="B4989" s="2" t="s">
        <v>1132</v>
      </c>
      <c r="C4989" s="5" t="s">
        <v>1011</v>
      </c>
      <c r="D4989" s="2" t="s">
        <v>6034</v>
      </c>
    </row>
    <row r="4990" spans="1:4" ht="13.05" customHeight="1" x14ac:dyDescent="0.3">
      <c r="A4990" s="2" t="s">
        <v>720</v>
      </c>
      <c r="B4990" s="2" t="s">
        <v>1132</v>
      </c>
      <c r="C4990" s="5" t="s">
        <v>1013</v>
      </c>
      <c r="D4990" s="2" t="s">
        <v>6035</v>
      </c>
    </row>
    <row r="4991" spans="1:4" ht="13.05" customHeight="1" x14ac:dyDescent="0.3">
      <c r="A4991" s="2" t="s">
        <v>720</v>
      </c>
      <c r="B4991" s="2" t="s">
        <v>1132</v>
      </c>
      <c r="C4991" s="5" t="s">
        <v>1155</v>
      </c>
      <c r="D4991" s="2" t="s">
        <v>6036</v>
      </c>
    </row>
    <row r="4992" spans="1:4" ht="13.05" customHeight="1" x14ac:dyDescent="0.3">
      <c r="A4992" s="2" t="s">
        <v>720</v>
      </c>
      <c r="B4992" s="2" t="s">
        <v>1132</v>
      </c>
      <c r="C4992" s="5" t="s">
        <v>983</v>
      </c>
      <c r="D4992" s="2" t="s">
        <v>984</v>
      </c>
    </row>
    <row r="4993" spans="1:4" ht="13.05" customHeight="1" x14ac:dyDescent="0.3">
      <c r="A4993" s="2" t="s">
        <v>722</v>
      </c>
      <c r="B4993" s="2" t="s">
        <v>1132</v>
      </c>
      <c r="C4993" s="5" t="s">
        <v>974</v>
      </c>
      <c r="D4993" s="2" t="s">
        <v>975</v>
      </c>
    </row>
    <row r="4994" spans="1:4" ht="13.05" customHeight="1" x14ac:dyDescent="0.3">
      <c r="A4994" s="2" t="s">
        <v>722</v>
      </c>
      <c r="B4994" s="2" t="s">
        <v>1132</v>
      </c>
      <c r="C4994" s="5" t="s">
        <v>956</v>
      </c>
      <c r="D4994" s="2" t="s">
        <v>957</v>
      </c>
    </row>
    <row r="4995" spans="1:4" ht="13.05" customHeight="1" x14ac:dyDescent="0.3">
      <c r="A4995" s="2" t="s">
        <v>722</v>
      </c>
      <c r="B4995" s="2" t="s">
        <v>1132</v>
      </c>
      <c r="C4995" s="5" t="s">
        <v>958</v>
      </c>
      <c r="D4995" s="2" t="s">
        <v>959</v>
      </c>
    </row>
    <row r="4996" spans="1:4" ht="13.05" customHeight="1" x14ac:dyDescent="0.3">
      <c r="A4996" s="2" t="s">
        <v>722</v>
      </c>
      <c r="B4996" s="2" t="s">
        <v>1132</v>
      </c>
      <c r="C4996" s="5" t="s">
        <v>960</v>
      </c>
      <c r="D4996" s="2" t="s">
        <v>961</v>
      </c>
    </row>
    <row r="4997" spans="1:4" ht="13.05" customHeight="1" x14ac:dyDescent="0.3">
      <c r="A4997" s="2" t="s">
        <v>722</v>
      </c>
      <c r="B4997" s="2" t="s">
        <v>1132</v>
      </c>
      <c r="C4997" s="5" t="s">
        <v>962</v>
      </c>
      <c r="D4997" s="2" t="s">
        <v>827</v>
      </c>
    </row>
    <row r="4998" spans="1:4" ht="13.05" customHeight="1" x14ac:dyDescent="0.3">
      <c r="A4998" s="2" t="s">
        <v>722</v>
      </c>
      <c r="B4998" s="2" t="s">
        <v>1132</v>
      </c>
      <c r="C4998" s="5" t="s">
        <v>964</v>
      </c>
      <c r="D4998" s="2" t="s">
        <v>6041</v>
      </c>
    </row>
    <row r="4999" spans="1:4" ht="13.05" customHeight="1" x14ac:dyDescent="0.3">
      <c r="A4999" s="2" t="s">
        <v>722</v>
      </c>
      <c r="B4999" s="2" t="s">
        <v>1132</v>
      </c>
      <c r="C4999" s="5" t="s">
        <v>966</v>
      </c>
      <c r="D4999" s="2" t="s">
        <v>6069</v>
      </c>
    </row>
    <row r="5000" spans="1:4" ht="13.05" customHeight="1" x14ac:dyDescent="0.3">
      <c r="A5000" s="2" t="s">
        <v>722</v>
      </c>
      <c r="B5000" s="2" t="s">
        <v>1132</v>
      </c>
      <c r="C5000" s="5" t="s">
        <v>968</v>
      </c>
      <c r="D5000" s="2" t="s">
        <v>6021</v>
      </c>
    </row>
    <row r="5001" spans="1:4" ht="13.05" customHeight="1" x14ac:dyDescent="0.3">
      <c r="A5001" s="2" t="s">
        <v>722</v>
      </c>
      <c r="B5001" s="2" t="s">
        <v>1132</v>
      </c>
      <c r="C5001" s="5" t="s">
        <v>970</v>
      </c>
      <c r="D5001" s="2" t="s">
        <v>6042</v>
      </c>
    </row>
    <row r="5002" spans="1:4" ht="13.05" customHeight="1" x14ac:dyDescent="0.3">
      <c r="A5002" s="2" t="s">
        <v>722</v>
      </c>
      <c r="B5002" s="2" t="s">
        <v>1132</v>
      </c>
      <c r="C5002" s="5" t="s">
        <v>972</v>
      </c>
      <c r="D5002" s="2" t="s">
        <v>6043</v>
      </c>
    </row>
    <row r="5003" spans="1:4" ht="13.05" customHeight="1" x14ac:dyDescent="0.3">
      <c r="A5003" s="2" t="s">
        <v>722</v>
      </c>
      <c r="B5003" s="2" t="s">
        <v>1132</v>
      </c>
      <c r="C5003" s="5" t="s">
        <v>981</v>
      </c>
      <c r="D5003" s="2" t="s">
        <v>6044</v>
      </c>
    </row>
    <row r="5004" spans="1:4" ht="13.05" customHeight="1" x14ac:dyDescent="0.3">
      <c r="A5004" s="2" t="s">
        <v>722</v>
      </c>
      <c r="B5004" s="2" t="s">
        <v>1132</v>
      </c>
      <c r="C5004" s="5" t="s">
        <v>991</v>
      </c>
      <c r="D5004" s="2" t="s">
        <v>6045</v>
      </c>
    </row>
    <row r="5005" spans="1:4" ht="13.05" customHeight="1" x14ac:dyDescent="0.3">
      <c r="A5005" s="2" t="s">
        <v>722</v>
      </c>
      <c r="B5005" s="2" t="s">
        <v>1132</v>
      </c>
      <c r="C5005" s="5" t="s">
        <v>993</v>
      </c>
      <c r="D5005" s="2" t="s">
        <v>6046</v>
      </c>
    </row>
    <row r="5006" spans="1:4" ht="13.05" customHeight="1" x14ac:dyDescent="0.3">
      <c r="A5006" s="2" t="s">
        <v>722</v>
      </c>
      <c r="B5006" s="2" t="s">
        <v>1132</v>
      </c>
      <c r="C5006" s="5" t="s">
        <v>995</v>
      </c>
      <c r="D5006" s="2" t="s">
        <v>6047</v>
      </c>
    </row>
    <row r="5007" spans="1:4" ht="13.05" customHeight="1" x14ac:dyDescent="0.3">
      <c r="A5007" s="2" t="s">
        <v>722</v>
      </c>
      <c r="B5007" s="2" t="s">
        <v>1132</v>
      </c>
      <c r="C5007" s="5" t="s">
        <v>997</v>
      </c>
      <c r="D5007" s="2" t="s">
        <v>6048</v>
      </c>
    </row>
    <row r="5008" spans="1:4" ht="13.05" customHeight="1" x14ac:dyDescent="0.3">
      <c r="A5008" s="2" t="s">
        <v>722</v>
      </c>
      <c r="B5008" s="2" t="s">
        <v>1132</v>
      </c>
      <c r="C5008" s="5" t="s">
        <v>999</v>
      </c>
      <c r="D5008" s="2" t="s">
        <v>6028</v>
      </c>
    </row>
    <row r="5009" spans="1:4" ht="13.05" customHeight="1" x14ac:dyDescent="0.3">
      <c r="A5009" s="2" t="s">
        <v>722</v>
      </c>
      <c r="B5009" s="2" t="s">
        <v>1132</v>
      </c>
      <c r="C5009" s="5" t="s">
        <v>1001</v>
      </c>
      <c r="D5009" s="2" t="s">
        <v>6049</v>
      </c>
    </row>
    <row r="5010" spans="1:4" ht="13.05" customHeight="1" x14ac:dyDescent="0.3">
      <c r="A5010" s="2" t="s">
        <v>722</v>
      </c>
      <c r="B5010" s="2" t="s">
        <v>1132</v>
      </c>
      <c r="C5010" s="5" t="s">
        <v>1003</v>
      </c>
      <c r="D5010" s="2" t="s">
        <v>6030</v>
      </c>
    </row>
    <row r="5011" spans="1:4" ht="13.05" customHeight="1" x14ac:dyDescent="0.3">
      <c r="A5011" s="2" t="s">
        <v>722</v>
      </c>
      <c r="B5011" s="2" t="s">
        <v>1132</v>
      </c>
      <c r="C5011" s="5" t="s">
        <v>1005</v>
      </c>
      <c r="D5011" s="2" t="s">
        <v>6031</v>
      </c>
    </row>
    <row r="5012" spans="1:4" ht="13.05" customHeight="1" x14ac:dyDescent="0.3">
      <c r="A5012" s="2" t="s">
        <v>722</v>
      </c>
      <c r="B5012" s="2" t="s">
        <v>1132</v>
      </c>
      <c r="C5012" s="5" t="s">
        <v>1007</v>
      </c>
      <c r="D5012" s="2" t="s">
        <v>6032</v>
      </c>
    </row>
    <row r="5013" spans="1:4" ht="13.05" customHeight="1" x14ac:dyDescent="0.3">
      <c r="A5013" s="2" t="s">
        <v>722</v>
      </c>
      <c r="B5013" s="2" t="s">
        <v>1132</v>
      </c>
      <c r="C5013" s="5" t="s">
        <v>1009</v>
      </c>
      <c r="D5013" s="2" t="s">
        <v>6033</v>
      </c>
    </row>
    <row r="5014" spans="1:4" ht="13.05" customHeight="1" x14ac:dyDescent="0.3">
      <c r="A5014" s="2" t="s">
        <v>722</v>
      </c>
      <c r="B5014" s="2" t="s">
        <v>1132</v>
      </c>
      <c r="C5014" s="5" t="s">
        <v>1011</v>
      </c>
      <c r="D5014" s="2" t="s">
        <v>6034</v>
      </c>
    </row>
    <row r="5015" spans="1:4" ht="13.05" customHeight="1" x14ac:dyDescent="0.3">
      <c r="A5015" s="2" t="s">
        <v>722</v>
      </c>
      <c r="B5015" s="2" t="s">
        <v>1132</v>
      </c>
      <c r="C5015" s="5" t="s">
        <v>1013</v>
      </c>
      <c r="D5015" s="2" t="s">
        <v>6035</v>
      </c>
    </row>
    <row r="5016" spans="1:4" ht="13.05" customHeight="1" x14ac:dyDescent="0.3">
      <c r="A5016" s="2" t="s">
        <v>722</v>
      </c>
      <c r="B5016" s="2" t="s">
        <v>1132</v>
      </c>
      <c r="C5016" s="5" t="s">
        <v>1155</v>
      </c>
      <c r="D5016" s="2" t="s">
        <v>6036</v>
      </c>
    </row>
    <row r="5017" spans="1:4" ht="13.05" customHeight="1" x14ac:dyDescent="0.3">
      <c r="A5017" s="2" t="s">
        <v>722</v>
      </c>
      <c r="B5017" s="2" t="s">
        <v>1132</v>
      </c>
      <c r="C5017" s="5" t="s">
        <v>983</v>
      </c>
      <c r="D5017" s="2" t="s">
        <v>984</v>
      </c>
    </row>
    <row r="5018" spans="1:4" ht="13.05" customHeight="1" x14ac:dyDescent="0.3">
      <c r="A5018" s="2" t="s">
        <v>724</v>
      </c>
      <c r="B5018" s="2" t="s">
        <v>1132</v>
      </c>
      <c r="C5018" s="5" t="s">
        <v>974</v>
      </c>
      <c r="D5018" s="2" t="s">
        <v>975</v>
      </c>
    </row>
    <row r="5019" spans="1:4" ht="13.05" customHeight="1" x14ac:dyDescent="0.3">
      <c r="A5019" s="2" t="s">
        <v>724</v>
      </c>
      <c r="B5019" s="2" t="s">
        <v>1132</v>
      </c>
      <c r="C5019" s="5" t="s">
        <v>956</v>
      </c>
      <c r="D5019" s="2" t="s">
        <v>957</v>
      </c>
    </row>
    <row r="5020" spans="1:4" ht="13.05" customHeight="1" x14ac:dyDescent="0.3">
      <c r="A5020" s="2" t="s">
        <v>724</v>
      </c>
      <c r="B5020" s="2" t="s">
        <v>1132</v>
      </c>
      <c r="C5020" s="5" t="s">
        <v>958</v>
      </c>
      <c r="D5020" s="2" t="s">
        <v>959</v>
      </c>
    </row>
    <row r="5021" spans="1:4" ht="13.05" customHeight="1" x14ac:dyDescent="0.3">
      <c r="A5021" s="2" t="s">
        <v>724</v>
      </c>
      <c r="B5021" s="2" t="s">
        <v>1132</v>
      </c>
      <c r="C5021" s="5" t="s">
        <v>960</v>
      </c>
      <c r="D5021" s="2" t="s">
        <v>961</v>
      </c>
    </row>
    <row r="5022" spans="1:4" ht="13.05" customHeight="1" x14ac:dyDescent="0.3">
      <c r="A5022" s="2" t="s">
        <v>724</v>
      </c>
      <c r="B5022" s="2" t="s">
        <v>1132</v>
      </c>
      <c r="C5022" s="5" t="s">
        <v>962</v>
      </c>
      <c r="D5022" s="2" t="s">
        <v>827</v>
      </c>
    </row>
    <row r="5023" spans="1:4" ht="13.05" customHeight="1" x14ac:dyDescent="0.3">
      <c r="A5023" s="2" t="s">
        <v>724</v>
      </c>
      <c r="B5023" s="2" t="s">
        <v>1132</v>
      </c>
      <c r="C5023" s="5" t="s">
        <v>964</v>
      </c>
      <c r="D5023" s="2" t="s">
        <v>6041</v>
      </c>
    </row>
    <row r="5024" spans="1:4" ht="13.05" customHeight="1" x14ac:dyDescent="0.3">
      <c r="A5024" s="2" t="s">
        <v>724</v>
      </c>
      <c r="B5024" s="2" t="s">
        <v>1132</v>
      </c>
      <c r="C5024" s="5" t="s">
        <v>966</v>
      </c>
      <c r="D5024" s="2" t="s">
        <v>6069</v>
      </c>
    </row>
    <row r="5025" spans="1:4" ht="13.05" customHeight="1" x14ac:dyDescent="0.3">
      <c r="A5025" s="2" t="s">
        <v>724</v>
      </c>
      <c r="B5025" s="2" t="s">
        <v>1132</v>
      </c>
      <c r="C5025" s="5" t="s">
        <v>968</v>
      </c>
      <c r="D5025" s="2" t="s">
        <v>6021</v>
      </c>
    </row>
    <row r="5026" spans="1:4" ht="13.05" customHeight="1" x14ac:dyDescent="0.3">
      <c r="A5026" s="2" t="s">
        <v>724</v>
      </c>
      <c r="B5026" s="2" t="s">
        <v>1132</v>
      </c>
      <c r="C5026" s="5" t="s">
        <v>970</v>
      </c>
      <c r="D5026" s="2" t="s">
        <v>6042</v>
      </c>
    </row>
    <row r="5027" spans="1:4" ht="13.05" customHeight="1" x14ac:dyDescent="0.3">
      <c r="A5027" s="2" t="s">
        <v>724</v>
      </c>
      <c r="B5027" s="2" t="s">
        <v>1132</v>
      </c>
      <c r="C5027" s="5" t="s">
        <v>972</v>
      </c>
      <c r="D5027" s="2" t="s">
        <v>6043</v>
      </c>
    </row>
    <row r="5028" spans="1:4" ht="13.05" customHeight="1" x14ac:dyDescent="0.3">
      <c r="A5028" s="2" t="s">
        <v>724</v>
      </c>
      <c r="B5028" s="2" t="s">
        <v>1132</v>
      </c>
      <c r="C5028" s="5" t="s">
        <v>981</v>
      </c>
      <c r="D5028" s="2" t="s">
        <v>6044</v>
      </c>
    </row>
    <row r="5029" spans="1:4" ht="13.05" customHeight="1" x14ac:dyDescent="0.3">
      <c r="A5029" s="2" t="s">
        <v>724</v>
      </c>
      <c r="B5029" s="2" t="s">
        <v>1132</v>
      </c>
      <c r="C5029" s="5" t="s">
        <v>991</v>
      </c>
      <c r="D5029" s="2" t="s">
        <v>6045</v>
      </c>
    </row>
    <row r="5030" spans="1:4" ht="13.05" customHeight="1" x14ac:dyDescent="0.3">
      <c r="A5030" s="2" t="s">
        <v>724</v>
      </c>
      <c r="B5030" s="2" t="s">
        <v>1132</v>
      </c>
      <c r="C5030" s="5" t="s">
        <v>993</v>
      </c>
      <c r="D5030" s="2" t="s">
        <v>6046</v>
      </c>
    </row>
    <row r="5031" spans="1:4" ht="13.05" customHeight="1" x14ac:dyDescent="0.3">
      <c r="A5031" s="2" t="s">
        <v>724</v>
      </c>
      <c r="B5031" s="2" t="s">
        <v>1132</v>
      </c>
      <c r="C5031" s="5" t="s">
        <v>995</v>
      </c>
      <c r="D5031" s="2" t="s">
        <v>6047</v>
      </c>
    </row>
    <row r="5032" spans="1:4" ht="13.05" customHeight="1" x14ac:dyDescent="0.3">
      <c r="A5032" s="2" t="s">
        <v>724</v>
      </c>
      <c r="B5032" s="2" t="s">
        <v>1132</v>
      </c>
      <c r="C5032" s="5" t="s">
        <v>997</v>
      </c>
      <c r="D5032" s="2" t="s">
        <v>6048</v>
      </c>
    </row>
    <row r="5033" spans="1:4" ht="13.05" customHeight="1" x14ac:dyDescent="0.3">
      <c r="A5033" s="2" t="s">
        <v>724</v>
      </c>
      <c r="B5033" s="2" t="s">
        <v>1132</v>
      </c>
      <c r="C5033" s="5" t="s">
        <v>999</v>
      </c>
      <c r="D5033" s="2" t="s">
        <v>6028</v>
      </c>
    </row>
    <row r="5034" spans="1:4" ht="13.05" customHeight="1" x14ac:dyDescent="0.3">
      <c r="A5034" s="2" t="s">
        <v>724</v>
      </c>
      <c r="B5034" s="2" t="s">
        <v>1132</v>
      </c>
      <c r="C5034" s="5" t="s">
        <v>1001</v>
      </c>
      <c r="D5034" s="2" t="s">
        <v>6049</v>
      </c>
    </row>
    <row r="5035" spans="1:4" ht="13.05" customHeight="1" x14ac:dyDescent="0.3">
      <c r="A5035" s="2" t="s">
        <v>724</v>
      </c>
      <c r="B5035" s="2" t="s">
        <v>1132</v>
      </c>
      <c r="C5035" s="5" t="s">
        <v>1003</v>
      </c>
      <c r="D5035" s="2" t="s">
        <v>6030</v>
      </c>
    </row>
    <row r="5036" spans="1:4" ht="13.05" customHeight="1" x14ac:dyDescent="0.3">
      <c r="A5036" s="2" t="s">
        <v>724</v>
      </c>
      <c r="B5036" s="2" t="s">
        <v>1132</v>
      </c>
      <c r="C5036" s="5" t="s">
        <v>1005</v>
      </c>
      <c r="D5036" s="2" t="s">
        <v>6031</v>
      </c>
    </row>
    <row r="5037" spans="1:4" ht="13.05" customHeight="1" x14ac:dyDescent="0.3">
      <c r="A5037" s="2" t="s">
        <v>724</v>
      </c>
      <c r="B5037" s="2" t="s">
        <v>1132</v>
      </c>
      <c r="C5037" s="5" t="s">
        <v>1007</v>
      </c>
      <c r="D5037" s="2" t="s">
        <v>6032</v>
      </c>
    </row>
    <row r="5038" spans="1:4" ht="13.05" customHeight="1" x14ac:dyDescent="0.3">
      <c r="A5038" s="2" t="s">
        <v>724</v>
      </c>
      <c r="B5038" s="2" t="s">
        <v>1132</v>
      </c>
      <c r="C5038" s="5" t="s">
        <v>1009</v>
      </c>
      <c r="D5038" s="2" t="s">
        <v>6033</v>
      </c>
    </row>
    <row r="5039" spans="1:4" ht="13.05" customHeight="1" x14ac:dyDescent="0.3">
      <c r="A5039" s="2" t="s">
        <v>724</v>
      </c>
      <c r="B5039" s="2" t="s">
        <v>1132</v>
      </c>
      <c r="C5039" s="5" t="s">
        <v>1011</v>
      </c>
      <c r="D5039" s="2" t="s">
        <v>6034</v>
      </c>
    </row>
    <row r="5040" spans="1:4" ht="13.05" customHeight="1" x14ac:dyDescent="0.3">
      <c r="A5040" s="2" t="s">
        <v>724</v>
      </c>
      <c r="B5040" s="2" t="s">
        <v>1132</v>
      </c>
      <c r="C5040" s="5" t="s">
        <v>1013</v>
      </c>
      <c r="D5040" s="2" t="s">
        <v>6035</v>
      </c>
    </row>
    <row r="5041" spans="1:4" ht="13.05" customHeight="1" x14ac:dyDescent="0.3">
      <c r="A5041" s="2" t="s">
        <v>724</v>
      </c>
      <c r="B5041" s="2" t="s">
        <v>1132</v>
      </c>
      <c r="C5041" s="5" t="s">
        <v>1155</v>
      </c>
      <c r="D5041" s="2" t="s">
        <v>6036</v>
      </c>
    </row>
    <row r="5042" spans="1:4" ht="13.05" customHeight="1" x14ac:dyDescent="0.3">
      <c r="A5042" s="2" t="s">
        <v>724</v>
      </c>
      <c r="B5042" s="2" t="s">
        <v>1132</v>
      </c>
      <c r="C5042" s="5" t="s">
        <v>983</v>
      </c>
      <c r="D5042" s="2" t="s">
        <v>984</v>
      </c>
    </row>
    <row r="5043" spans="1:4" ht="13.05" customHeight="1" x14ac:dyDescent="0.3">
      <c r="A5043" s="2" t="s">
        <v>726</v>
      </c>
      <c r="B5043" s="2" t="s">
        <v>1132</v>
      </c>
      <c r="C5043" s="5" t="s">
        <v>974</v>
      </c>
      <c r="D5043" s="2" t="s">
        <v>975</v>
      </c>
    </row>
    <row r="5044" spans="1:4" ht="13.05" customHeight="1" x14ac:dyDescent="0.3">
      <c r="A5044" s="2" t="s">
        <v>726</v>
      </c>
      <c r="B5044" s="2" t="s">
        <v>1132</v>
      </c>
      <c r="C5044" s="5" t="s">
        <v>956</v>
      </c>
      <c r="D5044" s="2" t="s">
        <v>957</v>
      </c>
    </row>
    <row r="5045" spans="1:4" ht="13.05" customHeight="1" x14ac:dyDescent="0.3">
      <c r="A5045" s="2" t="s">
        <v>726</v>
      </c>
      <c r="B5045" s="2" t="s">
        <v>1132</v>
      </c>
      <c r="C5045" s="5" t="s">
        <v>958</v>
      </c>
      <c r="D5045" s="2" t="s">
        <v>959</v>
      </c>
    </row>
    <row r="5046" spans="1:4" ht="13.05" customHeight="1" x14ac:dyDescent="0.3">
      <c r="A5046" s="2" t="s">
        <v>726</v>
      </c>
      <c r="B5046" s="2" t="s">
        <v>1132</v>
      </c>
      <c r="C5046" s="5" t="s">
        <v>960</v>
      </c>
      <c r="D5046" s="2" t="s">
        <v>961</v>
      </c>
    </row>
    <row r="5047" spans="1:4" ht="13.05" customHeight="1" x14ac:dyDescent="0.3">
      <c r="A5047" s="2" t="s">
        <v>726</v>
      </c>
      <c r="B5047" s="2" t="s">
        <v>1132</v>
      </c>
      <c r="C5047" s="5" t="s">
        <v>962</v>
      </c>
      <c r="D5047" s="2" t="s">
        <v>827</v>
      </c>
    </row>
    <row r="5048" spans="1:4" ht="13.05" customHeight="1" x14ac:dyDescent="0.3">
      <c r="A5048" s="2" t="s">
        <v>726</v>
      </c>
      <c r="B5048" s="2" t="s">
        <v>1132</v>
      </c>
      <c r="C5048" s="5" t="s">
        <v>964</v>
      </c>
      <c r="D5048" s="2" t="s">
        <v>6041</v>
      </c>
    </row>
    <row r="5049" spans="1:4" ht="13.05" customHeight="1" x14ac:dyDescent="0.3">
      <c r="A5049" s="2" t="s">
        <v>726</v>
      </c>
      <c r="B5049" s="2" t="s">
        <v>1132</v>
      </c>
      <c r="C5049" s="5" t="s">
        <v>966</v>
      </c>
      <c r="D5049" s="2" t="s">
        <v>6069</v>
      </c>
    </row>
    <row r="5050" spans="1:4" ht="13.05" customHeight="1" x14ac:dyDescent="0.3">
      <c r="A5050" s="2" t="s">
        <v>726</v>
      </c>
      <c r="B5050" s="2" t="s">
        <v>1132</v>
      </c>
      <c r="C5050" s="5" t="s">
        <v>968</v>
      </c>
      <c r="D5050" s="2" t="s">
        <v>6021</v>
      </c>
    </row>
    <row r="5051" spans="1:4" ht="13.05" customHeight="1" x14ac:dyDescent="0.3">
      <c r="A5051" s="2" t="s">
        <v>726</v>
      </c>
      <c r="B5051" s="2" t="s">
        <v>1132</v>
      </c>
      <c r="C5051" s="5" t="s">
        <v>970</v>
      </c>
      <c r="D5051" s="2" t="s">
        <v>6042</v>
      </c>
    </row>
    <row r="5052" spans="1:4" ht="13.05" customHeight="1" x14ac:dyDescent="0.3">
      <c r="A5052" s="2" t="s">
        <v>726</v>
      </c>
      <c r="B5052" s="2" t="s">
        <v>1132</v>
      </c>
      <c r="C5052" s="5" t="s">
        <v>972</v>
      </c>
      <c r="D5052" s="2" t="s">
        <v>6043</v>
      </c>
    </row>
    <row r="5053" spans="1:4" ht="13.05" customHeight="1" x14ac:dyDescent="0.3">
      <c r="A5053" s="2" t="s">
        <v>726</v>
      </c>
      <c r="B5053" s="2" t="s">
        <v>1132</v>
      </c>
      <c r="C5053" s="5" t="s">
        <v>981</v>
      </c>
      <c r="D5053" s="2" t="s">
        <v>6044</v>
      </c>
    </row>
    <row r="5054" spans="1:4" ht="13.05" customHeight="1" x14ac:dyDescent="0.3">
      <c r="A5054" s="2" t="s">
        <v>726</v>
      </c>
      <c r="B5054" s="2" t="s">
        <v>1132</v>
      </c>
      <c r="C5054" s="5" t="s">
        <v>991</v>
      </c>
      <c r="D5054" s="2" t="s">
        <v>6045</v>
      </c>
    </row>
    <row r="5055" spans="1:4" ht="13.05" customHeight="1" x14ac:dyDescent="0.3">
      <c r="A5055" s="2" t="s">
        <v>726</v>
      </c>
      <c r="B5055" s="2" t="s">
        <v>1132</v>
      </c>
      <c r="C5055" s="5" t="s">
        <v>993</v>
      </c>
      <c r="D5055" s="2" t="s">
        <v>6046</v>
      </c>
    </row>
    <row r="5056" spans="1:4" ht="13.05" customHeight="1" x14ac:dyDescent="0.3">
      <c r="A5056" s="2" t="s">
        <v>726</v>
      </c>
      <c r="B5056" s="2" t="s">
        <v>1132</v>
      </c>
      <c r="C5056" s="5" t="s">
        <v>995</v>
      </c>
      <c r="D5056" s="2" t="s">
        <v>6047</v>
      </c>
    </row>
    <row r="5057" spans="1:4" ht="13.05" customHeight="1" x14ac:dyDescent="0.3">
      <c r="A5057" s="2" t="s">
        <v>726</v>
      </c>
      <c r="B5057" s="2" t="s">
        <v>1132</v>
      </c>
      <c r="C5057" s="5" t="s">
        <v>997</v>
      </c>
      <c r="D5057" s="2" t="s">
        <v>6048</v>
      </c>
    </row>
    <row r="5058" spans="1:4" ht="13.05" customHeight="1" x14ac:dyDescent="0.3">
      <c r="A5058" s="2" t="s">
        <v>726</v>
      </c>
      <c r="B5058" s="2" t="s">
        <v>1132</v>
      </c>
      <c r="C5058" s="5" t="s">
        <v>999</v>
      </c>
      <c r="D5058" s="2" t="s">
        <v>6028</v>
      </c>
    </row>
    <row r="5059" spans="1:4" ht="13.05" customHeight="1" x14ac:dyDescent="0.3">
      <c r="A5059" s="2" t="s">
        <v>726</v>
      </c>
      <c r="B5059" s="2" t="s">
        <v>1132</v>
      </c>
      <c r="C5059" s="5" t="s">
        <v>1001</v>
      </c>
      <c r="D5059" s="2" t="s">
        <v>6049</v>
      </c>
    </row>
    <row r="5060" spans="1:4" ht="13.05" customHeight="1" x14ac:dyDescent="0.3">
      <c r="A5060" s="2" t="s">
        <v>726</v>
      </c>
      <c r="B5060" s="2" t="s">
        <v>1132</v>
      </c>
      <c r="C5060" s="5" t="s">
        <v>1003</v>
      </c>
      <c r="D5060" s="2" t="s">
        <v>6030</v>
      </c>
    </row>
    <row r="5061" spans="1:4" ht="13.05" customHeight="1" x14ac:dyDescent="0.3">
      <c r="A5061" s="2" t="s">
        <v>726</v>
      </c>
      <c r="B5061" s="2" t="s">
        <v>1132</v>
      </c>
      <c r="C5061" s="5" t="s">
        <v>1005</v>
      </c>
      <c r="D5061" s="2" t="s">
        <v>6031</v>
      </c>
    </row>
    <row r="5062" spans="1:4" ht="13.05" customHeight="1" x14ac:dyDescent="0.3">
      <c r="A5062" s="2" t="s">
        <v>726</v>
      </c>
      <c r="B5062" s="2" t="s">
        <v>1132</v>
      </c>
      <c r="C5062" s="5" t="s">
        <v>1007</v>
      </c>
      <c r="D5062" s="2" t="s">
        <v>6032</v>
      </c>
    </row>
    <row r="5063" spans="1:4" ht="13.05" customHeight="1" x14ac:dyDescent="0.3">
      <c r="A5063" s="2" t="s">
        <v>726</v>
      </c>
      <c r="B5063" s="2" t="s">
        <v>1132</v>
      </c>
      <c r="C5063" s="5" t="s">
        <v>1009</v>
      </c>
      <c r="D5063" s="2" t="s">
        <v>6033</v>
      </c>
    </row>
    <row r="5064" spans="1:4" ht="13.05" customHeight="1" x14ac:dyDescent="0.3">
      <c r="A5064" s="2" t="s">
        <v>726</v>
      </c>
      <c r="B5064" s="2" t="s">
        <v>1132</v>
      </c>
      <c r="C5064" s="5" t="s">
        <v>1011</v>
      </c>
      <c r="D5064" s="2" t="s">
        <v>6034</v>
      </c>
    </row>
    <row r="5065" spans="1:4" ht="13.05" customHeight="1" x14ac:dyDescent="0.3">
      <c r="A5065" s="2" t="s">
        <v>726</v>
      </c>
      <c r="B5065" s="2" t="s">
        <v>1132</v>
      </c>
      <c r="C5065" s="5" t="s">
        <v>1013</v>
      </c>
      <c r="D5065" s="2" t="s">
        <v>6035</v>
      </c>
    </row>
    <row r="5066" spans="1:4" ht="13.05" customHeight="1" x14ac:dyDescent="0.3">
      <c r="A5066" s="2" t="s">
        <v>726</v>
      </c>
      <c r="B5066" s="2" t="s">
        <v>1132</v>
      </c>
      <c r="C5066" s="5" t="s">
        <v>1155</v>
      </c>
      <c r="D5066" s="2" t="s">
        <v>6036</v>
      </c>
    </row>
    <row r="5067" spans="1:4" ht="13.05" customHeight="1" x14ac:dyDescent="0.3">
      <c r="A5067" s="2" t="s">
        <v>726</v>
      </c>
      <c r="B5067" s="2" t="s">
        <v>1132</v>
      </c>
      <c r="C5067" s="5" t="s">
        <v>983</v>
      </c>
      <c r="D5067" s="2" t="s">
        <v>984</v>
      </c>
    </row>
    <row r="5068" spans="1:4" ht="13.05" customHeight="1" x14ac:dyDescent="0.3">
      <c r="A5068" s="2" t="s">
        <v>728</v>
      </c>
      <c r="B5068" s="2" t="s">
        <v>1132</v>
      </c>
      <c r="C5068" s="5" t="s">
        <v>974</v>
      </c>
      <c r="D5068" s="2" t="s">
        <v>975</v>
      </c>
    </row>
    <row r="5069" spans="1:4" ht="13.05" customHeight="1" x14ac:dyDescent="0.3">
      <c r="A5069" s="2" t="s">
        <v>728</v>
      </c>
      <c r="B5069" s="2" t="s">
        <v>1132</v>
      </c>
      <c r="C5069" s="5" t="s">
        <v>956</v>
      </c>
      <c r="D5069" s="2" t="s">
        <v>957</v>
      </c>
    </row>
    <row r="5070" spans="1:4" ht="13.05" customHeight="1" x14ac:dyDescent="0.3">
      <c r="A5070" s="2" t="s">
        <v>728</v>
      </c>
      <c r="B5070" s="2" t="s">
        <v>1132</v>
      </c>
      <c r="C5070" s="5" t="s">
        <v>958</v>
      </c>
      <c r="D5070" s="2" t="s">
        <v>959</v>
      </c>
    </row>
    <row r="5071" spans="1:4" ht="13.05" customHeight="1" x14ac:dyDescent="0.3">
      <c r="A5071" s="2" t="s">
        <v>728</v>
      </c>
      <c r="B5071" s="2" t="s">
        <v>1132</v>
      </c>
      <c r="C5071" s="5" t="s">
        <v>960</v>
      </c>
      <c r="D5071" s="2" t="s">
        <v>961</v>
      </c>
    </row>
    <row r="5072" spans="1:4" ht="13.05" customHeight="1" x14ac:dyDescent="0.3">
      <c r="A5072" s="2" t="s">
        <v>728</v>
      </c>
      <c r="B5072" s="2" t="s">
        <v>1132</v>
      </c>
      <c r="C5072" s="5" t="s">
        <v>962</v>
      </c>
      <c r="D5072" s="2" t="s">
        <v>827</v>
      </c>
    </row>
    <row r="5073" spans="1:4" ht="13.05" customHeight="1" x14ac:dyDescent="0.3">
      <c r="A5073" s="2" t="s">
        <v>728</v>
      </c>
      <c r="B5073" s="2" t="s">
        <v>1132</v>
      </c>
      <c r="C5073" s="5" t="s">
        <v>964</v>
      </c>
      <c r="D5073" s="2" t="s">
        <v>6041</v>
      </c>
    </row>
    <row r="5074" spans="1:4" ht="13.05" customHeight="1" x14ac:dyDescent="0.3">
      <c r="A5074" s="2" t="s">
        <v>728</v>
      </c>
      <c r="B5074" s="2" t="s">
        <v>1132</v>
      </c>
      <c r="C5074" s="5" t="s">
        <v>966</v>
      </c>
      <c r="D5074" s="2" t="s">
        <v>6069</v>
      </c>
    </row>
    <row r="5075" spans="1:4" ht="13.05" customHeight="1" x14ac:dyDescent="0.3">
      <c r="A5075" s="2" t="s">
        <v>728</v>
      </c>
      <c r="B5075" s="2" t="s">
        <v>1132</v>
      </c>
      <c r="C5075" s="5" t="s">
        <v>968</v>
      </c>
      <c r="D5075" s="2" t="s">
        <v>6021</v>
      </c>
    </row>
    <row r="5076" spans="1:4" ht="13.05" customHeight="1" x14ac:dyDescent="0.3">
      <c r="A5076" s="2" t="s">
        <v>728</v>
      </c>
      <c r="B5076" s="2" t="s">
        <v>1132</v>
      </c>
      <c r="C5076" s="5" t="s">
        <v>970</v>
      </c>
      <c r="D5076" s="2" t="s">
        <v>6042</v>
      </c>
    </row>
    <row r="5077" spans="1:4" ht="13.05" customHeight="1" x14ac:dyDescent="0.3">
      <c r="A5077" s="2" t="s">
        <v>728</v>
      </c>
      <c r="B5077" s="2" t="s">
        <v>1132</v>
      </c>
      <c r="C5077" s="5" t="s">
        <v>972</v>
      </c>
      <c r="D5077" s="2" t="s">
        <v>6043</v>
      </c>
    </row>
    <row r="5078" spans="1:4" ht="13.05" customHeight="1" x14ac:dyDescent="0.3">
      <c r="A5078" s="2" t="s">
        <v>728</v>
      </c>
      <c r="B5078" s="2" t="s">
        <v>1132</v>
      </c>
      <c r="C5078" s="5" t="s">
        <v>981</v>
      </c>
      <c r="D5078" s="2" t="s">
        <v>6044</v>
      </c>
    </row>
    <row r="5079" spans="1:4" ht="13.05" customHeight="1" x14ac:dyDescent="0.3">
      <c r="A5079" s="2" t="s">
        <v>728</v>
      </c>
      <c r="B5079" s="2" t="s">
        <v>1132</v>
      </c>
      <c r="C5079" s="5" t="s">
        <v>991</v>
      </c>
      <c r="D5079" s="2" t="s">
        <v>6045</v>
      </c>
    </row>
    <row r="5080" spans="1:4" ht="13.05" customHeight="1" x14ac:dyDescent="0.3">
      <c r="A5080" s="2" t="s">
        <v>728</v>
      </c>
      <c r="B5080" s="2" t="s">
        <v>1132</v>
      </c>
      <c r="C5080" s="5" t="s">
        <v>993</v>
      </c>
      <c r="D5080" s="2" t="s">
        <v>6046</v>
      </c>
    </row>
    <row r="5081" spans="1:4" ht="13.05" customHeight="1" x14ac:dyDescent="0.3">
      <c r="A5081" s="2" t="s">
        <v>728</v>
      </c>
      <c r="B5081" s="2" t="s">
        <v>1132</v>
      </c>
      <c r="C5081" s="5" t="s">
        <v>995</v>
      </c>
      <c r="D5081" s="2" t="s">
        <v>6047</v>
      </c>
    </row>
    <row r="5082" spans="1:4" ht="13.05" customHeight="1" x14ac:dyDescent="0.3">
      <c r="A5082" s="2" t="s">
        <v>728</v>
      </c>
      <c r="B5082" s="2" t="s">
        <v>1132</v>
      </c>
      <c r="C5082" s="5" t="s">
        <v>997</v>
      </c>
      <c r="D5082" s="2" t="s">
        <v>6048</v>
      </c>
    </row>
    <row r="5083" spans="1:4" ht="13.05" customHeight="1" x14ac:dyDescent="0.3">
      <c r="A5083" s="2" t="s">
        <v>728</v>
      </c>
      <c r="B5083" s="2" t="s">
        <v>1132</v>
      </c>
      <c r="C5083" s="5" t="s">
        <v>999</v>
      </c>
      <c r="D5083" s="2" t="s">
        <v>6028</v>
      </c>
    </row>
    <row r="5084" spans="1:4" ht="13.05" customHeight="1" x14ac:dyDescent="0.3">
      <c r="A5084" s="2" t="s">
        <v>728</v>
      </c>
      <c r="B5084" s="2" t="s">
        <v>1132</v>
      </c>
      <c r="C5084" s="5" t="s">
        <v>1001</v>
      </c>
      <c r="D5084" s="2" t="s">
        <v>6049</v>
      </c>
    </row>
    <row r="5085" spans="1:4" ht="13.05" customHeight="1" x14ac:dyDescent="0.3">
      <c r="A5085" s="2" t="s">
        <v>728</v>
      </c>
      <c r="B5085" s="2" t="s">
        <v>1132</v>
      </c>
      <c r="C5085" s="5" t="s">
        <v>1003</v>
      </c>
      <c r="D5085" s="2" t="s">
        <v>6030</v>
      </c>
    </row>
    <row r="5086" spans="1:4" ht="13.05" customHeight="1" x14ac:dyDescent="0.3">
      <c r="A5086" s="2" t="s">
        <v>728</v>
      </c>
      <c r="B5086" s="2" t="s">
        <v>1132</v>
      </c>
      <c r="C5086" s="5" t="s">
        <v>1005</v>
      </c>
      <c r="D5086" s="2" t="s">
        <v>6031</v>
      </c>
    </row>
    <row r="5087" spans="1:4" ht="13.05" customHeight="1" x14ac:dyDescent="0.3">
      <c r="A5087" s="2" t="s">
        <v>728</v>
      </c>
      <c r="B5087" s="2" t="s">
        <v>1132</v>
      </c>
      <c r="C5087" s="5" t="s">
        <v>1007</v>
      </c>
      <c r="D5087" s="2" t="s">
        <v>6032</v>
      </c>
    </row>
    <row r="5088" spans="1:4" ht="13.05" customHeight="1" x14ac:dyDescent="0.3">
      <c r="A5088" s="2" t="s">
        <v>728</v>
      </c>
      <c r="B5088" s="2" t="s">
        <v>1132</v>
      </c>
      <c r="C5088" s="5" t="s">
        <v>1009</v>
      </c>
      <c r="D5088" s="2" t="s">
        <v>6033</v>
      </c>
    </row>
    <row r="5089" spans="1:4" ht="13.05" customHeight="1" x14ac:dyDescent="0.3">
      <c r="A5089" s="2" t="s">
        <v>728</v>
      </c>
      <c r="B5089" s="2" t="s">
        <v>1132</v>
      </c>
      <c r="C5089" s="5" t="s">
        <v>1011</v>
      </c>
      <c r="D5089" s="2" t="s">
        <v>6034</v>
      </c>
    </row>
    <row r="5090" spans="1:4" ht="13.05" customHeight="1" x14ac:dyDescent="0.3">
      <c r="A5090" s="2" t="s">
        <v>728</v>
      </c>
      <c r="B5090" s="2" t="s">
        <v>1132</v>
      </c>
      <c r="C5090" s="5" t="s">
        <v>1013</v>
      </c>
      <c r="D5090" s="2" t="s">
        <v>6035</v>
      </c>
    </row>
    <row r="5091" spans="1:4" ht="13.05" customHeight="1" x14ac:dyDescent="0.3">
      <c r="A5091" s="2" t="s">
        <v>728</v>
      </c>
      <c r="B5091" s="2" t="s">
        <v>1132</v>
      </c>
      <c r="C5091" s="5" t="s">
        <v>1155</v>
      </c>
      <c r="D5091" s="2" t="s">
        <v>6036</v>
      </c>
    </row>
    <row r="5092" spans="1:4" ht="13.05" customHeight="1" x14ac:dyDescent="0.3">
      <c r="A5092" s="2" t="s">
        <v>728</v>
      </c>
      <c r="B5092" s="2" t="s">
        <v>1132</v>
      </c>
      <c r="C5092" s="5" t="s">
        <v>983</v>
      </c>
      <c r="D5092" s="2" t="s">
        <v>984</v>
      </c>
    </row>
    <row r="5093" spans="1:4" ht="13.05" customHeight="1" x14ac:dyDescent="0.3">
      <c r="A5093" s="2" t="s">
        <v>730</v>
      </c>
      <c r="B5093" s="2" t="s">
        <v>1132</v>
      </c>
      <c r="C5093" s="5" t="s">
        <v>974</v>
      </c>
      <c r="D5093" s="2" t="s">
        <v>975</v>
      </c>
    </row>
    <row r="5094" spans="1:4" ht="13.05" customHeight="1" x14ac:dyDescent="0.3">
      <c r="A5094" s="2" t="s">
        <v>730</v>
      </c>
      <c r="B5094" s="2" t="s">
        <v>1132</v>
      </c>
      <c r="C5094" s="5" t="s">
        <v>956</v>
      </c>
      <c r="D5094" s="2" t="s">
        <v>957</v>
      </c>
    </row>
    <row r="5095" spans="1:4" ht="13.05" customHeight="1" x14ac:dyDescent="0.3">
      <c r="A5095" s="2" t="s">
        <v>730</v>
      </c>
      <c r="B5095" s="2" t="s">
        <v>1132</v>
      </c>
      <c r="C5095" s="5" t="s">
        <v>958</v>
      </c>
      <c r="D5095" s="2" t="s">
        <v>959</v>
      </c>
    </row>
    <row r="5096" spans="1:4" ht="13.05" customHeight="1" x14ac:dyDescent="0.3">
      <c r="A5096" s="2" t="s">
        <v>730</v>
      </c>
      <c r="B5096" s="2" t="s">
        <v>1132</v>
      </c>
      <c r="C5096" s="5" t="s">
        <v>960</v>
      </c>
      <c r="D5096" s="2" t="s">
        <v>961</v>
      </c>
    </row>
    <row r="5097" spans="1:4" ht="13.05" customHeight="1" x14ac:dyDescent="0.3">
      <c r="A5097" s="2" t="s">
        <v>730</v>
      </c>
      <c r="B5097" s="2" t="s">
        <v>1132</v>
      </c>
      <c r="C5097" s="5" t="s">
        <v>962</v>
      </c>
      <c r="D5097" s="2" t="s">
        <v>827</v>
      </c>
    </row>
    <row r="5098" spans="1:4" ht="13.05" customHeight="1" x14ac:dyDescent="0.3">
      <c r="A5098" s="2" t="s">
        <v>730</v>
      </c>
      <c r="B5098" s="2" t="s">
        <v>1132</v>
      </c>
      <c r="C5098" s="5" t="s">
        <v>964</v>
      </c>
      <c r="D5098" s="2" t="s">
        <v>6041</v>
      </c>
    </row>
    <row r="5099" spans="1:4" ht="13.05" customHeight="1" x14ac:dyDescent="0.3">
      <c r="A5099" s="2" t="s">
        <v>730</v>
      </c>
      <c r="B5099" s="2" t="s">
        <v>1132</v>
      </c>
      <c r="C5099" s="5" t="s">
        <v>966</v>
      </c>
      <c r="D5099" s="2" t="s">
        <v>6069</v>
      </c>
    </row>
    <row r="5100" spans="1:4" ht="13.05" customHeight="1" x14ac:dyDescent="0.3">
      <c r="A5100" s="2" t="s">
        <v>730</v>
      </c>
      <c r="B5100" s="2" t="s">
        <v>1132</v>
      </c>
      <c r="C5100" s="5" t="s">
        <v>968</v>
      </c>
      <c r="D5100" s="2" t="s">
        <v>6021</v>
      </c>
    </row>
    <row r="5101" spans="1:4" ht="13.05" customHeight="1" x14ac:dyDescent="0.3">
      <c r="A5101" s="2" t="s">
        <v>730</v>
      </c>
      <c r="B5101" s="2" t="s">
        <v>1132</v>
      </c>
      <c r="C5101" s="5" t="s">
        <v>970</v>
      </c>
      <c r="D5101" s="2" t="s">
        <v>6042</v>
      </c>
    </row>
    <row r="5102" spans="1:4" ht="13.05" customHeight="1" x14ac:dyDescent="0.3">
      <c r="A5102" s="2" t="s">
        <v>730</v>
      </c>
      <c r="B5102" s="2" t="s">
        <v>1132</v>
      </c>
      <c r="C5102" s="5" t="s">
        <v>972</v>
      </c>
      <c r="D5102" s="2" t="s">
        <v>6043</v>
      </c>
    </row>
    <row r="5103" spans="1:4" ht="13.05" customHeight="1" x14ac:dyDescent="0.3">
      <c r="A5103" s="2" t="s">
        <v>730</v>
      </c>
      <c r="B5103" s="2" t="s">
        <v>1132</v>
      </c>
      <c r="C5103" s="5" t="s">
        <v>981</v>
      </c>
      <c r="D5103" s="2" t="s">
        <v>6044</v>
      </c>
    </row>
    <row r="5104" spans="1:4" ht="13.05" customHeight="1" x14ac:dyDescent="0.3">
      <c r="A5104" s="2" t="s">
        <v>730</v>
      </c>
      <c r="B5104" s="2" t="s">
        <v>1132</v>
      </c>
      <c r="C5104" s="5" t="s">
        <v>991</v>
      </c>
      <c r="D5104" s="2" t="s">
        <v>6045</v>
      </c>
    </row>
    <row r="5105" spans="1:4" ht="13.05" customHeight="1" x14ac:dyDescent="0.3">
      <c r="A5105" s="2" t="s">
        <v>730</v>
      </c>
      <c r="B5105" s="2" t="s">
        <v>1132</v>
      </c>
      <c r="C5105" s="5" t="s">
        <v>993</v>
      </c>
      <c r="D5105" s="2" t="s">
        <v>6046</v>
      </c>
    </row>
    <row r="5106" spans="1:4" ht="13.05" customHeight="1" x14ac:dyDescent="0.3">
      <c r="A5106" s="2" t="s">
        <v>730</v>
      </c>
      <c r="B5106" s="2" t="s">
        <v>1132</v>
      </c>
      <c r="C5106" s="5" t="s">
        <v>995</v>
      </c>
      <c r="D5106" s="2" t="s">
        <v>6047</v>
      </c>
    </row>
    <row r="5107" spans="1:4" ht="13.05" customHeight="1" x14ac:dyDescent="0.3">
      <c r="A5107" s="2" t="s">
        <v>730</v>
      </c>
      <c r="B5107" s="2" t="s">
        <v>1132</v>
      </c>
      <c r="C5107" s="5" t="s">
        <v>997</v>
      </c>
      <c r="D5107" s="2" t="s">
        <v>6048</v>
      </c>
    </row>
    <row r="5108" spans="1:4" ht="13.05" customHeight="1" x14ac:dyDescent="0.3">
      <c r="A5108" s="2" t="s">
        <v>730</v>
      </c>
      <c r="B5108" s="2" t="s">
        <v>1132</v>
      </c>
      <c r="C5108" s="5" t="s">
        <v>999</v>
      </c>
      <c r="D5108" s="2" t="s">
        <v>6028</v>
      </c>
    </row>
    <row r="5109" spans="1:4" ht="13.05" customHeight="1" x14ac:dyDescent="0.3">
      <c r="A5109" s="2" t="s">
        <v>730</v>
      </c>
      <c r="B5109" s="2" t="s">
        <v>1132</v>
      </c>
      <c r="C5109" s="5" t="s">
        <v>1001</v>
      </c>
      <c r="D5109" s="2" t="s">
        <v>6049</v>
      </c>
    </row>
    <row r="5110" spans="1:4" ht="13.05" customHeight="1" x14ac:dyDescent="0.3">
      <c r="A5110" s="2" t="s">
        <v>730</v>
      </c>
      <c r="B5110" s="2" t="s">
        <v>1132</v>
      </c>
      <c r="C5110" s="5" t="s">
        <v>1003</v>
      </c>
      <c r="D5110" s="2" t="s">
        <v>6030</v>
      </c>
    </row>
    <row r="5111" spans="1:4" ht="13.05" customHeight="1" x14ac:dyDescent="0.3">
      <c r="A5111" s="2" t="s">
        <v>730</v>
      </c>
      <c r="B5111" s="2" t="s">
        <v>1132</v>
      </c>
      <c r="C5111" s="5" t="s">
        <v>1005</v>
      </c>
      <c r="D5111" s="2" t="s">
        <v>6031</v>
      </c>
    </row>
    <row r="5112" spans="1:4" ht="13.05" customHeight="1" x14ac:dyDescent="0.3">
      <c r="A5112" s="2" t="s">
        <v>730</v>
      </c>
      <c r="B5112" s="2" t="s">
        <v>1132</v>
      </c>
      <c r="C5112" s="5" t="s">
        <v>1007</v>
      </c>
      <c r="D5112" s="2" t="s">
        <v>6032</v>
      </c>
    </row>
    <row r="5113" spans="1:4" ht="13.05" customHeight="1" x14ac:dyDescent="0.3">
      <c r="A5113" s="2" t="s">
        <v>730</v>
      </c>
      <c r="B5113" s="2" t="s">
        <v>1132</v>
      </c>
      <c r="C5113" s="5" t="s">
        <v>1009</v>
      </c>
      <c r="D5113" s="2" t="s">
        <v>6033</v>
      </c>
    </row>
    <row r="5114" spans="1:4" ht="13.05" customHeight="1" x14ac:dyDescent="0.3">
      <c r="A5114" s="2" t="s">
        <v>730</v>
      </c>
      <c r="B5114" s="2" t="s">
        <v>1132</v>
      </c>
      <c r="C5114" s="5" t="s">
        <v>1011</v>
      </c>
      <c r="D5114" s="2" t="s">
        <v>6034</v>
      </c>
    </row>
    <row r="5115" spans="1:4" ht="13.05" customHeight="1" x14ac:dyDescent="0.3">
      <c r="A5115" s="2" t="s">
        <v>730</v>
      </c>
      <c r="B5115" s="2" t="s">
        <v>1132</v>
      </c>
      <c r="C5115" s="5" t="s">
        <v>1013</v>
      </c>
      <c r="D5115" s="2" t="s">
        <v>6035</v>
      </c>
    </row>
    <row r="5116" spans="1:4" ht="13.05" customHeight="1" x14ac:dyDescent="0.3">
      <c r="A5116" s="2" t="s">
        <v>730</v>
      </c>
      <c r="B5116" s="2" t="s">
        <v>1132</v>
      </c>
      <c r="C5116" s="5" t="s">
        <v>1155</v>
      </c>
      <c r="D5116" s="2" t="s">
        <v>6036</v>
      </c>
    </row>
    <row r="5117" spans="1:4" ht="13.05" customHeight="1" x14ac:dyDescent="0.3">
      <c r="A5117" s="2" t="s">
        <v>730</v>
      </c>
      <c r="B5117" s="2" t="s">
        <v>1132</v>
      </c>
      <c r="C5117" s="5" t="s">
        <v>983</v>
      </c>
      <c r="D5117" s="2" t="s">
        <v>984</v>
      </c>
    </row>
    <row r="5118" spans="1:4" ht="13.05" customHeight="1" x14ac:dyDescent="0.3">
      <c r="A5118" s="2" t="s">
        <v>732</v>
      </c>
      <c r="B5118" s="2" t="s">
        <v>1132</v>
      </c>
      <c r="C5118" s="5" t="s">
        <v>974</v>
      </c>
      <c r="D5118" s="2" t="s">
        <v>975</v>
      </c>
    </row>
    <row r="5119" spans="1:4" ht="13.05" customHeight="1" x14ac:dyDescent="0.3">
      <c r="A5119" s="2" t="s">
        <v>732</v>
      </c>
      <c r="B5119" s="2" t="s">
        <v>1132</v>
      </c>
      <c r="C5119" s="5" t="s">
        <v>956</v>
      </c>
      <c r="D5119" s="2" t="s">
        <v>957</v>
      </c>
    </row>
    <row r="5120" spans="1:4" ht="13.05" customHeight="1" x14ac:dyDescent="0.3">
      <c r="A5120" s="2" t="s">
        <v>732</v>
      </c>
      <c r="B5120" s="2" t="s">
        <v>1132</v>
      </c>
      <c r="C5120" s="5" t="s">
        <v>958</v>
      </c>
      <c r="D5120" s="2" t="s">
        <v>959</v>
      </c>
    </row>
    <row r="5121" spans="1:4" ht="13.05" customHeight="1" x14ac:dyDescent="0.3">
      <c r="A5121" s="2" t="s">
        <v>732</v>
      </c>
      <c r="B5121" s="2" t="s">
        <v>1132</v>
      </c>
      <c r="C5121" s="5" t="s">
        <v>960</v>
      </c>
      <c r="D5121" s="2" t="s">
        <v>961</v>
      </c>
    </row>
    <row r="5122" spans="1:4" ht="13.05" customHeight="1" x14ac:dyDescent="0.3">
      <c r="A5122" s="2" t="s">
        <v>732</v>
      </c>
      <c r="B5122" s="2" t="s">
        <v>1132</v>
      </c>
      <c r="C5122" s="5" t="s">
        <v>962</v>
      </c>
      <c r="D5122" s="2" t="s">
        <v>827</v>
      </c>
    </row>
    <row r="5123" spans="1:4" ht="13.05" customHeight="1" x14ac:dyDescent="0.3">
      <c r="A5123" s="2" t="s">
        <v>732</v>
      </c>
      <c r="B5123" s="2" t="s">
        <v>1132</v>
      </c>
      <c r="C5123" s="5" t="s">
        <v>964</v>
      </c>
      <c r="D5123" s="2" t="s">
        <v>6041</v>
      </c>
    </row>
    <row r="5124" spans="1:4" ht="13.05" customHeight="1" x14ac:dyDescent="0.3">
      <c r="A5124" s="2" t="s">
        <v>732</v>
      </c>
      <c r="B5124" s="2" t="s">
        <v>1132</v>
      </c>
      <c r="C5124" s="5" t="s">
        <v>966</v>
      </c>
      <c r="D5124" s="2" t="s">
        <v>6069</v>
      </c>
    </row>
    <row r="5125" spans="1:4" ht="13.05" customHeight="1" x14ac:dyDescent="0.3">
      <c r="A5125" s="2" t="s">
        <v>732</v>
      </c>
      <c r="B5125" s="2" t="s">
        <v>1132</v>
      </c>
      <c r="C5125" s="5" t="s">
        <v>968</v>
      </c>
      <c r="D5125" s="2" t="s">
        <v>6021</v>
      </c>
    </row>
    <row r="5126" spans="1:4" ht="13.05" customHeight="1" x14ac:dyDescent="0.3">
      <c r="A5126" s="2" t="s">
        <v>732</v>
      </c>
      <c r="B5126" s="2" t="s">
        <v>1132</v>
      </c>
      <c r="C5126" s="5" t="s">
        <v>970</v>
      </c>
      <c r="D5126" s="2" t="s">
        <v>6042</v>
      </c>
    </row>
    <row r="5127" spans="1:4" ht="13.05" customHeight="1" x14ac:dyDescent="0.3">
      <c r="A5127" s="2" t="s">
        <v>732</v>
      </c>
      <c r="B5127" s="2" t="s">
        <v>1132</v>
      </c>
      <c r="C5127" s="5" t="s">
        <v>972</v>
      </c>
      <c r="D5127" s="2" t="s">
        <v>6043</v>
      </c>
    </row>
    <row r="5128" spans="1:4" ht="13.05" customHeight="1" x14ac:dyDescent="0.3">
      <c r="A5128" s="2" t="s">
        <v>732</v>
      </c>
      <c r="B5128" s="2" t="s">
        <v>1132</v>
      </c>
      <c r="C5128" s="5" t="s">
        <v>981</v>
      </c>
      <c r="D5128" s="2" t="s">
        <v>6044</v>
      </c>
    </row>
    <row r="5129" spans="1:4" ht="13.05" customHeight="1" x14ac:dyDescent="0.3">
      <c r="A5129" s="2" t="s">
        <v>732</v>
      </c>
      <c r="B5129" s="2" t="s">
        <v>1132</v>
      </c>
      <c r="C5129" s="5" t="s">
        <v>991</v>
      </c>
      <c r="D5129" s="2" t="s">
        <v>6045</v>
      </c>
    </row>
    <row r="5130" spans="1:4" ht="13.05" customHeight="1" x14ac:dyDescent="0.3">
      <c r="A5130" s="2" t="s">
        <v>732</v>
      </c>
      <c r="B5130" s="2" t="s">
        <v>1132</v>
      </c>
      <c r="C5130" s="5" t="s">
        <v>993</v>
      </c>
      <c r="D5130" s="2" t="s">
        <v>6046</v>
      </c>
    </row>
    <row r="5131" spans="1:4" ht="13.05" customHeight="1" x14ac:dyDescent="0.3">
      <c r="A5131" s="2" t="s">
        <v>732</v>
      </c>
      <c r="B5131" s="2" t="s">
        <v>1132</v>
      </c>
      <c r="C5131" s="5" t="s">
        <v>995</v>
      </c>
      <c r="D5131" s="2" t="s">
        <v>6047</v>
      </c>
    </row>
    <row r="5132" spans="1:4" ht="13.05" customHeight="1" x14ac:dyDescent="0.3">
      <c r="A5132" s="2" t="s">
        <v>732</v>
      </c>
      <c r="B5132" s="2" t="s">
        <v>1132</v>
      </c>
      <c r="C5132" s="5" t="s">
        <v>997</v>
      </c>
      <c r="D5132" s="2" t="s">
        <v>6048</v>
      </c>
    </row>
    <row r="5133" spans="1:4" ht="13.05" customHeight="1" x14ac:dyDescent="0.3">
      <c r="A5133" s="2" t="s">
        <v>732</v>
      </c>
      <c r="B5133" s="2" t="s">
        <v>1132</v>
      </c>
      <c r="C5133" s="5" t="s">
        <v>999</v>
      </c>
      <c r="D5133" s="2" t="s">
        <v>6028</v>
      </c>
    </row>
    <row r="5134" spans="1:4" ht="13.05" customHeight="1" x14ac:dyDescent="0.3">
      <c r="A5134" s="2" t="s">
        <v>732</v>
      </c>
      <c r="B5134" s="2" t="s">
        <v>1132</v>
      </c>
      <c r="C5134" s="5" t="s">
        <v>1001</v>
      </c>
      <c r="D5134" s="2" t="s">
        <v>6049</v>
      </c>
    </row>
    <row r="5135" spans="1:4" ht="13.05" customHeight="1" x14ac:dyDescent="0.3">
      <c r="A5135" s="2" t="s">
        <v>732</v>
      </c>
      <c r="B5135" s="2" t="s">
        <v>1132</v>
      </c>
      <c r="C5135" s="5" t="s">
        <v>1003</v>
      </c>
      <c r="D5135" s="2" t="s">
        <v>6030</v>
      </c>
    </row>
    <row r="5136" spans="1:4" ht="13.05" customHeight="1" x14ac:dyDescent="0.3">
      <c r="A5136" s="2" t="s">
        <v>732</v>
      </c>
      <c r="B5136" s="2" t="s">
        <v>1132</v>
      </c>
      <c r="C5136" s="5" t="s">
        <v>1005</v>
      </c>
      <c r="D5136" s="2" t="s">
        <v>6031</v>
      </c>
    </row>
    <row r="5137" spans="1:4" ht="13.05" customHeight="1" x14ac:dyDescent="0.3">
      <c r="A5137" s="2" t="s">
        <v>732</v>
      </c>
      <c r="B5137" s="2" t="s">
        <v>1132</v>
      </c>
      <c r="C5137" s="5" t="s">
        <v>1007</v>
      </c>
      <c r="D5137" s="2" t="s">
        <v>6032</v>
      </c>
    </row>
    <row r="5138" spans="1:4" ht="13.05" customHeight="1" x14ac:dyDescent="0.3">
      <c r="A5138" s="2" t="s">
        <v>732</v>
      </c>
      <c r="B5138" s="2" t="s">
        <v>1132</v>
      </c>
      <c r="C5138" s="5" t="s">
        <v>1009</v>
      </c>
      <c r="D5138" s="2" t="s">
        <v>6033</v>
      </c>
    </row>
    <row r="5139" spans="1:4" ht="13.05" customHeight="1" x14ac:dyDescent="0.3">
      <c r="A5139" s="2" t="s">
        <v>732</v>
      </c>
      <c r="B5139" s="2" t="s">
        <v>1132</v>
      </c>
      <c r="C5139" s="5" t="s">
        <v>1011</v>
      </c>
      <c r="D5139" s="2" t="s">
        <v>6034</v>
      </c>
    </row>
    <row r="5140" spans="1:4" ht="13.05" customHeight="1" x14ac:dyDescent="0.3">
      <c r="A5140" s="2" t="s">
        <v>732</v>
      </c>
      <c r="B5140" s="2" t="s">
        <v>1132</v>
      </c>
      <c r="C5140" s="5" t="s">
        <v>1013</v>
      </c>
      <c r="D5140" s="2" t="s">
        <v>6035</v>
      </c>
    </row>
    <row r="5141" spans="1:4" ht="13.05" customHeight="1" x14ac:dyDescent="0.3">
      <c r="A5141" s="2" t="s">
        <v>732</v>
      </c>
      <c r="B5141" s="2" t="s">
        <v>1132</v>
      </c>
      <c r="C5141" s="5" t="s">
        <v>1155</v>
      </c>
      <c r="D5141" s="2" t="s">
        <v>6036</v>
      </c>
    </row>
    <row r="5142" spans="1:4" ht="13.05" customHeight="1" x14ac:dyDescent="0.3">
      <c r="A5142" s="2" t="s">
        <v>732</v>
      </c>
      <c r="B5142" s="2" t="s">
        <v>1132</v>
      </c>
      <c r="C5142" s="5" t="s">
        <v>983</v>
      </c>
      <c r="D5142" s="2" t="s">
        <v>984</v>
      </c>
    </row>
    <row r="5143" spans="1:4" ht="13.05" customHeight="1" x14ac:dyDescent="0.3">
      <c r="A5143" s="2" t="s">
        <v>734</v>
      </c>
      <c r="B5143" s="2" t="s">
        <v>1132</v>
      </c>
      <c r="C5143" s="5" t="s">
        <v>974</v>
      </c>
      <c r="D5143" s="2" t="s">
        <v>975</v>
      </c>
    </row>
    <row r="5144" spans="1:4" ht="13.05" customHeight="1" x14ac:dyDescent="0.3">
      <c r="A5144" s="2" t="s">
        <v>734</v>
      </c>
      <c r="B5144" s="2" t="s">
        <v>1132</v>
      </c>
      <c r="C5144" s="5" t="s">
        <v>956</v>
      </c>
      <c r="D5144" s="2" t="s">
        <v>957</v>
      </c>
    </row>
    <row r="5145" spans="1:4" ht="13.05" customHeight="1" x14ac:dyDescent="0.3">
      <c r="A5145" s="2" t="s">
        <v>734</v>
      </c>
      <c r="B5145" s="2" t="s">
        <v>1132</v>
      </c>
      <c r="C5145" s="5" t="s">
        <v>958</v>
      </c>
      <c r="D5145" s="2" t="s">
        <v>959</v>
      </c>
    </row>
    <row r="5146" spans="1:4" ht="13.05" customHeight="1" x14ac:dyDescent="0.3">
      <c r="A5146" s="2" t="s">
        <v>734</v>
      </c>
      <c r="B5146" s="2" t="s">
        <v>1132</v>
      </c>
      <c r="C5146" s="5" t="s">
        <v>960</v>
      </c>
      <c r="D5146" s="2" t="s">
        <v>961</v>
      </c>
    </row>
    <row r="5147" spans="1:4" ht="13.05" customHeight="1" x14ac:dyDescent="0.3">
      <c r="A5147" s="2" t="s">
        <v>734</v>
      </c>
      <c r="B5147" s="2" t="s">
        <v>1132</v>
      </c>
      <c r="C5147" s="5" t="s">
        <v>962</v>
      </c>
      <c r="D5147" s="2" t="s">
        <v>827</v>
      </c>
    </row>
    <row r="5148" spans="1:4" ht="13.05" customHeight="1" x14ac:dyDescent="0.3">
      <c r="A5148" s="2" t="s">
        <v>734</v>
      </c>
      <c r="B5148" s="2" t="s">
        <v>1132</v>
      </c>
      <c r="C5148" s="5" t="s">
        <v>964</v>
      </c>
      <c r="D5148" s="2" t="s">
        <v>6041</v>
      </c>
    </row>
    <row r="5149" spans="1:4" ht="13.05" customHeight="1" x14ac:dyDescent="0.3">
      <c r="A5149" s="2" t="s">
        <v>734</v>
      </c>
      <c r="B5149" s="2" t="s">
        <v>1132</v>
      </c>
      <c r="C5149" s="5" t="s">
        <v>966</v>
      </c>
      <c r="D5149" s="2" t="s">
        <v>6069</v>
      </c>
    </row>
    <row r="5150" spans="1:4" ht="13.05" customHeight="1" x14ac:dyDescent="0.3">
      <c r="A5150" s="2" t="s">
        <v>734</v>
      </c>
      <c r="B5150" s="2" t="s">
        <v>1132</v>
      </c>
      <c r="C5150" s="5" t="s">
        <v>968</v>
      </c>
      <c r="D5150" s="2" t="s">
        <v>6021</v>
      </c>
    </row>
    <row r="5151" spans="1:4" ht="13.05" customHeight="1" x14ac:dyDescent="0.3">
      <c r="A5151" s="2" t="s">
        <v>734</v>
      </c>
      <c r="B5151" s="2" t="s">
        <v>1132</v>
      </c>
      <c r="C5151" s="5" t="s">
        <v>970</v>
      </c>
      <c r="D5151" s="2" t="s">
        <v>6042</v>
      </c>
    </row>
    <row r="5152" spans="1:4" ht="13.05" customHeight="1" x14ac:dyDescent="0.3">
      <c r="A5152" s="2" t="s">
        <v>734</v>
      </c>
      <c r="B5152" s="2" t="s">
        <v>1132</v>
      </c>
      <c r="C5152" s="5" t="s">
        <v>972</v>
      </c>
      <c r="D5152" s="2" t="s">
        <v>6043</v>
      </c>
    </row>
    <row r="5153" spans="1:4" ht="13.05" customHeight="1" x14ac:dyDescent="0.3">
      <c r="A5153" s="2" t="s">
        <v>734</v>
      </c>
      <c r="B5153" s="2" t="s">
        <v>1132</v>
      </c>
      <c r="C5153" s="5" t="s">
        <v>981</v>
      </c>
      <c r="D5153" s="2" t="s">
        <v>6044</v>
      </c>
    </row>
    <row r="5154" spans="1:4" ht="13.05" customHeight="1" x14ac:dyDescent="0.3">
      <c r="A5154" s="2" t="s">
        <v>734</v>
      </c>
      <c r="B5154" s="2" t="s">
        <v>1132</v>
      </c>
      <c r="C5154" s="5" t="s">
        <v>991</v>
      </c>
      <c r="D5154" s="2" t="s">
        <v>6045</v>
      </c>
    </row>
    <row r="5155" spans="1:4" ht="13.05" customHeight="1" x14ac:dyDescent="0.3">
      <c r="A5155" s="2" t="s">
        <v>734</v>
      </c>
      <c r="B5155" s="2" t="s">
        <v>1132</v>
      </c>
      <c r="C5155" s="5" t="s">
        <v>993</v>
      </c>
      <c r="D5155" s="2" t="s">
        <v>6046</v>
      </c>
    </row>
    <row r="5156" spans="1:4" ht="13.05" customHeight="1" x14ac:dyDescent="0.3">
      <c r="A5156" s="2" t="s">
        <v>734</v>
      </c>
      <c r="B5156" s="2" t="s">
        <v>1132</v>
      </c>
      <c r="C5156" s="5" t="s">
        <v>995</v>
      </c>
      <c r="D5156" s="2" t="s">
        <v>6047</v>
      </c>
    </row>
    <row r="5157" spans="1:4" ht="13.05" customHeight="1" x14ac:dyDescent="0.3">
      <c r="A5157" s="2" t="s">
        <v>734</v>
      </c>
      <c r="B5157" s="2" t="s">
        <v>1132</v>
      </c>
      <c r="C5157" s="5" t="s">
        <v>997</v>
      </c>
      <c r="D5157" s="2" t="s">
        <v>6048</v>
      </c>
    </row>
    <row r="5158" spans="1:4" ht="13.05" customHeight="1" x14ac:dyDescent="0.3">
      <c r="A5158" s="2" t="s">
        <v>734</v>
      </c>
      <c r="B5158" s="2" t="s">
        <v>1132</v>
      </c>
      <c r="C5158" s="5" t="s">
        <v>999</v>
      </c>
      <c r="D5158" s="2" t="s">
        <v>6028</v>
      </c>
    </row>
    <row r="5159" spans="1:4" ht="13.05" customHeight="1" x14ac:dyDescent="0.3">
      <c r="A5159" s="2" t="s">
        <v>734</v>
      </c>
      <c r="B5159" s="2" t="s">
        <v>1132</v>
      </c>
      <c r="C5159" s="5" t="s">
        <v>1001</v>
      </c>
      <c r="D5159" s="2" t="s">
        <v>6049</v>
      </c>
    </row>
    <row r="5160" spans="1:4" ht="13.05" customHeight="1" x14ac:dyDescent="0.3">
      <c r="A5160" s="2" t="s">
        <v>734</v>
      </c>
      <c r="B5160" s="2" t="s">
        <v>1132</v>
      </c>
      <c r="C5160" s="5" t="s">
        <v>1003</v>
      </c>
      <c r="D5160" s="2" t="s">
        <v>6030</v>
      </c>
    </row>
    <row r="5161" spans="1:4" ht="13.05" customHeight="1" x14ac:dyDescent="0.3">
      <c r="A5161" s="2" t="s">
        <v>734</v>
      </c>
      <c r="B5161" s="2" t="s">
        <v>1132</v>
      </c>
      <c r="C5161" s="5" t="s">
        <v>1005</v>
      </c>
      <c r="D5161" s="2" t="s">
        <v>6031</v>
      </c>
    </row>
    <row r="5162" spans="1:4" ht="13.05" customHeight="1" x14ac:dyDescent="0.3">
      <c r="A5162" s="2" t="s">
        <v>734</v>
      </c>
      <c r="B5162" s="2" t="s">
        <v>1132</v>
      </c>
      <c r="C5162" s="5" t="s">
        <v>1007</v>
      </c>
      <c r="D5162" s="2" t="s">
        <v>6032</v>
      </c>
    </row>
    <row r="5163" spans="1:4" ht="13.05" customHeight="1" x14ac:dyDescent="0.3">
      <c r="A5163" s="2" t="s">
        <v>734</v>
      </c>
      <c r="B5163" s="2" t="s">
        <v>1132</v>
      </c>
      <c r="C5163" s="5" t="s">
        <v>1009</v>
      </c>
      <c r="D5163" s="2" t="s">
        <v>6033</v>
      </c>
    </row>
    <row r="5164" spans="1:4" ht="13.05" customHeight="1" x14ac:dyDescent="0.3">
      <c r="A5164" s="2" t="s">
        <v>734</v>
      </c>
      <c r="B5164" s="2" t="s">
        <v>1132</v>
      </c>
      <c r="C5164" s="5" t="s">
        <v>1011</v>
      </c>
      <c r="D5164" s="2" t="s">
        <v>6034</v>
      </c>
    </row>
    <row r="5165" spans="1:4" ht="13.05" customHeight="1" x14ac:dyDescent="0.3">
      <c r="A5165" s="2" t="s">
        <v>734</v>
      </c>
      <c r="B5165" s="2" t="s">
        <v>1132</v>
      </c>
      <c r="C5165" s="5" t="s">
        <v>1013</v>
      </c>
      <c r="D5165" s="2" t="s">
        <v>6035</v>
      </c>
    </row>
    <row r="5166" spans="1:4" ht="13.05" customHeight="1" x14ac:dyDescent="0.3">
      <c r="A5166" s="2" t="s">
        <v>734</v>
      </c>
      <c r="B5166" s="2" t="s">
        <v>1132</v>
      </c>
      <c r="C5166" s="5" t="s">
        <v>1155</v>
      </c>
      <c r="D5166" s="2" t="s">
        <v>6036</v>
      </c>
    </row>
    <row r="5167" spans="1:4" ht="13.05" customHeight="1" x14ac:dyDescent="0.3">
      <c r="A5167" s="2" t="s">
        <v>734</v>
      </c>
      <c r="B5167" s="2" t="s">
        <v>1132</v>
      </c>
      <c r="C5167" s="5" t="s">
        <v>983</v>
      </c>
      <c r="D5167" s="2" t="s">
        <v>984</v>
      </c>
    </row>
    <row r="5168" spans="1:4" ht="13.05" customHeight="1" x14ac:dyDescent="0.3">
      <c r="A5168" s="2" t="s">
        <v>736</v>
      </c>
      <c r="B5168" s="2" t="s">
        <v>1132</v>
      </c>
      <c r="C5168" s="5" t="s">
        <v>974</v>
      </c>
      <c r="D5168" s="2" t="s">
        <v>975</v>
      </c>
    </row>
    <row r="5169" spans="1:4" ht="13.05" customHeight="1" x14ac:dyDescent="0.3">
      <c r="A5169" s="2" t="s">
        <v>736</v>
      </c>
      <c r="B5169" s="2" t="s">
        <v>1132</v>
      </c>
      <c r="C5169" s="5" t="s">
        <v>956</v>
      </c>
      <c r="D5169" s="2" t="s">
        <v>957</v>
      </c>
    </row>
    <row r="5170" spans="1:4" ht="13.05" customHeight="1" x14ac:dyDescent="0.3">
      <c r="A5170" s="2" t="s">
        <v>736</v>
      </c>
      <c r="B5170" s="2" t="s">
        <v>1132</v>
      </c>
      <c r="C5170" s="5" t="s">
        <v>958</v>
      </c>
      <c r="D5170" s="2" t="s">
        <v>959</v>
      </c>
    </row>
    <row r="5171" spans="1:4" ht="13.05" customHeight="1" x14ac:dyDescent="0.3">
      <c r="A5171" s="2" t="s">
        <v>736</v>
      </c>
      <c r="B5171" s="2" t="s">
        <v>1132</v>
      </c>
      <c r="C5171" s="5" t="s">
        <v>960</v>
      </c>
      <c r="D5171" s="2" t="s">
        <v>961</v>
      </c>
    </row>
    <row r="5172" spans="1:4" ht="13.05" customHeight="1" x14ac:dyDescent="0.3">
      <c r="A5172" s="2" t="s">
        <v>736</v>
      </c>
      <c r="B5172" s="2" t="s">
        <v>1132</v>
      </c>
      <c r="C5172" s="5" t="s">
        <v>962</v>
      </c>
      <c r="D5172" s="2" t="s">
        <v>827</v>
      </c>
    </row>
    <row r="5173" spans="1:4" ht="13.05" customHeight="1" x14ac:dyDescent="0.3">
      <c r="A5173" s="2" t="s">
        <v>736</v>
      </c>
      <c r="B5173" s="2" t="s">
        <v>1132</v>
      </c>
      <c r="C5173" s="5" t="s">
        <v>964</v>
      </c>
      <c r="D5173" s="2" t="s">
        <v>6041</v>
      </c>
    </row>
    <row r="5174" spans="1:4" ht="13.05" customHeight="1" x14ac:dyDescent="0.3">
      <c r="A5174" s="2" t="s">
        <v>736</v>
      </c>
      <c r="B5174" s="2" t="s">
        <v>1132</v>
      </c>
      <c r="C5174" s="5" t="s">
        <v>966</v>
      </c>
      <c r="D5174" s="2" t="s">
        <v>6069</v>
      </c>
    </row>
    <row r="5175" spans="1:4" ht="13.05" customHeight="1" x14ac:dyDescent="0.3">
      <c r="A5175" s="2" t="s">
        <v>736</v>
      </c>
      <c r="B5175" s="2" t="s">
        <v>1132</v>
      </c>
      <c r="C5175" s="5" t="s">
        <v>968</v>
      </c>
      <c r="D5175" s="2" t="s">
        <v>6021</v>
      </c>
    </row>
    <row r="5176" spans="1:4" ht="13.05" customHeight="1" x14ac:dyDescent="0.3">
      <c r="A5176" s="2" t="s">
        <v>736</v>
      </c>
      <c r="B5176" s="2" t="s">
        <v>1132</v>
      </c>
      <c r="C5176" s="5" t="s">
        <v>970</v>
      </c>
      <c r="D5176" s="2" t="s">
        <v>6042</v>
      </c>
    </row>
    <row r="5177" spans="1:4" ht="13.05" customHeight="1" x14ac:dyDescent="0.3">
      <c r="A5177" s="2" t="s">
        <v>736</v>
      </c>
      <c r="B5177" s="2" t="s">
        <v>1132</v>
      </c>
      <c r="C5177" s="5" t="s">
        <v>972</v>
      </c>
      <c r="D5177" s="2" t="s">
        <v>6043</v>
      </c>
    </row>
    <row r="5178" spans="1:4" ht="13.05" customHeight="1" x14ac:dyDescent="0.3">
      <c r="A5178" s="2" t="s">
        <v>736</v>
      </c>
      <c r="B5178" s="2" t="s">
        <v>1132</v>
      </c>
      <c r="C5178" s="5" t="s">
        <v>981</v>
      </c>
      <c r="D5178" s="2" t="s">
        <v>6044</v>
      </c>
    </row>
    <row r="5179" spans="1:4" ht="13.05" customHeight="1" x14ac:dyDescent="0.3">
      <c r="A5179" s="2" t="s">
        <v>736</v>
      </c>
      <c r="B5179" s="2" t="s">
        <v>1132</v>
      </c>
      <c r="C5179" s="5" t="s">
        <v>991</v>
      </c>
      <c r="D5179" s="2" t="s">
        <v>6045</v>
      </c>
    </row>
    <row r="5180" spans="1:4" ht="13.05" customHeight="1" x14ac:dyDescent="0.3">
      <c r="A5180" s="2" t="s">
        <v>736</v>
      </c>
      <c r="B5180" s="2" t="s">
        <v>1132</v>
      </c>
      <c r="C5180" s="5" t="s">
        <v>993</v>
      </c>
      <c r="D5180" s="2" t="s">
        <v>6046</v>
      </c>
    </row>
    <row r="5181" spans="1:4" ht="13.05" customHeight="1" x14ac:dyDescent="0.3">
      <c r="A5181" s="2" t="s">
        <v>736</v>
      </c>
      <c r="B5181" s="2" t="s">
        <v>1132</v>
      </c>
      <c r="C5181" s="5" t="s">
        <v>995</v>
      </c>
      <c r="D5181" s="2" t="s">
        <v>6047</v>
      </c>
    </row>
    <row r="5182" spans="1:4" ht="13.05" customHeight="1" x14ac:dyDescent="0.3">
      <c r="A5182" s="2" t="s">
        <v>736</v>
      </c>
      <c r="B5182" s="2" t="s">
        <v>1132</v>
      </c>
      <c r="C5182" s="5" t="s">
        <v>997</v>
      </c>
      <c r="D5182" s="2" t="s">
        <v>6048</v>
      </c>
    </row>
    <row r="5183" spans="1:4" ht="13.05" customHeight="1" x14ac:dyDescent="0.3">
      <c r="A5183" s="2" t="s">
        <v>736</v>
      </c>
      <c r="B5183" s="2" t="s">
        <v>1132</v>
      </c>
      <c r="C5183" s="5" t="s">
        <v>999</v>
      </c>
      <c r="D5183" s="2" t="s">
        <v>6028</v>
      </c>
    </row>
    <row r="5184" spans="1:4" ht="13.05" customHeight="1" x14ac:dyDescent="0.3">
      <c r="A5184" s="2" t="s">
        <v>736</v>
      </c>
      <c r="B5184" s="2" t="s">
        <v>1132</v>
      </c>
      <c r="C5184" s="5" t="s">
        <v>1001</v>
      </c>
      <c r="D5184" s="2" t="s">
        <v>6049</v>
      </c>
    </row>
    <row r="5185" spans="1:4" ht="13.05" customHeight="1" x14ac:dyDescent="0.3">
      <c r="A5185" s="2" t="s">
        <v>736</v>
      </c>
      <c r="B5185" s="2" t="s">
        <v>1132</v>
      </c>
      <c r="C5185" s="5" t="s">
        <v>1003</v>
      </c>
      <c r="D5185" s="2" t="s">
        <v>6030</v>
      </c>
    </row>
    <row r="5186" spans="1:4" ht="13.05" customHeight="1" x14ac:dyDescent="0.3">
      <c r="A5186" s="2" t="s">
        <v>736</v>
      </c>
      <c r="B5186" s="2" t="s">
        <v>1132</v>
      </c>
      <c r="C5186" s="5" t="s">
        <v>1005</v>
      </c>
      <c r="D5186" s="2" t="s">
        <v>6031</v>
      </c>
    </row>
    <row r="5187" spans="1:4" ht="13.05" customHeight="1" x14ac:dyDescent="0.3">
      <c r="A5187" s="2" t="s">
        <v>736</v>
      </c>
      <c r="B5187" s="2" t="s">
        <v>1132</v>
      </c>
      <c r="C5187" s="5" t="s">
        <v>1007</v>
      </c>
      <c r="D5187" s="2" t="s">
        <v>6032</v>
      </c>
    </row>
    <row r="5188" spans="1:4" ht="13.05" customHeight="1" x14ac:dyDescent="0.3">
      <c r="A5188" s="2" t="s">
        <v>736</v>
      </c>
      <c r="B5188" s="2" t="s">
        <v>1132</v>
      </c>
      <c r="C5188" s="5" t="s">
        <v>1009</v>
      </c>
      <c r="D5188" s="2" t="s">
        <v>6033</v>
      </c>
    </row>
    <row r="5189" spans="1:4" ht="13.05" customHeight="1" x14ac:dyDescent="0.3">
      <c r="A5189" s="2" t="s">
        <v>736</v>
      </c>
      <c r="B5189" s="2" t="s">
        <v>1132</v>
      </c>
      <c r="C5189" s="5" t="s">
        <v>1011</v>
      </c>
      <c r="D5189" s="2" t="s">
        <v>6034</v>
      </c>
    </row>
    <row r="5190" spans="1:4" ht="13.05" customHeight="1" x14ac:dyDescent="0.3">
      <c r="A5190" s="2" t="s">
        <v>736</v>
      </c>
      <c r="B5190" s="2" t="s">
        <v>1132</v>
      </c>
      <c r="C5190" s="5" t="s">
        <v>1013</v>
      </c>
      <c r="D5190" s="2" t="s">
        <v>6035</v>
      </c>
    </row>
    <row r="5191" spans="1:4" ht="13.05" customHeight="1" x14ac:dyDescent="0.3">
      <c r="A5191" s="2" t="s">
        <v>736</v>
      </c>
      <c r="B5191" s="2" t="s">
        <v>1132</v>
      </c>
      <c r="C5191" s="5" t="s">
        <v>1155</v>
      </c>
      <c r="D5191" s="2" t="s">
        <v>6036</v>
      </c>
    </row>
    <row r="5192" spans="1:4" ht="13.05" customHeight="1" x14ac:dyDescent="0.3">
      <c r="A5192" s="2" t="s">
        <v>736</v>
      </c>
      <c r="B5192" s="2" t="s">
        <v>1132</v>
      </c>
      <c r="C5192" s="5" t="s">
        <v>983</v>
      </c>
      <c r="D5192" s="2" t="s">
        <v>984</v>
      </c>
    </row>
    <row r="5193" spans="1:4" ht="13.05" customHeight="1" x14ac:dyDescent="0.3">
      <c r="A5193" s="2" t="s">
        <v>738</v>
      </c>
      <c r="B5193" s="2" t="s">
        <v>1132</v>
      </c>
      <c r="C5193" s="5" t="s">
        <v>974</v>
      </c>
      <c r="D5193" s="2" t="s">
        <v>975</v>
      </c>
    </row>
    <row r="5194" spans="1:4" ht="13.05" customHeight="1" x14ac:dyDescent="0.3">
      <c r="A5194" s="2" t="s">
        <v>738</v>
      </c>
      <c r="B5194" s="2" t="s">
        <v>1132</v>
      </c>
      <c r="C5194" s="5" t="s">
        <v>956</v>
      </c>
      <c r="D5194" s="2" t="s">
        <v>957</v>
      </c>
    </row>
    <row r="5195" spans="1:4" ht="13.05" customHeight="1" x14ac:dyDescent="0.3">
      <c r="A5195" s="2" t="s">
        <v>738</v>
      </c>
      <c r="B5195" s="2" t="s">
        <v>1132</v>
      </c>
      <c r="C5195" s="5" t="s">
        <v>958</v>
      </c>
      <c r="D5195" s="2" t="s">
        <v>959</v>
      </c>
    </row>
    <row r="5196" spans="1:4" ht="13.05" customHeight="1" x14ac:dyDescent="0.3">
      <c r="A5196" s="2" t="s">
        <v>738</v>
      </c>
      <c r="B5196" s="2" t="s">
        <v>1132</v>
      </c>
      <c r="C5196" s="5" t="s">
        <v>960</v>
      </c>
      <c r="D5196" s="2" t="s">
        <v>961</v>
      </c>
    </row>
    <row r="5197" spans="1:4" ht="13.05" customHeight="1" x14ac:dyDescent="0.3">
      <c r="A5197" s="2" t="s">
        <v>738</v>
      </c>
      <c r="B5197" s="2" t="s">
        <v>1132</v>
      </c>
      <c r="C5197" s="5" t="s">
        <v>962</v>
      </c>
      <c r="D5197" s="2" t="s">
        <v>827</v>
      </c>
    </row>
    <row r="5198" spans="1:4" ht="13.05" customHeight="1" x14ac:dyDescent="0.3">
      <c r="A5198" s="2" t="s">
        <v>738</v>
      </c>
      <c r="B5198" s="2" t="s">
        <v>1132</v>
      </c>
      <c r="C5198" s="5" t="s">
        <v>964</v>
      </c>
      <c r="D5198" s="2" t="s">
        <v>6041</v>
      </c>
    </row>
    <row r="5199" spans="1:4" ht="13.05" customHeight="1" x14ac:dyDescent="0.3">
      <c r="A5199" s="2" t="s">
        <v>738</v>
      </c>
      <c r="B5199" s="2" t="s">
        <v>1132</v>
      </c>
      <c r="C5199" s="5" t="s">
        <v>966</v>
      </c>
      <c r="D5199" s="2" t="s">
        <v>6069</v>
      </c>
    </row>
    <row r="5200" spans="1:4" ht="13.05" customHeight="1" x14ac:dyDescent="0.3">
      <c r="A5200" s="2" t="s">
        <v>738</v>
      </c>
      <c r="B5200" s="2" t="s">
        <v>1132</v>
      </c>
      <c r="C5200" s="5" t="s">
        <v>968</v>
      </c>
      <c r="D5200" s="2" t="s">
        <v>6021</v>
      </c>
    </row>
    <row r="5201" spans="1:4" ht="13.05" customHeight="1" x14ac:dyDescent="0.3">
      <c r="A5201" s="2" t="s">
        <v>738</v>
      </c>
      <c r="B5201" s="2" t="s">
        <v>1132</v>
      </c>
      <c r="C5201" s="5" t="s">
        <v>970</v>
      </c>
      <c r="D5201" s="2" t="s">
        <v>6042</v>
      </c>
    </row>
    <row r="5202" spans="1:4" ht="13.05" customHeight="1" x14ac:dyDescent="0.3">
      <c r="A5202" s="2" t="s">
        <v>738</v>
      </c>
      <c r="B5202" s="2" t="s">
        <v>1132</v>
      </c>
      <c r="C5202" s="5" t="s">
        <v>972</v>
      </c>
      <c r="D5202" s="2" t="s">
        <v>6043</v>
      </c>
    </row>
    <row r="5203" spans="1:4" ht="13.05" customHeight="1" x14ac:dyDescent="0.3">
      <c r="A5203" s="2" t="s">
        <v>738</v>
      </c>
      <c r="B5203" s="2" t="s">
        <v>1132</v>
      </c>
      <c r="C5203" s="5" t="s">
        <v>981</v>
      </c>
      <c r="D5203" s="2" t="s">
        <v>6044</v>
      </c>
    </row>
    <row r="5204" spans="1:4" ht="13.05" customHeight="1" x14ac:dyDescent="0.3">
      <c r="A5204" s="2" t="s">
        <v>738</v>
      </c>
      <c r="B5204" s="2" t="s">
        <v>1132</v>
      </c>
      <c r="C5204" s="5" t="s">
        <v>991</v>
      </c>
      <c r="D5204" s="2" t="s">
        <v>6045</v>
      </c>
    </row>
    <row r="5205" spans="1:4" ht="13.05" customHeight="1" x14ac:dyDescent="0.3">
      <c r="A5205" s="2" t="s">
        <v>738</v>
      </c>
      <c r="B5205" s="2" t="s">
        <v>1132</v>
      </c>
      <c r="C5205" s="5" t="s">
        <v>993</v>
      </c>
      <c r="D5205" s="2" t="s">
        <v>6046</v>
      </c>
    </row>
    <row r="5206" spans="1:4" ht="13.05" customHeight="1" x14ac:dyDescent="0.3">
      <c r="A5206" s="2" t="s">
        <v>738</v>
      </c>
      <c r="B5206" s="2" t="s">
        <v>1132</v>
      </c>
      <c r="C5206" s="5" t="s">
        <v>995</v>
      </c>
      <c r="D5206" s="2" t="s">
        <v>6047</v>
      </c>
    </row>
    <row r="5207" spans="1:4" ht="13.05" customHeight="1" x14ac:dyDescent="0.3">
      <c r="A5207" s="2" t="s">
        <v>738</v>
      </c>
      <c r="B5207" s="2" t="s">
        <v>1132</v>
      </c>
      <c r="C5207" s="5" t="s">
        <v>997</v>
      </c>
      <c r="D5207" s="2" t="s">
        <v>6048</v>
      </c>
    </row>
    <row r="5208" spans="1:4" ht="13.05" customHeight="1" x14ac:dyDescent="0.3">
      <c r="A5208" s="2" t="s">
        <v>738</v>
      </c>
      <c r="B5208" s="2" t="s">
        <v>1132</v>
      </c>
      <c r="C5208" s="5" t="s">
        <v>999</v>
      </c>
      <c r="D5208" s="2" t="s">
        <v>6028</v>
      </c>
    </row>
    <row r="5209" spans="1:4" ht="13.05" customHeight="1" x14ac:dyDescent="0.3">
      <c r="A5209" s="2" t="s">
        <v>738</v>
      </c>
      <c r="B5209" s="2" t="s">
        <v>1132</v>
      </c>
      <c r="C5209" s="5" t="s">
        <v>1001</v>
      </c>
      <c r="D5209" s="2" t="s">
        <v>6049</v>
      </c>
    </row>
    <row r="5210" spans="1:4" ht="13.05" customHeight="1" x14ac:dyDescent="0.3">
      <c r="A5210" s="2" t="s">
        <v>738</v>
      </c>
      <c r="B5210" s="2" t="s">
        <v>1132</v>
      </c>
      <c r="C5210" s="5" t="s">
        <v>1003</v>
      </c>
      <c r="D5210" s="2" t="s">
        <v>6030</v>
      </c>
    </row>
    <row r="5211" spans="1:4" ht="13.05" customHeight="1" x14ac:dyDescent="0.3">
      <c r="A5211" s="2" t="s">
        <v>738</v>
      </c>
      <c r="B5211" s="2" t="s">
        <v>1132</v>
      </c>
      <c r="C5211" s="5" t="s">
        <v>1005</v>
      </c>
      <c r="D5211" s="2" t="s">
        <v>6031</v>
      </c>
    </row>
    <row r="5212" spans="1:4" ht="13.05" customHeight="1" x14ac:dyDescent="0.3">
      <c r="A5212" s="2" t="s">
        <v>738</v>
      </c>
      <c r="B5212" s="2" t="s">
        <v>1132</v>
      </c>
      <c r="C5212" s="5" t="s">
        <v>1007</v>
      </c>
      <c r="D5212" s="2" t="s">
        <v>6032</v>
      </c>
    </row>
    <row r="5213" spans="1:4" ht="13.05" customHeight="1" x14ac:dyDescent="0.3">
      <c r="A5213" s="2" t="s">
        <v>738</v>
      </c>
      <c r="B5213" s="2" t="s">
        <v>1132</v>
      </c>
      <c r="C5213" s="5" t="s">
        <v>1009</v>
      </c>
      <c r="D5213" s="2" t="s">
        <v>6033</v>
      </c>
    </row>
    <row r="5214" spans="1:4" ht="13.05" customHeight="1" x14ac:dyDescent="0.3">
      <c r="A5214" s="2" t="s">
        <v>738</v>
      </c>
      <c r="B5214" s="2" t="s">
        <v>1132</v>
      </c>
      <c r="C5214" s="5" t="s">
        <v>1011</v>
      </c>
      <c r="D5214" s="2" t="s">
        <v>6034</v>
      </c>
    </row>
    <row r="5215" spans="1:4" ht="13.05" customHeight="1" x14ac:dyDescent="0.3">
      <c r="A5215" s="2" t="s">
        <v>738</v>
      </c>
      <c r="B5215" s="2" t="s">
        <v>1132</v>
      </c>
      <c r="C5215" s="5" t="s">
        <v>1013</v>
      </c>
      <c r="D5215" s="2" t="s">
        <v>6035</v>
      </c>
    </row>
    <row r="5216" spans="1:4" ht="13.05" customHeight="1" x14ac:dyDescent="0.3">
      <c r="A5216" s="2" t="s">
        <v>738</v>
      </c>
      <c r="B5216" s="2" t="s">
        <v>1132</v>
      </c>
      <c r="C5216" s="5" t="s">
        <v>1155</v>
      </c>
      <c r="D5216" s="2" t="s">
        <v>6036</v>
      </c>
    </row>
    <row r="5217" spans="1:4" ht="13.05" customHeight="1" x14ac:dyDescent="0.3">
      <c r="A5217" s="2" t="s">
        <v>738</v>
      </c>
      <c r="B5217" s="2" t="s">
        <v>1132</v>
      </c>
      <c r="C5217" s="5" t="s">
        <v>983</v>
      </c>
      <c r="D5217" s="2" t="s">
        <v>984</v>
      </c>
    </row>
    <row r="5218" spans="1:4" ht="13.05" customHeight="1" x14ac:dyDescent="0.3">
      <c r="A5218" s="2" t="s">
        <v>740</v>
      </c>
      <c r="B5218" s="2" t="s">
        <v>1132</v>
      </c>
      <c r="C5218" s="5" t="s">
        <v>974</v>
      </c>
      <c r="D5218" s="2" t="s">
        <v>975</v>
      </c>
    </row>
    <row r="5219" spans="1:4" ht="13.05" customHeight="1" x14ac:dyDescent="0.3">
      <c r="A5219" s="2" t="s">
        <v>740</v>
      </c>
      <c r="B5219" s="2" t="s">
        <v>1132</v>
      </c>
      <c r="C5219" s="5" t="s">
        <v>956</v>
      </c>
      <c r="D5219" s="2" t="s">
        <v>1025</v>
      </c>
    </row>
    <row r="5220" spans="1:4" ht="13.05" customHeight="1" x14ac:dyDescent="0.3">
      <c r="A5220" s="2" t="s">
        <v>740</v>
      </c>
      <c r="B5220" s="2" t="s">
        <v>1132</v>
      </c>
      <c r="C5220" s="5" t="s">
        <v>958</v>
      </c>
      <c r="D5220" s="2" t="s">
        <v>1019</v>
      </c>
    </row>
    <row r="5221" spans="1:4" ht="13.05" customHeight="1" x14ac:dyDescent="0.3">
      <c r="A5221" s="2" t="s">
        <v>740</v>
      </c>
      <c r="B5221" s="2" t="s">
        <v>1132</v>
      </c>
      <c r="C5221" s="5" t="s">
        <v>960</v>
      </c>
      <c r="D5221" s="2" t="s">
        <v>961</v>
      </c>
    </row>
    <row r="5222" spans="1:4" ht="13.05" customHeight="1" x14ac:dyDescent="0.3">
      <c r="A5222" s="2" t="s">
        <v>743</v>
      </c>
      <c r="B5222" s="2" t="s">
        <v>1018</v>
      </c>
      <c r="C5222" s="5" t="s">
        <v>962</v>
      </c>
      <c r="D5222" s="2" t="s">
        <v>1039</v>
      </c>
    </row>
    <row r="5223" spans="1:4" ht="13.05" customHeight="1" x14ac:dyDescent="0.3">
      <c r="A5223" s="2" t="s">
        <v>743</v>
      </c>
      <c r="B5223" s="2" t="s">
        <v>1018</v>
      </c>
      <c r="C5223" s="5" t="s">
        <v>964</v>
      </c>
      <c r="D5223" s="2" t="s">
        <v>1040</v>
      </c>
    </row>
    <row r="5224" spans="1:4" ht="13.05" customHeight="1" x14ac:dyDescent="0.3">
      <c r="A5224" s="2" t="s">
        <v>745</v>
      </c>
      <c r="B5224" s="2" t="s">
        <v>1132</v>
      </c>
      <c r="C5224" s="5" t="s">
        <v>974</v>
      </c>
      <c r="D5224" s="2" t="s">
        <v>975</v>
      </c>
    </row>
    <row r="5225" spans="1:4" ht="13.05" customHeight="1" x14ac:dyDescent="0.3">
      <c r="A5225" s="2" t="s">
        <v>745</v>
      </c>
      <c r="B5225" s="2" t="s">
        <v>1132</v>
      </c>
      <c r="C5225" s="5" t="s">
        <v>6070</v>
      </c>
      <c r="D5225" s="2" t="s">
        <v>6071</v>
      </c>
    </row>
    <row r="5226" spans="1:4" ht="13.05" customHeight="1" x14ac:dyDescent="0.3">
      <c r="A5226" s="2" t="s">
        <v>745</v>
      </c>
      <c r="B5226" s="2" t="s">
        <v>1132</v>
      </c>
      <c r="C5226" s="5" t="s">
        <v>6072</v>
      </c>
      <c r="D5226" s="2" t="s">
        <v>6073</v>
      </c>
    </row>
    <row r="5227" spans="1:4" ht="13.05" customHeight="1" x14ac:dyDescent="0.3">
      <c r="A5227" s="2" t="s">
        <v>745</v>
      </c>
      <c r="B5227" s="2" t="s">
        <v>1132</v>
      </c>
      <c r="C5227" s="5" t="s">
        <v>6074</v>
      </c>
      <c r="D5227" s="2" t="s">
        <v>6075</v>
      </c>
    </row>
    <row r="5228" spans="1:4" ht="13.05" customHeight="1" x14ac:dyDescent="0.3">
      <c r="A5228" s="2" t="s">
        <v>745</v>
      </c>
      <c r="B5228" s="2" t="s">
        <v>1132</v>
      </c>
      <c r="C5228" s="5" t="s">
        <v>6076</v>
      </c>
      <c r="D5228" s="2" t="s">
        <v>6077</v>
      </c>
    </row>
    <row r="5229" spans="1:4" ht="13.05" customHeight="1" x14ac:dyDescent="0.3">
      <c r="A5229" s="2" t="s">
        <v>745</v>
      </c>
      <c r="B5229" s="2" t="s">
        <v>1132</v>
      </c>
      <c r="C5229" s="5" t="s">
        <v>6078</v>
      </c>
      <c r="D5229" s="2" t="s">
        <v>6079</v>
      </c>
    </row>
    <row r="5230" spans="1:4" ht="13.05" customHeight="1" x14ac:dyDescent="0.3">
      <c r="A5230" s="2" t="s">
        <v>747</v>
      </c>
      <c r="B5230" s="2" t="s">
        <v>1132</v>
      </c>
      <c r="C5230" s="5" t="s">
        <v>974</v>
      </c>
      <c r="D5230" s="2" t="s">
        <v>975</v>
      </c>
    </row>
    <row r="5231" spans="1:4" ht="13.05" customHeight="1" x14ac:dyDescent="0.3">
      <c r="A5231" s="2" t="s">
        <v>749</v>
      </c>
      <c r="B5231" s="2" t="s">
        <v>1132</v>
      </c>
      <c r="C5231" s="5" t="s">
        <v>974</v>
      </c>
      <c r="D5231" s="2" t="s">
        <v>975</v>
      </c>
    </row>
    <row r="5232" spans="1:4" ht="13.05" customHeight="1" x14ac:dyDescent="0.3">
      <c r="A5232" s="2" t="s">
        <v>751</v>
      </c>
      <c r="B5232" s="2" t="s">
        <v>1132</v>
      </c>
      <c r="C5232" s="5" t="s">
        <v>962</v>
      </c>
      <c r="D5232" s="2" t="s">
        <v>1039</v>
      </c>
    </row>
    <row r="5233" spans="1:4" ht="13.05" customHeight="1" x14ac:dyDescent="0.3">
      <c r="A5233" s="2" t="s">
        <v>751</v>
      </c>
      <c r="B5233" s="2" t="s">
        <v>1132</v>
      </c>
      <c r="C5233" s="5" t="s">
        <v>964</v>
      </c>
      <c r="D5233" s="2" t="s">
        <v>1040</v>
      </c>
    </row>
    <row r="5234" spans="1:4" ht="13.05" customHeight="1" x14ac:dyDescent="0.3">
      <c r="A5234" s="2" t="s">
        <v>753</v>
      </c>
      <c r="B5234" s="2" t="s">
        <v>1132</v>
      </c>
      <c r="C5234" s="5" t="s">
        <v>974</v>
      </c>
      <c r="D5234" s="2" t="s">
        <v>975</v>
      </c>
    </row>
    <row r="5235" spans="1:4" ht="13.05" customHeight="1" x14ac:dyDescent="0.3">
      <c r="A5235" s="2" t="s">
        <v>757</v>
      </c>
      <c r="B5235" s="2" t="s">
        <v>1132</v>
      </c>
      <c r="C5235" s="5" t="s">
        <v>956</v>
      </c>
      <c r="D5235" s="2" t="s">
        <v>1025</v>
      </c>
    </row>
    <row r="5236" spans="1:4" ht="13.05" customHeight="1" x14ac:dyDescent="0.3">
      <c r="A5236" s="2" t="s">
        <v>757</v>
      </c>
      <c r="B5236" s="2" t="s">
        <v>1132</v>
      </c>
      <c r="C5236" s="5" t="s">
        <v>958</v>
      </c>
      <c r="D5236" s="2" t="s">
        <v>1019</v>
      </c>
    </row>
    <row r="5237" spans="1:4" ht="13.05" customHeight="1" x14ac:dyDescent="0.3">
      <c r="A5237" s="2" t="s">
        <v>757</v>
      </c>
      <c r="B5237" s="2" t="s">
        <v>1132</v>
      </c>
      <c r="C5237" s="5" t="s">
        <v>962</v>
      </c>
      <c r="D5237" s="2" t="s">
        <v>1039</v>
      </c>
    </row>
    <row r="5238" spans="1:4" ht="13.05" customHeight="1" x14ac:dyDescent="0.3">
      <c r="A5238" s="2" t="s">
        <v>757</v>
      </c>
      <c r="B5238" s="2" t="s">
        <v>1132</v>
      </c>
      <c r="C5238" s="5" t="s">
        <v>964</v>
      </c>
      <c r="D5238" s="2" t="s">
        <v>1040</v>
      </c>
    </row>
    <row r="5239" spans="1:4" ht="13.05" customHeight="1" x14ac:dyDescent="0.3">
      <c r="A5239" s="2" t="s">
        <v>760</v>
      </c>
      <c r="B5239" s="2" t="s">
        <v>1132</v>
      </c>
      <c r="C5239" s="5" t="s">
        <v>974</v>
      </c>
      <c r="D5239" s="2" t="s">
        <v>975</v>
      </c>
    </row>
    <row r="5240" spans="1:4" ht="13.05" customHeight="1" x14ac:dyDescent="0.3">
      <c r="A5240" s="2" t="s">
        <v>760</v>
      </c>
      <c r="B5240" s="2" t="s">
        <v>1132</v>
      </c>
      <c r="C5240" s="5" t="s">
        <v>956</v>
      </c>
      <c r="D5240" s="2" t="s">
        <v>957</v>
      </c>
    </row>
    <row r="5241" spans="1:4" ht="13.05" customHeight="1" x14ac:dyDescent="0.3">
      <c r="A5241" s="2" t="s">
        <v>760</v>
      </c>
      <c r="B5241" s="2" t="s">
        <v>1132</v>
      </c>
      <c r="C5241" s="5" t="s">
        <v>958</v>
      </c>
      <c r="D5241" s="2" t="s">
        <v>959</v>
      </c>
    </row>
    <row r="5242" spans="1:4" ht="13.05" customHeight="1" x14ac:dyDescent="0.3">
      <c r="A5242" s="2" t="s">
        <v>760</v>
      </c>
      <c r="B5242" s="2" t="s">
        <v>1132</v>
      </c>
      <c r="C5242" s="5" t="s">
        <v>960</v>
      </c>
      <c r="D5242" s="2" t="s">
        <v>961</v>
      </c>
    </row>
    <row r="5243" spans="1:4" ht="13.05" customHeight="1" x14ac:dyDescent="0.3">
      <c r="A5243" s="2" t="s">
        <v>760</v>
      </c>
      <c r="B5243" s="2" t="s">
        <v>1132</v>
      </c>
      <c r="C5243" s="5" t="s">
        <v>962</v>
      </c>
      <c r="D5243" s="2" t="s">
        <v>827</v>
      </c>
    </row>
    <row r="5244" spans="1:4" ht="13.05" customHeight="1" x14ac:dyDescent="0.3">
      <c r="A5244" s="2" t="s">
        <v>760</v>
      </c>
      <c r="B5244" s="2" t="s">
        <v>1132</v>
      </c>
      <c r="C5244" s="5" t="s">
        <v>964</v>
      </c>
      <c r="D5244" s="2" t="s">
        <v>979</v>
      </c>
    </row>
    <row r="5245" spans="1:4" ht="13.05" customHeight="1" x14ac:dyDescent="0.3">
      <c r="A5245" s="2" t="s">
        <v>760</v>
      </c>
      <c r="B5245" s="2" t="s">
        <v>1132</v>
      </c>
      <c r="C5245" s="5" t="s">
        <v>966</v>
      </c>
      <c r="D5245" s="2" t="s">
        <v>6069</v>
      </c>
    </row>
    <row r="5246" spans="1:4" ht="13.05" customHeight="1" x14ac:dyDescent="0.3">
      <c r="A5246" s="2" t="s">
        <v>760</v>
      </c>
      <c r="B5246" s="2" t="s">
        <v>1132</v>
      </c>
      <c r="C5246" s="5" t="s">
        <v>968</v>
      </c>
      <c r="D5246" s="2" t="s">
        <v>6021</v>
      </c>
    </row>
    <row r="5247" spans="1:4" ht="13.05" customHeight="1" x14ac:dyDescent="0.3">
      <c r="A5247" s="2" t="s">
        <v>760</v>
      </c>
      <c r="B5247" s="2" t="s">
        <v>1132</v>
      </c>
      <c r="C5247" s="5" t="s">
        <v>970</v>
      </c>
      <c r="D5247" s="2" t="s">
        <v>4481</v>
      </c>
    </row>
    <row r="5248" spans="1:4" ht="13.05" customHeight="1" x14ac:dyDescent="0.3">
      <c r="A5248" s="2" t="s">
        <v>760</v>
      </c>
      <c r="B5248" s="2" t="s">
        <v>1132</v>
      </c>
      <c r="C5248" s="5" t="s">
        <v>972</v>
      </c>
      <c r="D5248" s="2" t="s">
        <v>6022</v>
      </c>
    </row>
    <row r="5249" spans="1:4" ht="13.05" customHeight="1" x14ac:dyDescent="0.3">
      <c r="A5249" s="2" t="s">
        <v>760</v>
      </c>
      <c r="B5249" s="2" t="s">
        <v>1132</v>
      </c>
      <c r="C5249" s="5" t="s">
        <v>981</v>
      </c>
      <c r="D5249" s="2" t="s">
        <v>6044</v>
      </c>
    </row>
    <row r="5250" spans="1:4" ht="13.05" customHeight="1" x14ac:dyDescent="0.3">
      <c r="A5250" s="2" t="s">
        <v>760</v>
      </c>
      <c r="B5250" s="2" t="s">
        <v>1132</v>
      </c>
      <c r="C5250" s="5" t="s">
        <v>991</v>
      </c>
      <c r="D5250" s="2" t="s">
        <v>6024</v>
      </c>
    </row>
    <row r="5251" spans="1:4" ht="13.05" customHeight="1" x14ac:dyDescent="0.3">
      <c r="A5251" s="2" t="s">
        <v>760</v>
      </c>
      <c r="B5251" s="2" t="s">
        <v>1132</v>
      </c>
      <c r="C5251" s="5" t="s">
        <v>993</v>
      </c>
      <c r="D5251" s="2" t="s">
        <v>6025</v>
      </c>
    </row>
    <row r="5252" spans="1:4" ht="13.05" customHeight="1" x14ac:dyDescent="0.3">
      <c r="A5252" s="2" t="s">
        <v>760</v>
      </c>
      <c r="B5252" s="2" t="s">
        <v>1132</v>
      </c>
      <c r="C5252" s="5" t="s">
        <v>995</v>
      </c>
      <c r="D5252" s="2" t="s">
        <v>6026</v>
      </c>
    </row>
    <row r="5253" spans="1:4" ht="13.05" customHeight="1" x14ac:dyDescent="0.3">
      <c r="A5253" s="2" t="s">
        <v>760</v>
      </c>
      <c r="B5253" s="2" t="s">
        <v>1132</v>
      </c>
      <c r="C5253" s="5" t="s">
        <v>997</v>
      </c>
      <c r="D5253" s="2" t="s">
        <v>6048</v>
      </c>
    </row>
    <row r="5254" spans="1:4" ht="13.05" customHeight="1" x14ac:dyDescent="0.3">
      <c r="A5254" s="2" t="s">
        <v>760</v>
      </c>
      <c r="B5254" s="2" t="s">
        <v>1132</v>
      </c>
      <c r="C5254" s="5" t="s">
        <v>999</v>
      </c>
      <c r="D5254" s="2" t="s">
        <v>6080</v>
      </c>
    </row>
    <row r="5255" spans="1:4" ht="13.05" customHeight="1" x14ac:dyDescent="0.3">
      <c r="A5255" s="2" t="s">
        <v>760</v>
      </c>
      <c r="B5255" s="2" t="s">
        <v>1132</v>
      </c>
      <c r="C5255" s="5" t="s">
        <v>1001</v>
      </c>
      <c r="D5255" s="2" t="s">
        <v>6029</v>
      </c>
    </row>
    <row r="5256" spans="1:4" ht="13.05" customHeight="1" x14ac:dyDescent="0.3">
      <c r="A5256" s="2" t="s">
        <v>760</v>
      </c>
      <c r="B5256" s="2" t="s">
        <v>1132</v>
      </c>
      <c r="C5256" s="5" t="s">
        <v>1003</v>
      </c>
      <c r="D5256" s="2" t="s">
        <v>6030</v>
      </c>
    </row>
    <row r="5257" spans="1:4" ht="13.05" customHeight="1" x14ac:dyDescent="0.3">
      <c r="A5257" s="2" t="s">
        <v>760</v>
      </c>
      <c r="B5257" s="2" t="s">
        <v>1132</v>
      </c>
      <c r="C5257" s="5" t="s">
        <v>1005</v>
      </c>
      <c r="D5257" s="2" t="s">
        <v>6031</v>
      </c>
    </row>
    <row r="5258" spans="1:4" ht="13.05" customHeight="1" x14ac:dyDescent="0.3">
      <c r="A5258" s="2" t="s">
        <v>760</v>
      </c>
      <c r="B5258" s="2" t="s">
        <v>1132</v>
      </c>
      <c r="C5258" s="5" t="s">
        <v>1007</v>
      </c>
      <c r="D5258" s="2" t="s">
        <v>6081</v>
      </c>
    </row>
    <row r="5259" spans="1:4" ht="13.05" customHeight="1" x14ac:dyDescent="0.3">
      <c r="A5259" s="2" t="s">
        <v>760</v>
      </c>
      <c r="B5259" s="2" t="s">
        <v>1132</v>
      </c>
      <c r="C5259" s="5" t="s">
        <v>1009</v>
      </c>
      <c r="D5259" s="2" t="s">
        <v>6082</v>
      </c>
    </row>
    <row r="5260" spans="1:4" ht="13.05" customHeight="1" x14ac:dyDescent="0.3">
      <c r="A5260" s="2" t="s">
        <v>760</v>
      </c>
      <c r="B5260" s="2" t="s">
        <v>1132</v>
      </c>
      <c r="C5260" s="5" t="s">
        <v>1011</v>
      </c>
      <c r="D5260" s="2" t="s">
        <v>6034</v>
      </c>
    </row>
    <row r="5261" spans="1:4" ht="13.05" customHeight="1" x14ac:dyDescent="0.3">
      <c r="A5261" s="2" t="s">
        <v>760</v>
      </c>
      <c r="B5261" s="2" t="s">
        <v>1132</v>
      </c>
      <c r="C5261" s="5" t="s">
        <v>1013</v>
      </c>
      <c r="D5261" s="2" t="s">
        <v>6052</v>
      </c>
    </row>
    <row r="5262" spans="1:4" ht="13.05" customHeight="1" x14ac:dyDescent="0.3">
      <c r="A5262" s="2" t="s">
        <v>760</v>
      </c>
      <c r="B5262" s="2" t="s">
        <v>1132</v>
      </c>
      <c r="C5262" s="5" t="s">
        <v>1155</v>
      </c>
      <c r="D5262" s="2" t="s">
        <v>6083</v>
      </c>
    </row>
    <row r="5263" spans="1:4" ht="13.05" customHeight="1" x14ac:dyDescent="0.3">
      <c r="A5263" s="2" t="s">
        <v>760</v>
      </c>
      <c r="B5263" s="2" t="s">
        <v>1132</v>
      </c>
      <c r="C5263" s="5" t="s">
        <v>983</v>
      </c>
      <c r="D5263" s="2" t="s">
        <v>6053</v>
      </c>
    </row>
    <row r="5264" spans="1:4" ht="13.05" customHeight="1" x14ac:dyDescent="0.3">
      <c r="A5264" s="2" t="s">
        <v>762</v>
      </c>
      <c r="B5264" s="2" t="s">
        <v>1132</v>
      </c>
      <c r="C5264" s="5" t="s">
        <v>956</v>
      </c>
      <c r="D5264" s="2" t="s">
        <v>957</v>
      </c>
    </row>
    <row r="5265" spans="1:4" ht="13.05" customHeight="1" x14ac:dyDescent="0.3">
      <c r="A5265" s="2" t="s">
        <v>762</v>
      </c>
      <c r="B5265" s="2" t="s">
        <v>1132</v>
      </c>
      <c r="C5265" s="5" t="s">
        <v>958</v>
      </c>
      <c r="D5265" s="2" t="s">
        <v>959</v>
      </c>
    </row>
    <row r="5266" spans="1:4" ht="13.05" customHeight="1" x14ac:dyDescent="0.3">
      <c r="A5266" s="2" t="s">
        <v>762</v>
      </c>
      <c r="B5266" s="2" t="s">
        <v>1132</v>
      </c>
      <c r="C5266" s="5" t="s">
        <v>962</v>
      </c>
      <c r="D5266" s="2" t="s">
        <v>827</v>
      </c>
    </row>
    <row r="5267" spans="1:4" ht="13.05" customHeight="1" x14ac:dyDescent="0.3">
      <c r="A5267" s="2" t="s">
        <v>762</v>
      </c>
      <c r="B5267" s="2" t="s">
        <v>1132</v>
      </c>
      <c r="C5267" s="5" t="s">
        <v>964</v>
      </c>
      <c r="D5267" s="2" t="s">
        <v>979</v>
      </c>
    </row>
    <row r="5268" spans="1:4" ht="13.05" customHeight="1" x14ac:dyDescent="0.3">
      <c r="A5268" s="2" t="s">
        <v>762</v>
      </c>
      <c r="B5268" s="2" t="s">
        <v>1132</v>
      </c>
      <c r="C5268" s="5" t="s">
        <v>966</v>
      </c>
      <c r="D5268" s="2" t="s">
        <v>6069</v>
      </c>
    </row>
    <row r="5269" spans="1:4" ht="13.05" customHeight="1" x14ac:dyDescent="0.3">
      <c r="A5269" s="2" t="s">
        <v>762</v>
      </c>
      <c r="B5269" s="2" t="s">
        <v>1132</v>
      </c>
      <c r="C5269" s="5" t="s">
        <v>968</v>
      </c>
      <c r="D5269" s="2" t="s">
        <v>6021</v>
      </c>
    </row>
    <row r="5270" spans="1:4" ht="13.05" customHeight="1" x14ac:dyDescent="0.3">
      <c r="A5270" s="2" t="s">
        <v>762</v>
      </c>
      <c r="B5270" s="2" t="s">
        <v>1132</v>
      </c>
      <c r="C5270" s="5" t="s">
        <v>970</v>
      </c>
      <c r="D5270" s="2" t="s">
        <v>4481</v>
      </c>
    </row>
    <row r="5271" spans="1:4" ht="13.05" customHeight="1" x14ac:dyDescent="0.3">
      <c r="A5271" s="2" t="s">
        <v>762</v>
      </c>
      <c r="B5271" s="2" t="s">
        <v>1132</v>
      </c>
      <c r="C5271" s="5" t="s">
        <v>972</v>
      </c>
      <c r="D5271" s="2" t="s">
        <v>6022</v>
      </c>
    </row>
    <row r="5272" spans="1:4" ht="13.05" customHeight="1" x14ac:dyDescent="0.3">
      <c r="A5272" s="2" t="s">
        <v>762</v>
      </c>
      <c r="B5272" s="2" t="s">
        <v>1132</v>
      </c>
      <c r="C5272" s="5" t="s">
        <v>981</v>
      </c>
      <c r="D5272" s="2" t="s">
        <v>6044</v>
      </c>
    </row>
    <row r="5273" spans="1:4" ht="13.05" customHeight="1" x14ac:dyDescent="0.3">
      <c r="A5273" s="2" t="s">
        <v>762</v>
      </c>
      <c r="B5273" s="2" t="s">
        <v>1132</v>
      </c>
      <c r="C5273" s="5" t="s">
        <v>991</v>
      </c>
      <c r="D5273" s="2" t="s">
        <v>6024</v>
      </c>
    </row>
    <row r="5274" spans="1:4" ht="13.05" customHeight="1" x14ac:dyDescent="0.3">
      <c r="A5274" s="2" t="s">
        <v>762</v>
      </c>
      <c r="B5274" s="2" t="s">
        <v>1132</v>
      </c>
      <c r="C5274" s="5" t="s">
        <v>993</v>
      </c>
      <c r="D5274" s="2" t="s">
        <v>6025</v>
      </c>
    </row>
    <row r="5275" spans="1:4" ht="13.05" customHeight="1" x14ac:dyDescent="0.3">
      <c r="A5275" s="2" t="s">
        <v>762</v>
      </c>
      <c r="B5275" s="2" t="s">
        <v>1132</v>
      </c>
      <c r="C5275" s="5" t="s">
        <v>995</v>
      </c>
      <c r="D5275" s="2" t="s">
        <v>6026</v>
      </c>
    </row>
    <row r="5276" spans="1:4" ht="13.05" customHeight="1" x14ac:dyDescent="0.3">
      <c r="A5276" s="2" t="s">
        <v>762</v>
      </c>
      <c r="B5276" s="2" t="s">
        <v>1132</v>
      </c>
      <c r="C5276" s="5" t="s">
        <v>997</v>
      </c>
      <c r="D5276" s="2" t="s">
        <v>6048</v>
      </c>
    </row>
    <row r="5277" spans="1:4" ht="13.05" customHeight="1" x14ac:dyDescent="0.3">
      <c r="A5277" s="2" t="s">
        <v>762</v>
      </c>
      <c r="B5277" s="2" t="s">
        <v>1132</v>
      </c>
      <c r="C5277" s="5" t="s">
        <v>999</v>
      </c>
      <c r="D5277" s="2" t="s">
        <v>6080</v>
      </c>
    </row>
    <row r="5278" spans="1:4" ht="13.05" customHeight="1" x14ac:dyDescent="0.3">
      <c r="A5278" s="2" t="s">
        <v>762</v>
      </c>
      <c r="B5278" s="2" t="s">
        <v>1132</v>
      </c>
      <c r="C5278" s="5" t="s">
        <v>1001</v>
      </c>
      <c r="D5278" s="2" t="s">
        <v>6029</v>
      </c>
    </row>
    <row r="5279" spans="1:4" ht="13.05" customHeight="1" x14ac:dyDescent="0.3">
      <c r="A5279" s="2" t="s">
        <v>762</v>
      </c>
      <c r="B5279" s="2" t="s">
        <v>1132</v>
      </c>
      <c r="C5279" s="5" t="s">
        <v>1003</v>
      </c>
      <c r="D5279" s="2" t="s">
        <v>6030</v>
      </c>
    </row>
    <row r="5280" spans="1:4" ht="13.05" customHeight="1" x14ac:dyDescent="0.3">
      <c r="A5280" s="2" t="s">
        <v>762</v>
      </c>
      <c r="B5280" s="2" t="s">
        <v>1132</v>
      </c>
      <c r="C5280" s="5" t="s">
        <v>1005</v>
      </c>
      <c r="D5280" s="2" t="s">
        <v>6031</v>
      </c>
    </row>
    <row r="5281" spans="1:4" ht="13.05" customHeight="1" x14ac:dyDescent="0.3">
      <c r="A5281" s="2" t="s">
        <v>762</v>
      </c>
      <c r="B5281" s="2" t="s">
        <v>1132</v>
      </c>
      <c r="C5281" s="5" t="s">
        <v>1007</v>
      </c>
      <c r="D5281" s="2" t="s">
        <v>6081</v>
      </c>
    </row>
    <row r="5282" spans="1:4" ht="13.05" customHeight="1" x14ac:dyDescent="0.3">
      <c r="A5282" s="2" t="s">
        <v>762</v>
      </c>
      <c r="B5282" s="2" t="s">
        <v>1132</v>
      </c>
      <c r="C5282" s="5" t="s">
        <v>1009</v>
      </c>
      <c r="D5282" s="2" t="s">
        <v>6082</v>
      </c>
    </row>
    <row r="5283" spans="1:4" ht="13.05" customHeight="1" x14ac:dyDescent="0.3">
      <c r="A5283" s="2" t="s">
        <v>762</v>
      </c>
      <c r="B5283" s="2" t="s">
        <v>1132</v>
      </c>
      <c r="C5283" s="5" t="s">
        <v>1011</v>
      </c>
      <c r="D5283" s="2" t="s">
        <v>6034</v>
      </c>
    </row>
    <row r="5284" spans="1:4" ht="13.05" customHeight="1" x14ac:dyDescent="0.3">
      <c r="A5284" s="2" t="s">
        <v>762</v>
      </c>
      <c r="B5284" s="2" t="s">
        <v>1132</v>
      </c>
      <c r="C5284" s="5" t="s">
        <v>1013</v>
      </c>
      <c r="D5284" s="2" t="s">
        <v>6052</v>
      </c>
    </row>
    <row r="5285" spans="1:4" ht="13.05" customHeight="1" x14ac:dyDescent="0.3">
      <c r="A5285" s="2" t="s">
        <v>762</v>
      </c>
      <c r="B5285" s="2" t="s">
        <v>1132</v>
      </c>
      <c r="C5285" s="5" t="s">
        <v>1155</v>
      </c>
      <c r="D5285" s="2" t="s">
        <v>6083</v>
      </c>
    </row>
    <row r="5286" spans="1:4" ht="13.05" customHeight="1" x14ac:dyDescent="0.3">
      <c r="A5286" s="2" t="s">
        <v>762</v>
      </c>
      <c r="B5286" s="2" t="s">
        <v>1132</v>
      </c>
      <c r="C5286" s="5" t="s">
        <v>983</v>
      </c>
      <c r="D5286" s="2" t="s">
        <v>6053</v>
      </c>
    </row>
    <row r="5287" spans="1:4" ht="13.05" customHeight="1" x14ac:dyDescent="0.3">
      <c r="A5287" s="2" t="s">
        <v>765</v>
      </c>
      <c r="B5287" s="2" t="s">
        <v>1132</v>
      </c>
      <c r="C5287" s="5" t="s">
        <v>974</v>
      </c>
      <c r="D5287" s="2" t="s">
        <v>975</v>
      </c>
    </row>
    <row r="5288" spans="1:4" ht="13.05" customHeight="1" x14ac:dyDescent="0.3">
      <c r="A5288" s="2" t="s">
        <v>765</v>
      </c>
      <c r="B5288" s="2" t="s">
        <v>1132</v>
      </c>
      <c r="C5288" s="5" t="s">
        <v>960</v>
      </c>
      <c r="D5288" s="2" t="s">
        <v>961</v>
      </c>
    </row>
    <row r="5289" spans="1:4" ht="13.05" customHeight="1" x14ac:dyDescent="0.3">
      <c r="A5289" s="2" t="s">
        <v>768</v>
      </c>
      <c r="B5289" s="2" t="s">
        <v>1132</v>
      </c>
      <c r="C5289" s="5" t="s">
        <v>974</v>
      </c>
      <c r="D5289" s="2" t="s">
        <v>975</v>
      </c>
    </row>
    <row r="5290" spans="1:4" ht="13.05" customHeight="1" x14ac:dyDescent="0.3">
      <c r="A5290" s="2" t="s">
        <v>768</v>
      </c>
      <c r="B5290" s="2" t="s">
        <v>1132</v>
      </c>
      <c r="C5290" s="5" t="s">
        <v>960</v>
      </c>
      <c r="D5290" s="2" t="s">
        <v>961</v>
      </c>
    </row>
    <row r="5291" spans="1:4" ht="13.05" customHeight="1" x14ac:dyDescent="0.3">
      <c r="A5291" s="2" t="s">
        <v>770</v>
      </c>
      <c r="B5291" s="2" t="s">
        <v>1132</v>
      </c>
      <c r="C5291" s="5" t="s">
        <v>974</v>
      </c>
      <c r="D5291" s="2" t="s">
        <v>975</v>
      </c>
    </row>
    <row r="5292" spans="1:4" ht="13.05" customHeight="1" x14ac:dyDescent="0.3">
      <c r="A5292" s="2" t="s">
        <v>770</v>
      </c>
      <c r="B5292" s="2" t="s">
        <v>1132</v>
      </c>
      <c r="C5292" s="5" t="s">
        <v>956</v>
      </c>
      <c r="D5292" s="2" t="s">
        <v>1025</v>
      </c>
    </row>
    <row r="5293" spans="1:4" ht="13.05" customHeight="1" x14ac:dyDescent="0.3">
      <c r="A5293" s="2" t="s">
        <v>770</v>
      </c>
      <c r="B5293" s="2" t="s">
        <v>1132</v>
      </c>
      <c r="C5293" s="5" t="s">
        <v>958</v>
      </c>
      <c r="D5293" s="2" t="s">
        <v>1019</v>
      </c>
    </row>
    <row r="5294" spans="1:4" ht="13.05" customHeight="1" x14ac:dyDescent="0.3">
      <c r="A5294" s="2" t="s">
        <v>770</v>
      </c>
      <c r="B5294" s="2" t="s">
        <v>1132</v>
      </c>
      <c r="C5294" s="5" t="s">
        <v>960</v>
      </c>
      <c r="D5294" s="2" t="s">
        <v>961</v>
      </c>
    </row>
    <row r="5295" spans="1:4" ht="13.05" customHeight="1" x14ac:dyDescent="0.3">
      <c r="A5295" s="2" t="s">
        <v>773</v>
      </c>
      <c r="B5295" s="2" t="s">
        <v>1018</v>
      </c>
      <c r="C5295" s="5" t="s">
        <v>974</v>
      </c>
      <c r="D5295" s="2" t="s">
        <v>975</v>
      </c>
    </row>
    <row r="5296" spans="1:4" ht="13.05" customHeight="1" x14ac:dyDescent="0.3">
      <c r="A5296" s="2" t="s">
        <v>773</v>
      </c>
      <c r="B5296" s="2" t="s">
        <v>1018</v>
      </c>
      <c r="C5296" s="5" t="s">
        <v>962</v>
      </c>
      <c r="D5296" s="2" t="s">
        <v>6084</v>
      </c>
    </row>
    <row r="5297" spans="1:4" ht="13.05" customHeight="1" x14ac:dyDescent="0.3">
      <c r="A5297" s="2" t="s">
        <v>773</v>
      </c>
      <c r="B5297" s="2" t="s">
        <v>1018</v>
      </c>
      <c r="C5297" s="5" t="s">
        <v>964</v>
      </c>
      <c r="D5297" s="2" t="s">
        <v>6085</v>
      </c>
    </row>
    <row r="5298" spans="1:4" ht="13.05" customHeight="1" x14ac:dyDescent="0.3">
      <c r="A5298" s="2" t="s">
        <v>773</v>
      </c>
      <c r="B5298" s="2" t="s">
        <v>1018</v>
      </c>
      <c r="C5298" s="5" t="s">
        <v>966</v>
      </c>
      <c r="D5298" s="2" t="s">
        <v>6086</v>
      </c>
    </row>
    <row r="5299" spans="1:4" ht="13.05" customHeight="1" x14ac:dyDescent="0.3">
      <c r="A5299" s="2" t="s">
        <v>773</v>
      </c>
      <c r="B5299" s="2" t="s">
        <v>1018</v>
      </c>
      <c r="C5299" s="5" t="s">
        <v>968</v>
      </c>
      <c r="D5299" s="2" t="s">
        <v>6087</v>
      </c>
    </row>
    <row r="5300" spans="1:4" ht="13.05" customHeight="1" x14ac:dyDescent="0.3">
      <c r="A5300" s="2" t="s">
        <v>775</v>
      </c>
      <c r="B5300" s="2" t="s">
        <v>1018</v>
      </c>
      <c r="C5300" s="5" t="s">
        <v>974</v>
      </c>
      <c r="D5300" s="2" t="s">
        <v>975</v>
      </c>
    </row>
    <row r="5301" spans="1:4" ht="13.05" customHeight="1" x14ac:dyDescent="0.3">
      <c r="A5301" s="2" t="s">
        <v>775</v>
      </c>
      <c r="B5301" s="2" t="s">
        <v>1018</v>
      </c>
      <c r="C5301" s="5" t="s">
        <v>962</v>
      </c>
      <c r="D5301" s="2" t="s">
        <v>6088</v>
      </c>
    </row>
    <row r="5302" spans="1:4" ht="13.05" customHeight="1" x14ac:dyDescent="0.3">
      <c r="A5302" s="2" t="s">
        <v>775</v>
      </c>
      <c r="B5302" s="2" t="s">
        <v>1018</v>
      </c>
      <c r="C5302" s="5" t="s">
        <v>964</v>
      </c>
      <c r="D5302" s="2" t="s">
        <v>6089</v>
      </c>
    </row>
    <row r="5303" spans="1:4" ht="13.05" customHeight="1" x14ac:dyDescent="0.3">
      <c r="A5303" s="2" t="s">
        <v>775</v>
      </c>
      <c r="B5303" s="2" t="s">
        <v>1018</v>
      </c>
      <c r="C5303" s="5" t="s">
        <v>966</v>
      </c>
      <c r="D5303" s="2" t="s">
        <v>6090</v>
      </c>
    </row>
    <row r="5304" spans="1:4" ht="13.05" customHeight="1" x14ac:dyDescent="0.3">
      <c r="A5304" s="2" t="s">
        <v>775</v>
      </c>
      <c r="B5304" s="2" t="s">
        <v>1018</v>
      </c>
      <c r="C5304" s="5" t="s">
        <v>968</v>
      </c>
      <c r="D5304" s="2" t="s">
        <v>6091</v>
      </c>
    </row>
    <row r="5305" spans="1:4" ht="13.05" customHeight="1" x14ac:dyDescent="0.3">
      <c r="A5305" s="2" t="s">
        <v>775</v>
      </c>
      <c r="B5305" s="2" t="s">
        <v>1018</v>
      </c>
      <c r="C5305" s="5" t="s">
        <v>970</v>
      </c>
      <c r="D5305" s="2" t="s">
        <v>6092</v>
      </c>
    </row>
    <row r="5306" spans="1:4" ht="13.05" customHeight="1" x14ac:dyDescent="0.3">
      <c r="A5306" s="2" t="s">
        <v>775</v>
      </c>
      <c r="B5306" s="2" t="s">
        <v>1018</v>
      </c>
      <c r="C5306" s="5" t="s">
        <v>972</v>
      </c>
      <c r="D5306" s="2" t="s">
        <v>6093</v>
      </c>
    </row>
    <row r="5307" spans="1:4" ht="13.05" customHeight="1" x14ac:dyDescent="0.3">
      <c r="A5307" s="2" t="s">
        <v>777</v>
      </c>
      <c r="B5307" s="2" t="s">
        <v>1018</v>
      </c>
      <c r="C5307" s="5" t="s">
        <v>974</v>
      </c>
      <c r="D5307" s="2" t="s">
        <v>975</v>
      </c>
    </row>
    <row r="5308" spans="1:4" ht="13.05" customHeight="1" x14ac:dyDescent="0.3">
      <c r="A5308" s="2" t="s">
        <v>777</v>
      </c>
      <c r="B5308" s="2" t="s">
        <v>1018</v>
      </c>
      <c r="C5308" s="5" t="s">
        <v>962</v>
      </c>
      <c r="D5308" s="2" t="s">
        <v>6094</v>
      </c>
    </row>
    <row r="5309" spans="1:4" ht="13.05" customHeight="1" x14ac:dyDescent="0.3">
      <c r="A5309" s="2" t="s">
        <v>777</v>
      </c>
      <c r="B5309" s="2" t="s">
        <v>1018</v>
      </c>
      <c r="C5309" s="5" t="s">
        <v>964</v>
      </c>
      <c r="D5309" s="2" t="s">
        <v>6095</v>
      </c>
    </row>
    <row r="5310" spans="1:4" ht="13.05" customHeight="1" x14ac:dyDescent="0.3">
      <c r="A5310" s="2" t="s">
        <v>779</v>
      </c>
      <c r="B5310" s="2" t="s">
        <v>955</v>
      </c>
      <c r="C5310" s="5" t="s">
        <v>974</v>
      </c>
      <c r="D5310" s="2" t="s">
        <v>975</v>
      </c>
    </row>
    <row r="5311" spans="1:4" ht="13.05" customHeight="1" x14ac:dyDescent="0.3">
      <c r="A5311" s="2" t="s">
        <v>779</v>
      </c>
      <c r="B5311" s="2" t="s">
        <v>955</v>
      </c>
      <c r="C5311" s="5" t="s">
        <v>956</v>
      </c>
      <c r="D5311" s="2" t="s">
        <v>1025</v>
      </c>
    </row>
    <row r="5312" spans="1:4" ht="13.05" customHeight="1" x14ac:dyDescent="0.3">
      <c r="A5312" s="2" t="s">
        <v>779</v>
      </c>
      <c r="B5312" s="2" t="s">
        <v>955</v>
      </c>
      <c r="C5312" s="5" t="s">
        <v>958</v>
      </c>
      <c r="D5312" s="2" t="s">
        <v>1019</v>
      </c>
    </row>
    <row r="5313" spans="1:4" ht="13.05" customHeight="1" x14ac:dyDescent="0.3">
      <c r="A5313" s="2" t="s">
        <v>779</v>
      </c>
      <c r="B5313" s="2" t="s">
        <v>955</v>
      </c>
      <c r="C5313" s="5" t="s">
        <v>962</v>
      </c>
      <c r="D5313" s="2" t="s">
        <v>1039</v>
      </c>
    </row>
    <row r="5314" spans="1:4" ht="13.05" customHeight="1" x14ac:dyDescent="0.3">
      <c r="A5314" s="2" t="s">
        <v>779</v>
      </c>
      <c r="B5314" s="2" t="s">
        <v>955</v>
      </c>
      <c r="C5314" s="5" t="s">
        <v>964</v>
      </c>
      <c r="D5314" s="2" t="s">
        <v>1131</v>
      </c>
    </row>
    <row r="5315" spans="1:4" ht="13.05" customHeight="1" x14ac:dyDescent="0.3">
      <c r="A5315" s="2" t="s">
        <v>781</v>
      </c>
      <c r="B5315" s="2" t="s">
        <v>955</v>
      </c>
      <c r="C5315" s="5" t="s">
        <v>956</v>
      </c>
      <c r="D5315" s="2" t="s">
        <v>1025</v>
      </c>
    </row>
    <row r="5316" spans="1:4" ht="13.05" customHeight="1" x14ac:dyDescent="0.3">
      <c r="A5316" s="2" t="s">
        <v>781</v>
      </c>
      <c r="B5316" s="2" t="s">
        <v>955</v>
      </c>
      <c r="C5316" s="5" t="s">
        <v>958</v>
      </c>
      <c r="D5316" s="2" t="s">
        <v>1019</v>
      </c>
    </row>
    <row r="5317" spans="1:4" ht="13.05" customHeight="1" x14ac:dyDescent="0.3">
      <c r="A5317" s="2" t="s">
        <v>781</v>
      </c>
      <c r="B5317" s="2" t="s">
        <v>955</v>
      </c>
      <c r="C5317" s="5" t="s">
        <v>962</v>
      </c>
      <c r="D5317" s="2" t="s">
        <v>1039</v>
      </c>
    </row>
    <row r="5318" spans="1:4" ht="13.05" customHeight="1" x14ac:dyDescent="0.3">
      <c r="A5318" s="2" t="s">
        <v>781</v>
      </c>
      <c r="B5318" s="2" t="s">
        <v>955</v>
      </c>
      <c r="C5318" s="5" t="s">
        <v>964</v>
      </c>
      <c r="D5318" s="2" t="s">
        <v>1131</v>
      </c>
    </row>
    <row r="5319" spans="1:4" ht="13.05" customHeight="1" x14ac:dyDescent="0.3">
      <c r="A5319" s="2" t="s">
        <v>784</v>
      </c>
      <c r="B5319" s="2" t="s">
        <v>985</v>
      </c>
      <c r="C5319" s="5" t="s">
        <v>956</v>
      </c>
      <c r="D5319" s="2" t="s">
        <v>957</v>
      </c>
    </row>
    <row r="5320" spans="1:4" ht="13.05" customHeight="1" x14ac:dyDescent="0.3">
      <c r="A5320" s="2" t="s">
        <v>784</v>
      </c>
      <c r="B5320" s="2" t="s">
        <v>985</v>
      </c>
      <c r="C5320" s="5" t="s">
        <v>958</v>
      </c>
      <c r="D5320" s="2" t="s">
        <v>959</v>
      </c>
    </row>
    <row r="5321" spans="1:4" ht="13.05" customHeight="1" x14ac:dyDescent="0.3">
      <c r="A5321" s="2" t="s">
        <v>786</v>
      </c>
      <c r="B5321" s="2" t="s">
        <v>1132</v>
      </c>
      <c r="C5321" s="5" t="s">
        <v>974</v>
      </c>
      <c r="D5321" s="2" t="s">
        <v>975</v>
      </c>
    </row>
    <row r="5322" spans="1:4" ht="13.05" customHeight="1" x14ac:dyDescent="0.3">
      <c r="A5322" s="2" t="s">
        <v>786</v>
      </c>
      <c r="B5322" s="2" t="s">
        <v>985</v>
      </c>
      <c r="C5322" s="5" t="s">
        <v>960</v>
      </c>
      <c r="D5322" s="2" t="s">
        <v>961</v>
      </c>
    </row>
    <row r="5323" spans="1:4" ht="13.05" customHeight="1" x14ac:dyDescent="0.3">
      <c r="A5323" s="2" t="s">
        <v>786</v>
      </c>
      <c r="B5323" s="2" t="s">
        <v>1132</v>
      </c>
      <c r="C5323" s="5" t="s">
        <v>962</v>
      </c>
      <c r="D5323" s="2" t="s">
        <v>6096</v>
      </c>
    </row>
    <row r="5324" spans="1:4" ht="13.05" customHeight="1" x14ac:dyDescent="0.3">
      <c r="A5324" s="2" t="s">
        <v>786</v>
      </c>
      <c r="B5324" s="2" t="s">
        <v>1132</v>
      </c>
      <c r="C5324" s="5" t="s">
        <v>964</v>
      </c>
      <c r="D5324" s="2" t="s">
        <v>6097</v>
      </c>
    </row>
    <row r="5325" spans="1:4" ht="13.05" customHeight="1" x14ac:dyDescent="0.3">
      <c r="A5325" s="2" t="s">
        <v>786</v>
      </c>
      <c r="B5325" s="2" t="s">
        <v>1132</v>
      </c>
      <c r="C5325" s="5" t="s">
        <v>966</v>
      </c>
      <c r="D5325" s="2" t="s">
        <v>6098</v>
      </c>
    </row>
    <row r="5326" spans="1:4" ht="13.05" customHeight="1" x14ac:dyDescent="0.3">
      <c r="A5326" s="2" t="s">
        <v>786</v>
      </c>
      <c r="B5326" s="2" t="s">
        <v>1132</v>
      </c>
      <c r="C5326" s="5" t="s">
        <v>968</v>
      </c>
      <c r="D5326" s="2" t="s">
        <v>6099</v>
      </c>
    </row>
    <row r="5327" spans="1:4" ht="13.05" customHeight="1" x14ac:dyDescent="0.3">
      <c r="A5327" s="2" t="s">
        <v>786</v>
      </c>
      <c r="B5327" s="2" t="s">
        <v>1132</v>
      </c>
      <c r="C5327" s="5" t="s">
        <v>970</v>
      </c>
      <c r="D5327" s="2" t="s">
        <v>6100</v>
      </c>
    </row>
    <row r="5328" spans="1:4" ht="13.05" customHeight="1" x14ac:dyDescent="0.3">
      <c r="A5328" s="2" t="s">
        <v>786</v>
      </c>
      <c r="B5328" s="2" t="s">
        <v>1132</v>
      </c>
      <c r="C5328" s="5" t="s">
        <v>972</v>
      </c>
      <c r="D5328" s="2" t="s">
        <v>6101</v>
      </c>
    </row>
    <row r="5329" spans="1:4" ht="13.05" customHeight="1" x14ac:dyDescent="0.3">
      <c r="A5329" s="2" t="s">
        <v>786</v>
      </c>
      <c r="B5329" s="2" t="s">
        <v>1132</v>
      </c>
      <c r="C5329" s="5" t="s">
        <v>981</v>
      </c>
      <c r="D5329" s="2" t="s">
        <v>6102</v>
      </c>
    </row>
    <row r="5330" spans="1:4" ht="13.05" customHeight="1" x14ac:dyDescent="0.3">
      <c r="A5330" s="2" t="s">
        <v>786</v>
      </c>
      <c r="B5330" s="2" t="s">
        <v>1132</v>
      </c>
      <c r="C5330" s="5" t="s">
        <v>991</v>
      </c>
      <c r="D5330" s="2" t="s">
        <v>6103</v>
      </c>
    </row>
    <row r="5331" spans="1:4" ht="13.05" customHeight="1" x14ac:dyDescent="0.3">
      <c r="A5331" s="2" t="s">
        <v>786</v>
      </c>
      <c r="B5331" s="2" t="s">
        <v>985</v>
      </c>
      <c r="C5331" s="5" t="s">
        <v>993</v>
      </c>
      <c r="D5331" s="2" t="s">
        <v>6104</v>
      </c>
    </row>
    <row r="5332" spans="1:4" ht="13.05" customHeight="1" x14ac:dyDescent="0.3">
      <c r="A5332" s="2" t="s">
        <v>786</v>
      </c>
      <c r="B5332" s="2" t="s">
        <v>985</v>
      </c>
      <c r="C5332" s="5" t="s">
        <v>995</v>
      </c>
      <c r="D5332" s="2" t="s">
        <v>6105</v>
      </c>
    </row>
    <row r="5333" spans="1:4" ht="13.05" customHeight="1" x14ac:dyDescent="0.3">
      <c r="A5333" s="2" t="s">
        <v>786</v>
      </c>
      <c r="B5333" s="2" t="s">
        <v>985</v>
      </c>
      <c r="C5333" s="5" t="s">
        <v>997</v>
      </c>
      <c r="D5333" s="2" t="s">
        <v>6106</v>
      </c>
    </row>
    <row r="5334" spans="1:4" ht="13.05" customHeight="1" x14ac:dyDescent="0.3">
      <c r="A5334" s="2" t="s">
        <v>786</v>
      </c>
      <c r="B5334" s="2" t="s">
        <v>1132</v>
      </c>
      <c r="C5334" s="5" t="s">
        <v>999</v>
      </c>
      <c r="D5334" s="2" t="s">
        <v>6107</v>
      </c>
    </row>
    <row r="5335" spans="1:4" ht="13.05" customHeight="1" x14ac:dyDescent="0.3">
      <c r="A5335" s="2" t="s">
        <v>786</v>
      </c>
      <c r="B5335" s="2" t="s">
        <v>985</v>
      </c>
      <c r="C5335" s="5" t="s">
        <v>983</v>
      </c>
      <c r="D5335" s="2" t="s">
        <v>6108</v>
      </c>
    </row>
    <row r="5336" spans="1:4" ht="13.05" customHeight="1" x14ac:dyDescent="0.3">
      <c r="A5336" s="2" t="s">
        <v>789</v>
      </c>
      <c r="B5336" s="2" t="s">
        <v>985</v>
      </c>
      <c r="C5336" s="5" t="s">
        <v>974</v>
      </c>
      <c r="D5336" s="2" t="s">
        <v>975</v>
      </c>
    </row>
    <row r="5337" spans="1:4" ht="13.05" customHeight="1" x14ac:dyDescent="0.3">
      <c r="A5337" s="2" t="s">
        <v>789</v>
      </c>
      <c r="B5337" s="2" t="s">
        <v>985</v>
      </c>
      <c r="C5337" s="5" t="s">
        <v>956</v>
      </c>
      <c r="D5337" s="2" t="s">
        <v>957</v>
      </c>
    </row>
    <row r="5338" spans="1:4" ht="13.05" customHeight="1" x14ac:dyDescent="0.3">
      <c r="A5338" s="2" t="s">
        <v>789</v>
      </c>
      <c r="B5338" s="2" t="s">
        <v>985</v>
      </c>
      <c r="C5338" s="5" t="s">
        <v>958</v>
      </c>
      <c r="D5338" s="2" t="s">
        <v>959</v>
      </c>
    </row>
    <row r="5339" spans="1:4" ht="13.05" customHeight="1" x14ac:dyDescent="0.3">
      <c r="A5339" s="2" t="s">
        <v>789</v>
      </c>
      <c r="B5339" s="2" t="s">
        <v>985</v>
      </c>
      <c r="C5339" s="5" t="s">
        <v>960</v>
      </c>
      <c r="D5339" s="2" t="s">
        <v>961</v>
      </c>
    </row>
    <row r="5340" spans="1:4" ht="13.05" customHeight="1" x14ac:dyDescent="0.3">
      <c r="A5340" s="2" t="s">
        <v>789</v>
      </c>
      <c r="B5340" s="2" t="s">
        <v>985</v>
      </c>
      <c r="C5340" s="5" t="s">
        <v>962</v>
      </c>
      <c r="D5340" s="2" t="s">
        <v>1141</v>
      </c>
    </row>
    <row r="5341" spans="1:4" ht="13.05" customHeight="1" x14ac:dyDescent="0.3">
      <c r="A5341" s="2" t="s">
        <v>789</v>
      </c>
      <c r="B5341" s="2" t="s">
        <v>985</v>
      </c>
      <c r="C5341" s="5" t="s">
        <v>964</v>
      </c>
      <c r="D5341" s="2" t="s">
        <v>1142</v>
      </c>
    </row>
    <row r="5342" spans="1:4" ht="13.05" customHeight="1" x14ac:dyDescent="0.3">
      <c r="A5342" s="2" t="s">
        <v>789</v>
      </c>
      <c r="B5342" s="2" t="s">
        <v>985</v>
      </c>
      <c r="C5342" s="5" t="s">
        <v>966</v>
      </c>
      <c r="D5342" s="2" t="s">
        <v>1143</v>
      </c>
    </row>
    <row r="5343" spans="1:4" ht="13.05" customHeight="1" x14ac:dyDescent="0.3">
      <c r="A5343" s="2" t="s">
        <v>789</v>
      </c>
      <c r="B5343" s="2" t="s">
        <v>985</v>
      </c>
      <c r="C5343" s="5" t="s">
        <v>968</v>
      </c>
      <c r="D5343" s="2" t="s">
        <v>1144</v>
      </c>
    </row>
    <row r="5344" spans="1:4" ht="13.05" customHeight="1" x14ac:dyDescent="0.3">
      <c r="A5344" s="2" t="s">
        <v>789</v>
      </c>
      <c r="B5344" s="2" t="s">
        <v>985</v>
      </c>
      <c r="C5344" s="5" t="s">
        <v>970</v>
      </c>
      <c r="D5344" s="2" t="s">
        <v>6109</v>
      </c>
    </row>
    <row r="5345" spans="1:4" ht="13.05" customHeight="1" x14ac:dyDescent="0.3">
      <c r="A5345" s="2" t="s">
        <v>791</v>
      </c>
      <c r="B5345" s="2" t="s">
        <v>985</v>
      </c>
      <c r="C5345" s="5" t="s">
        <v>1146</v>
      </c>
      <c r="D5345" s="2" t="s">
        <v>1025</v>
      </c>
    </row>
    <row r="5346" spans="1:4" ht="13.05" customHeight="1" x14ac:dyDescent="0.3">
      <c r="A5346" s="2" t="s">
        <v>791</v>
      </c>
      <c r="B5346" s="2" t="s">
        <v>985</v>
      </c>
      <c r="C5346" s="5" t="s">
        <v>1147</v>
      </c>
      <c r="D5346" s="2" t="s">
        <v>959</v>
      </c>
    </row>
    <row r="5347" spans="1:4" ht="13.05" customHeight="1" x14ac:dyDescent="0.3">
      <c r="A5347" s="2" t="s">
        <v>791</v>
      </c>
      <c r="B5347" s="2" t="s">
        <v>985</v>
      </c>
      <c r="C5347" s="5" t="s">
        <v>974</v>
      </c>
      <c r="D5347" s="2" t="s">
        <v>975</v>
      </c>
    </row>
    <row r="5348" spans="1:4" ht="13.05" customHeight="1" x14ac:dyDescent="0.3">
      <c r="A5348" s="2" t="s">
        <v>791</v>
      </c>
      <c r="B5348" s="2" t="s">
        <v>985</v>
      </c>
      <c r="C5348" s="5" t="s">
        <v>956</v>
      </c>
      <c r="D5348" s="2" t="s">
        <v>1025</v>
      </c>
    </row>
    <row r="5349" spans="1:4" ht="13.05" customHeight="1" x14ac:dyDescent="0.3">
      <c r="A5349" s="2" t="s">
        <v>791</v>
      </c>
      <c r="B5349" s="2" t="s">
        <v>985</v>
      </c>
      <c r="C5349" s="5" t="s">
        <v>958</v>
      </c>
      <c r="D5349" s="2" t="s">
        <v>959</v>
      </c>
    </row>
    <row r="5350" spans="1:4" ht="13.05" customHeight="1" x14ac:dyDescent="0.3">
      <c r="A5350" s="2" t="s">
        <v>791</v>
      </c>
      <c r="B5350" s="2" t="s">
        <v>985</v>
      </c>
      <c r="C5350" s="5" t="s">
        <v>960</v>
      </c>
      <c r="D5350" s="2" t="s">
        <v>961</v>
      </c>
    </row>
    <row r="5351" spans="1:4" ht="13.05" customHeight="1" x14ac:dyDescent="0.3">
      <c r="A5351" s="2" t="s">
        <v>794</v>
      </c>
      <c r="B5351" s="2" t="s">
        <v>985</v>
      </c>
      <c r="C5351" s="5" t="s">
        <v>974</v>
      </c>
      <c r="D5351" s="2" t="s">
        <v>975</v>
      </c>
    </row>
    <row r="5352" spans="1:4" ht="13.05" customHeight="1" x14ac:dyDescent="0.3">
      <c r="A5352" s="2" t="s">
        <v>794</v>
      </c>
      <c r="B5352" s="2" t="s">
        <v>985</v>
      </c>
      <c r="C5352" s="5" t="s">
        <v>956</v>
      </c>
      <c r="D5352" s="2" t="s">
        <v>1025</v>
      </c>
    </row>
    <row r="5353" spans="1:4" ht="13.05" customHeight="1" x14ac:dyDescent="0.3">
      <c r="A5353" s="2" t="s">
        <v>794</v>
      </c>
      <c r="B5353" s="2" t="s">
        <v>985</v>
      </c>
      <c r="C5353" s="5" t="s">
        <v>958</v>
      </c>
      <c r="D5353" s="2" t="s">
        <v>1019</v>
      </c>
    </row>
    <row r="5354" spans="1:4" ht="13.05" customHeight="1" x14ac:dyDescent="0.3">
      <c r="A5354" s="2" t="s">
        <v>794</v>
      </c>
      <c r="B5354" s="2" t="s">
        <v>985</v>
      </c>
      <c r="C5354" s="5" t="s">
        <v>962</v>
      </c>
      <c r="D5354" s="2" t="s">
        <v>1039</v>
      </c>
    </row>
    <row r="5355" spans="1:4" ht="13.05" customHeight="1" x14ac:dyDescent="0.3">
      <c r="A5355" s="2" t="s">
        <v>794</v>
      </c>
      <c r="B5355" s="2" t="s">
        <v>985</v>
      </c>
      <c r="C5355" s="5" t="s">
        <v>964</v>
      </c>
      <c r="D5355" s="2" t="s">
        <v>1040</v>
      </c>
    </row>
    <row r="5356" spans="1:4" ht="13.05" customHeight="1" x14ac:dyDescent="0.3">
      <c r="A5356" s="2" t="s">
        <v>797</v>
      </c>
      <c r="B5356" s="2" t="s">
        <v>985</v>
      </c>
      <c r="C5356" s="5" t="s">
        <v>974</v>
      </c>
      <c r="D5356" s="2" t="s">
        <v>975</v>
      </c>
    </row>
    <row r="5357" spans="1:4" ht="13.05" customHeight="1" x14ac:dyDescent="0.3">
      <c r="A5357" s="2" t="s">
        <v>797</v>
      </c>
      <c r="B5357" s="2" t="s">
        <v>985</v>
      </c>
      <c r="C5357" s="5" t="s">
        <v>956</v>
      </c>
      <c r="D5357" s="2" t="s">
        <v>957</v>
      </c>
    </row>
    <row r="5358" spans="1:4" ht="13.05" customHeight="1" x14ac:dyDescent="0.3">
      <c r="A5358" s="2" t="s">
        <v>797</v>
      </c>
      <c r="B5358" s="2" t="s">
        <v>985</v>
      </c>
      <c r="C5358" s="5" t="s">
        <v>958</v>
      </c>
      <c r="D5358" s="2" t="s">
        <v>959</v>
      </c>
    </row>
    <row r="5359" spans="1:4" ht="13.05" customHeight="1" x14ac:dyDescent="0.3">
      <c r="A5359" s="2" t="s">
        <v>797</v>
      </c>
      <c r="B5359" s="2" t="s">
        <v>985</v>
      </c>
      <c r="C5359" s="5" t="s">
        <v>960</v>
      </c>
      <c r="D5359" s="2" t="s">
        <v>961</v>
      </c>
    </row>
    <row r="5360" spans="1:4" ht="13.05" customHeight="1" x14ac:dyDescent="0.3">
      <c r="A5360" s="2" t="s">
        <v>800</v>
      </c>
      <c r="B5360" s="2" t="s">
        <v>985</v>
      </c>
      <c r="C5360" s="5" t="s">
        <v>960</v>
      </c>
      <c r="D5360" s="2" t="s">
        <v>961</v>
      </c>
    </row>
    <row r="5361" spans="1:4" ht="13.05" customHeight="1" x14ac:dyDescent="0.3">
      <c r="A5361" s="2" t="s">
        <v>803</v>
      </c>
      <c r="B5361" s="2" t="s">
        <v>985</v>
      </c>
      <c r="C5361" s="5" t="s">
        <v>956</v>
      </c>
      <c r="D5361" s="2" t="s">
        <v>1025</v>
      </c>
    </row>
    <row r="5362" spans="1:4" ht="13.05" customHeight="1" x14ac:dyDescent="0.3">
      <c r="A5362" s="2" t="s">
        <v>803</v>
      </c>
      <c r="B5362" s="2" t="s">
        <v>985</v>
      </c>
      <c r="C5362" s="5" t="s">
        <v>958</v>
      </c>
      <c r="D5362" s="2" t="s">
        <v>1019</v>
      </c>
    </row>
    <row r="5363" spans="1:4" ht="13.05" customHeight="1" x14ac:dyDescent="0.3">
      <c r="A5363" s="2" t="s">
        <v>803</v>
      </c>
      <c r="B5363" s="2" t="s">
        <v>985</v>
      </c>
      <c r="C5363" s="5" t="s">
        <v>962</v>
      </c>
      <c r="D5363" s="2" t="s">
        <v>6110</v>
      </c>
    </row>
    <row r="5364" spans="1:4" ht="13.05" customHeight="1" x14ac:dyDescent="0.3">
      <c r="A5364" s="2" t="s">
        <v>803</v>
      </c>
      <c r="B5364" s="2" t="s">
        <v>985</v>
      </c>
      <c r="C5364" s="5" t="s">
        <v>964</v>
      </c>
      <c r="D5364" s="2" t="s">
        <v>6111</v>
      </c>
    </row>
    <row r="5365" spans="1:4" ht="13.05" customHeight="1" x14ac:dyDescent="0.3">
      <c r="A5365" s="2" t="s">
        <v>803</v>
      </c>
      <c r="B5365" s="2" t="s">
        <v>985</v>
      </c>
      <c r="C5365" s="5" t="s">
        <v>966</v>
      </c>
      <c r="D5365" s="2" t="s">
        <v>6112</v>
      </c>
    </row>
    <row r="5366" spans="1:4" ht="13.05" customHeight="1" x14ac:dyDescent="0.3">
      <c r="A5366" s="2" t="s">
        <v>803</v>
      </c>
      <c r="B5366" s="2" t="s">
        <v>985</v>
      </c>
      <c r="C5366" s="5" t="s">
        <v>968</v>
      </c>
      <c r="D5366" s="2" t="s">
        <v>6113</v>
      </c>
    </row>
    <row r="5367" spans="1:4" ht="13.05" customHeight="1" x14ac:dyDescent="0.3">
      <c r="A5367" s="2" t="s">
        <v>803</v>
      </c>
      <c r="B5367" s="2" t="s">
        <v>985</v>
      </c>
      <c r="C5367" s="5" t="s">
        <v>970</v>
      </c>
      <c r="D5367" s="2" t="s">
        <v>6114</v>
      </c>
    </row>
    <row r="5368" spans="1:4" ht="13.05" customHeight="1" x14ac:dyDescent="0.3">
      <c r="A5368" s="2" t="s">
        <v>803</v>
      </c>
      <c r="B5368" s="2" t="s">
        <v>985</v>
      </c>
      <c r="C5368" s="5" t="s">
        <v>972</v>
      </c>
      <c r="D5368" s="2" t="s">
        <v>6115</v>
      </c>
    </row>
    <row r="5369" spans="1:4" ht="13.05" customHeight="1" x14ac:dyDescent="0.3">
      <c r="A5369" s="2" t="s">
        <v>803</v>
      </c>
      <c r="B5369" s="2" t="s">
        <v>985</v>
      </c>
      <c r="C5369" s="5" t="s">
        <v>981</v>
      </c>
      <c r="D5369" s="2" t="s">
        <v>6116</v>
      </c>
    </row>
    <row r="5370" spans="1:4" ht="13.05" customHeight="1" x14ac:dyDescent="0.3">
      <c r="A5370" s="2" t="s">
        <v>803</v>
      </c>
      <c r="B5370" s="2" t="s">
        <v>985</v>
      </c>
      <c r="C5370" s="5" t="s">
        <v>983</v>
      </c>
      <c r="D5370" s="2" t="s">
        <v>6053</v>
      </c>
    </row>
    <row r="5371" spans="1:4" ht="13.05" customHeight="1" x14ac:dyDescent="0.3">
      <c r="A5371" s="2" t="s">
        <v>806</v>
      </c>
      <c r="B5371" s="2" t="s">
        <v>985</v>
      </c>
      <c r="C5371" s="5" t="s">
        <v>956</v>
      </c>
      <c r="D5371" s="2" t="s">
        <v>957</v>
      </c>
    </row>
    <row r="5372" spans="1:4" ht="13.05" customHeight="1" x14ac:dyDescent="0.3">
      <c r="A5372" s="2" t="s">
        <v>806</v>
      </c>
      <c r="B5372" s="2" t="s">
        <v>985</v>
      </c>
      <c r="C5372" s="5" t="s">
        <v>958</v>
      </c>
      <c r="D5372" s="2" t="s">
        <v>959</v>
      </c>
    </row>
    <row r="5373" spans="1:4" ht="13.05" customHeight="1" x14ac:dyDescent="0.3">
      <c r="A5373" s="2" t="s">
        <v>809</v>
      </c>
      <c r="B5373" s="2" t="s">
        <v>985</v>
      </c>
      <c r="C5373" s="5" t="s">
        <v>974</v>
      </c>
      <c r="D5373" s="2" t="s">
        <v>975</v>
      </c>
    </row>
    <row r="5374" spans="1:4" ht="13.05" customHeight="1" x14ac:dyDescent="0.3">
      <c r="A5374" s="2" t="s">
        <v>809</v>
      </c>
      <c r="B5374" s="2" t="s">
        <v>985</v>
      </c>
      <c r="C5374" s="5" t="s">
        <v>956</v>
      </c>
      <c r="D5374" s="2" t="s">
        <v>1025</v>
      </c>
    </row>
    <row r="5375" spans="1:4" ht="13.05" customHeight="1" x14ac:dyDescent="0.3">
      <c r="A5375" s="2" t="s">
        <v>809</v>
      </c>
      <c r="B5375" s="2" t="s">
        <v>985</v>
      </c>
      <c r="C5375" s="5" t="s">
        <v>958</v>
      </c>
      <c r="D5375" s="2" t="s">
        <v>1019</v>
      </c>
    </row>
    <row r="5376" spans="1:4" ht="13.05" customHeight="1" x14ac:dyDescent="0.3">
      <c r="A5376" s="2" t="s">
        <v>809</v>
      </c>
      <c r="B5376" s="2" t="s">
        <v>985</v>
      </c>
      <c r="C5376" s="5" t="s">
        <v>960</v>
      </c>
      <c r="D5376" s="2" t="s">
        <v>961</v>
      </c>
    </row>
    <row r="5377" spans="1:4" ht="13.05" customHeight="1" x14ac:dyDescent="0.3">
      <c r="A5377" s="2" t="s">
        <v>809</v>
      </c>
      <c r="B5377" s="2" t="s">
        <v>985</v>
      </c>
      <c r="C5377" s="5" t="s">
        <v>962</v>
      </c>
      <c r="D5377" s="2" t="s">
        <v>1039</v>
      </c>
    </row>
    <row r="5378" spans="1:4" ht="13.05" customHeight="1" x14ac:dyDescent="0.3">
      <c r="A5378" s="2" t="s">
        <v>809</v>
      </c>
      <c r="B5378" s="2" t="s">
        <v>985</v>
      </c>
      <c r="C5378" s="5" t="s">
        <v>964</v>
      </c>
      <c r="D5378" s="2" t="s">
        <v>1040</v>
      </c>
    </row>
    <row r="5379" spans="1:4" ht="13.05" customHeight="1" x14ac:dyDescent="0.3">
      <c r="A5379" s="2" t="s">
        <v>812</v>
      </c>
      <c r="B5379" s="2" t="s">
        <v>985</v>
      </c>
      <c r="C5379" s="5" t="s">
        <v>974</v>
      </c>
      <c r="D5379" s="2" t="s">
        <v>975</v>
      </c>
    </row>
    <row r="5380" spans="1:4" ht="13.05" customHeight="1" x14ac:dyDescent="0.3">
      <c r="A5380" s="2" t="s">
        <v>812</v>
      </c>
      <c r="B5380" s="2" t="s">
        <v>985</v>
      </c>
      <c r="C5380" s="5" t="s">
        <v>956</v>
      </c>
      <c r="D5380" s="2" t="s">
        <v>1025</v>
      </c>
    </row>
    <row r="5381" spans="1:4" ht="13.05" customHeight="1" x14ac:dyDescent="0.3">
      <c r="A5381" s="2" t="s">
        <v>812</v>
      </c>
      <c r="B5381" s="2" t="s">
        <v>985</v>
      </c>
      <c r="C5381" s="5" t="s">
        <v>958</v>
      </c>
      <c r="D5381" s="2" t="s">
        <v>1019</v>
      </c>
    </row>
    <row r="5382" spans="1:4" ht="13.05" customHeight="1" x14ac:dyDescent="0.3">
      <c r="A5382" s="2" t="s">
        <v>812</v>
      </c>
      <c r="B5382" s="2" t="s">
        <v>985</v>
      </c>
      <c r="C5382" s="5" t="s">
        <v>960</v>
      </c>
      <c r="D5382" s="2" t="s">
        <v>961</v>
      </c>
    </row>
    <row r="5383" spans="1:4" ht="13.05" customHeight="1" x14ac:dyDescent="0.3">
      <c r="A5383" s="2" t="s">
        <v>812</v>
      </c>
      <c r="B5383" s="2" t="s">
        <v>985</v>
      </c>
      <c r="C5383" s="5" t="s">
        <v>962</v>
      </c>
      <c r="D5383" s="2" t="s">
        <v>1039</v>
      </c>
    </row>
    <row r="5384" spans="1:4" ht="13.05" customHeight="1" x14ac:dyDescent="0.3">
      <c r="A5384" s="2" t="s">
        <v>812</v>
      </c>
      <c r="B5384" s="2" t="s">
        <v>985</v>
      </c>
      <c r="C5384" s="5" t="s">
        <v>964</v>
      </c>
      <c r="D5384" s="2" t="s">
        <v>1040</v>
      </c>
    </row>
    <row r="5385" spans="1:4" ht="13.05" customHeight="1" x14ac:dyDescent="0.3">
      <c r="A5385" s="2" t="s">
        <v>815</v>
      </c>
      <c r="B5385" s="2" t="s">
        <v>955</v>
      </c>
      <c r="C5385" s="5" t="s">
        <v>974</v>
      </c>
      <c r="D5385" s="2" t="s">
        <v>975</v>
      </c>
    </row>
    <row r="5386" spans="1:4" ht="13.05" customHeight="1" x14ac:dyDescent="0.3">
      <c r="A5386" s="2" t="s">
        <v>815</v>
      </c>
      <c r="B5386" s="2" t="s">
        <v>955</v>
      </c>
      <c r="C5386" s="5" t="s">
        <v>956</v>
      </c>
      <c r="D5386" s="2" t="s">
        <v>1025</v>
      </c>
    </row>
    <row r="5387" spans="1:4" ht="13.05" customHeight="1" x14ac:dyDescent="0.3">
      <c r="A5387" s="2" t="s">
        <v>815</v>
      </c>
      <c r="B5387" s="2" t="s">
        <v>955</v>
      </c>
      <c r="C5387" s="5" t="s">
        <v>958</v>
      </c>
      <c r="D5387" s="2" t="s">
        <v>1019</v>
      </c>
    </row>
    <row r="5388" spans="1:4" ht="13.05" customHeight="1" x14ac:dyDescent="0.3">
      <c r="A5388" s="2" t="s">
        <v>815</v>
      </c>
      <c r="B5388" s="2" t="s">
        <v>955</v>
      </c>
      <c r="C5388" s="5" t="s">
        <v>960</v>
      </c>
      <c r="D5388" s="2" t="s">
        <v>961</v>
      </c>
    </row>
    <row r="5389" spans="1:4" ht="13.05" customHeight="1" x14ac:dyDescent="0.3">
      <c r="A5389" s="2" t="s">
        <v>815</v>
      </c>
      <c r="B5389" s="2" t="s">
        <v>955</v>
      </c>
      <c r="C5389" s="5" t="s">
        <v>962</v>
      </c>
      <c r="D5389" s="2" t="s">
        <v>1039</v>
      </c>
    </row>
    <row r="5390" spans="1:4" ht="13.05" customHeight="1" x14ac:dyDescent="0.3">
      <c r="A5390" s="2" t="s">
        <v>815</v>
      </c>
      <c r="B5390" s="2" t="s">
        <v>955</v>
      </c>
      <c r="C5390" s="5" t="s">
        <v>964</v>
      </c>
      <c r="D5390" s="2" t="s">
        <v>1040</v>
      </c>
    </row>
    <row r="5391" spans="1:4" ht="13.05" customHeight="1" x14ac:dyDescent="0.3">
      <c r="A5391" s="2" t="s">
        <v>818</v>
      </c>
      <c r="B5391" s="2" t="s">
        <v>1132</v>
      </c>
      <c r="C5391" s="5" t="s">
        <v>960</v>
      </c>
      <c r="D5391" s="2" t="s">
        <v>961</v>
      </c>
    </row>
    <row r="5392" spans="1:4" ht="13.05" customHeight="1" x14ac:dyDescent="0.3">
      <c r="A5392" s="2" t="s">
        <v>820</v>
      </c>
      <c r="B5392" s="2" t="s">
        <v>1132</v>
      </c>
      <c r="C5392" s="5" t="s">
        <v>960</v>
      </c>
      <c r="D5392" s="2" t="s">
        <v>961</v>
      </c>
    </row>
    <row r="5393" spans="1:4" ht="13.05" customHeight="1" x14ac:dyDescent="0.3">
      <c r="A5393" s="2" t="s">
        <v>822</v>
      </c>
      <c r="B5393" s="2" t="s">
        <v>955</v>
      </c>
      <c r="C5393" s="5" t="s">
        <v>956</v>
      </c>
      <c r="D5393" s="2" t="s">
        <v>1025</v>
      </c>
    </row>
    <row r="5394" spans="1:4" ht="13.05" customHeight="1" x14ac:dyDescent="0.3">
      <c r="A5394" s="2" t="s">
        <v>822</v>
      </c>
      <c r="B5394" s="2" t="s">
        <v>955</v>
      </c>
      <c r="C5394" s="5" t="s">
        <v>958</v>
      </c>
      <c r="D5394" s="2" t="s">
        <v>1019</v>
      </c>
    </row>
    <row r="5395" spans="1:4" ht="13.05" customHeight="1" x14ac:dyDescent="0.3">
      <c r="A5395" s="2" t="s">
        <v>822</v>
      </c>
      <c r="B5395" s="2" t="s">
        <v>955</v>
      </c>
      <c r="C5395" s="5" t="s">
        <v>960</v>
      </c>
      <c r="D5395" s="2" t="s">
        <v>961</v>
      </c>
    </row>
    <row r="5396" spans="1:4" ht="13.05" customHeight="1" x14ac:dyDescent="0.3">
      <c r="A5396" s="2" t="s">
        <v>825</v>
      </c>
      <c r="B5396" s="2" t="s">
        <v>1018</v>
      </c>
      <c r="C5396" s="5" t="s">
        <v>956</v>
      </c>
      <c r="D5396" s="2" t="s">
        <v>957</v>
      </c>
    </row>
    <row r="5397" spans="1:4" ht="13.05" customHeight="1" x14ac:dyDescent="0.3">
      <c r="A5397" s="2" t="s">
        <v>825</v>
      </c>
      <c r="B5397" s="2" t="s">
        <v>1018</v>
      </c>
      <c r="C5397" s="5" t="s">
        <v>958</v>
      </c>
      <c r="D5397" s="2" t="s">
        <v>959</v>
      </c>
    </row>
    <row r="5398" spans="1:4" ht="13.05" customHeight="1" x14ac:dyDescent="0.3">
      <c r="A5398" s="2" t="s">
        <v>825</v>
      </c>
      <c r="B5398" s="2" t="s">
        <v>1018</v>
      </c>
      <c r="C5398" s="5" t="s">
        <v>960</v>
      </c>
      <c r="D5398" s="2" t="s">
        <v>961</v>
      </c>
    </row>
    <row r="5399" spans="1:4" ht="13.05" customHeight="1" x14ac:dyDescent="0.3">
      <c r="A5399" s="2" t="s">
        <v>825</v>
      </c>
      <c r="B5399" s="2" t="s">
        <v>1018</v>
      </c>
      <c r="C5399" s="5" t="s">
        <v>962</v>
      </c>
      <c r="D5399" s="2" t="s">
        <v>1020</v>
      </c>
    </row>
    <row r="5400" spans="1:4" ht="13.05" customHeight="1" x14ac:dyDescent="0.3">
      <c r="A5400" s="2" t="s">
        <v>825</v>
      </c>
      <c r="B5400" s="2" t="s">
        <v>1018</v>
      </c>
      <c r="C5400" s="5" t="s">
        <v>964</v>
      </c>
      <c r="D5400" s="2" t="s">
        <v>1042</v>
      </c>
    </row>
    <row r="5401" spans="1:4" ht="13.05" customHeight="1" x14ac:dyDescent="0.3">
      <c r="A5401" s="2" t="s">
        <v>825</v>
      </c>
      <c r="B5401" s="2" t="s">
        <v>1018</v>
      </c>
      <c r="C5401" s="5" t="s">
        <v>966</v>
      </c>
      <c r="D5401" s="2" t="s">
        <v>1022</v>
      </c>
    </row>
    <row r="5402" spans="1:4" ht="13.05" customHeight="1" x14ac:dyDescent="0.3">
      <c r="A5402" s="2" t="s">
        <v>825</v>
      </c>
      <c r="B5402" s="2" t="s">
        <v>1018</v>
      </c>
      <c r="C5402" s="5" t="s">
        <v>968</v>
      </c>
      <c r="D5402" s="2" t="s">
        <v>1023</v>
      </c>
    </row>
    <row r="5403" spans="1:4" ht="13.05" customHeight="1" x14ac:dyDescent="0.3">
      <c r="A5403" s="2" t="s">
        <v>825</v>
      </c>
      <c r="B5403" s="2" t="s">
        <v>1018</v>
      </c>
      <c r="C5403" s="5" t="s">
        <v>970</v>
      </c>
      <c r="D5403" s="2" t="s">
        <v>1024</v>
      </c>
    </row>
    <row r="5404" spans="1:4" ht="13.05" customHeight="1" x14ac:dyDescent="0.3">
      <c r="A5404" s="2" t="s">
        <v>828</v>
      </c>
      <c r="B5404" s="2" t="s">
        <v>1018</v>
      </c>
      <c r="C5404" s="5" t="s">
        <v>956</v>
      </c>
      <c r="D5404" s="2" t="s">
        <v>1025</v>
      </c>
    </row>
    <row r="5405" spans="1:4" ht="13.05" customHeight="1" x14ac:dyDescent="0.3">
      <c r="A5405" s="2" t="s">
        <v>828</v>
      </c>
      <c r="B5405" s="2" t="s">
        <v>1018</v>
      </c>
      <c r="C5405" s="5" t="s">
        <v>958</v>
      </c>
      <c r="D5405" s="2" t="s">
        <v>959</v>
      </c>
    </row>
    <row r="5406" spans="1:4" ht="13.05" customHeight="1" x14ac:dyDescent="0.3">
      <c r="A5406" s="2" t="s">
        <v>828</v>
      </c>
      <c r="B5406" s="2" t="s">
        <v>1018</v>
      </c>
      <c r="C5406" s="5" t="s">
        <v>960</v>
      </c>
      <c r="D5406" s="2" t="s">
        <v>961</v>
      </c>
    </row>
    <row r="5407" spans="1:4" ht="13.05" customHeight="1" x14ac:dyDescent="0.3">
      <c r="A5407" s="2" t="s">
        <v>828</v>
      </c>
      <c r="B5407" s="2" t="s">
        <v>1018</v>
      </c>
      <c r="C5407" s="5" t="s">
        <v>962</v>
      </c>
      <c r="D5407" s="2" t="s">
        <v>1026</v>
      </c>
    </row>
    <row r="5408" spans="1:4" ht="13.05" customHeight="1" x14ac:dyDescent="0.3">
      <c r="A5408" s="2" t="s">
        <v>828</v>
      </c>
      <c r="B5408" s="2" t="s">
        <v>1018</v>
      </c>
      <c r="C5408" s="5" t="s">
        <v>964</v>
      </c>
      <c r="D5408" s="2" t="s">
        <v>1027</v>
      </c>
    </row>
    <row r="5409" spans="1:4" ht="13.05" customHeight="1" x14ac:dyDescent="0.3">
      <c r="A5409" s="2" t="s">
        <v>828</v>
      </c>
      <c r="B5409" s="2" t="s">
        <v>1018</v>
      </c>
      <c r="C5409" s="5" t="s">
        <v>966</v>
      </c>
      <c r="D5409" s="2" t="s">
        <v>6117</v>
      </c>
    </row>
    <row r="5410" spans="1:4" ht="13.05" customHeight="1" x14ac:dyDescent="0.3">
      <c r="A5410" s="2" t="s">
        <v>828</v>
      </c>
      <c r="B5410" s="2" t="s">
        <v>1018</v>
      </c>
      <c r="C5410" s="5" t="s">
        <v>968</v>
      </c>
      <c r="D5410" s="2" t="s">
        <v>1029</v>
      </c>
    </row>
    <row r="5411" spans="1:4" ht="13.05" customHeight="1" x14ac:dyDescent="0.3">
      <c r="A5411" s="2" t="s">
        <v>828</v>
      </c>
      <c r="B5411" s="2" t="s">
        <v>1018</v>
      </c>
      <c r="C5411" s="5" t="s">
        <v>970</v>
      </c>
      <c r="D5411" s="2" t="s">
        <v>1030</v>
      </c>
    </row>
    <row r="5412" spans="1:4" ht="13.05" customHeight="1" x14ac:dyDescent="0.3">
      <c r="A5412" s="2" t="s">
        <v>831</v>
      </c>
      <c r="B5412" s="2" t="s">
        <v>955</v>
      </c>
      <c r="C5412" s="5" t="s">
        <v>974</v>
      </c>
      <c r="D5412" s="2" t="s">
        <v>975</v>
      </c>
    </row>
    <row r="5413" spans="1:4" ht="13.05" customHeight="1" x14ac:dyDescent="0.3">
      <c r="A5413" s="2" t="s">
        <v>831</v>
      </c>
      <c r="B5413" s="2" t="s">
        <v>955</v>
      </c>
      <c r="C5413" s="5" t="s">
        <v>956</v>
      </c>
      <c r="D5413" s="2" t="s">
        <v>1025</v>
      </c>
    </row>
    <row r="5414" spans="1:4" ht="13.05" customHeight="1" x14ac:dyDescent="0.3">
      <c r="A5414" s="2" t="s">
        <v>831</v>
      </c>
      <c r="B5414" s="2" t="s">
        <v>955</v>
      </c>
      <c r="C5414" s="5" t="s">
        <v>958</v>
      </c>
      <c r="D5414" s="2" t="s">
        <v>959</v>
      </c>
    </row>
    <row r="5415" spans="1:4" ht="13.05" customHeight="1" x14ac:dyDescent="0.3">
      <c r="A5415" s="2" t="s">
        <v>831</v>
      </c>
      <c r="B5415" s="2" t="s">
        <v>955</v>
      </c>
      <c r="C5415" s="5" t="s">
        <v>960</v>
      </c>
      <c r="D5415" s="2" t="s">
        <v>961</v>
      </c>
    </row>
    <row r="5416" spans="1:4" ht="13.05" customHeight="1" x14ac:dyDescent="0.3">
      <c r="A5416" s="2" t="s">
        <v>834</v>
      </c>
      <c r="B5416" s="2" t="s">
        <v>955</v>
      </c>
      <c r="C5416" s="5" t="s">
        <v>974</v>
      </c>
      <c r="D5416" s="2" t="s">
        <v>975</v>
      </c>
    </row>
    <row r="5417" spans="1:4" ht="13.05" customHeight="1" x14ac:dyDescent="0.3">
      <c r="A5417" s="2" t="s">
        <v>834</v>
      </c>
      <c r="B5417" s="2" t="s">
        <v>955</v>
      </c>
      <c r="C5417" s="5" t="s">
        <v>956</v>
      </c>
      <c r="D5417" s="2" t="s">
        <v>1025</v>
      </c>
    </row>
    <row r="5418" spans="1:4" ht="13.05" customHeight="1" x14ac:dyDescent="0.3">
      <c r="A5418" s="2" t="s">
        <v>834</v>
      </c>
      <c r="B5418" s="2" t="s">
        <v>955</v>
      </c>
      <c r="C5418" s="5" t="s">
        <v>958</v>
      </c>
      <c r="D5418" s="2" t="s">
        <v>959</v>
      </c>
    </row>
    <row r="5419" spans="1:4" ht="13.05" customHeight="1" x14ac:dyDescent="0.3">
      <c r="A5419" s="2" t="s">
        <v>834</v>
      </c>
      <c r="B5419" s="2" t="s">
        <v>955</v>
      </c>
      <c r="C5419" s="5" t="s">
        <v>960</v>
      </c>
      <c r="D5419" s="2" t="s">
        <v>961</v>
      </c>
    </row>
    <row r="5420" spans="1:4" ht="13.05" customHeight="1" x14ac:dyDescent="0.3">
      <c r="A5420" s="2" t="s">
        <v>834</v>
      </c>
      <c r="B5420" s="2" t="s">
        <v>955</v>
      </c>
      <c r="C5420" s="5" t="s">
        <v>962</v>
      </c>
      <c r="D5420" s="2" t="s">
        <v>1031</v>
      </c>
    </row>
    <row r="5421" spans="1:4" ht="13.05" customHeight="1" x14ac:dyDescent="0.3">
      <c r="A5421" s="2" t="s">
        <v>834</v>
      </c>
      <c r="B5421" s="2" t="s">
        <v>955</v>
      </c>
      <c r="C5421" s="5" t="s">
        <v>964</v>
      </c>
      <c r="D5421" s="2" t="s">
        <v>1032</v>
      </c>
    </row>
    <row r="5422" spans="1:4" ht="13.05" customHeight="1" x14ac:dyDescent="0.3">
      <c r="A5422" s="2" t="s">
        <v>834</v>
      </c>
      <c r="B5422" s="2" t="s">
        <v>955</v>
      </c>
      <c r="C5422" s="5" t="s">
        <v>966</v>
      </c>
      <c r="D5422" s="2" t="s">
        <v>1033</v>
      </c>
    </row>
    <row r="5423" spans="1:4" ht="13.05" customHeight="1" x14ac:dyDescent="0.3">
      <c r="A5423" s="2" t="s">
        <v>834</v>
      </c>
      <c r="B5423" s="2" t="s">
        <v>955</v>
      </c>
      <c r="C5423" s="5" t="s">
        <v>968</v>
      </c>
      <c r="D5423" s="2" t="s">
        <v>6118</v>
      </c>
    </row>
    <row r="5424" spans="1:4" ht="13.05" customHeight="1" x14ac:dyDescent="0.3">
      <c r="A5424" s="2" t="s">
        <v>834</v>
      </c>
      <c r="B5424" s="2" t="s">
        <v>955</v>
      </c>
      <c r="C5424" s="5" t="s">
        <v>970</v>
      </c>
      <c r="D5424" s="2" t="s">
        <v>1035</v>
      </c>
    </row>
    <row r="5425" spans="1:4" ht="13.05" customHeight="1" x14ac:dyDescent="0.3">
      <c r="A5425" s="2" t="s">
        <v>834</v>
      </c>
      <c r="B5425" s="2" t="s">
        <v>955</v>
      </c>
      <c r="C5425" s="5" t="s">
        <v>972</v>
      </c>
      <c r="D5425" s="2" t="s">
        <v>1036</v>
      </c>
    </row>
    <row r="5426" spans="1:4" ht="13.05" customHeight="1" x14ac:dyDescent="0.3">
      <c r="A5426" s="2" t="s">
        <v>834</v>
      </c>
      <c r="B5426" s="2" t="s">
        <v>955</v>
      </c>
      <c r="C5426" s="5" t="s">
        <v>981</v>
      </c>
      <c r="D5426" s="2" t="s">
        <v>1037</v>
      </c>
    </row>
    <row r="5427" spans="1:4" ht="13.05" customHeight="1" x14ac:dyDescent="0.3">
      <c r="A5427" s="2" t="s">
        <v>837</v>
      </c>
      <c r="B5427" s="2" t="s">
        <v>955</v>
      </c>
      <c r="C5427" s="5" t="s">
        <v>974</v>
      </c>
      <c r="D5427" s="2" t="s">
        <v>975</v>
      </c>
    </row>
    <row r="5428" spans="1:4" ht="13.05" customHeight="1" x14ac:dyDescent="0.3">
      <c r="A5428" s="2" t="s">
        <v>837</v>
      </c>
      <c r="B5428" s="2" t="s">
        <v>955</v>
      </c>
      <c r="C5428" s="5" t="s">
        <v>956</v>
      </c>
      <c r="D5428" s="2" t="s">
        <v>1025</v>
      </c>
    </row>
    <row r="5429" spans="1:4" ht="13.05" customHeight="1" x14ac:dyDescent="0.3">
      <c r="A5429" s="2" t="s">
        <v>837</v>
      </c>
      <c r="B5429" s="2" t="s">
        <v>955</v>
      </c>
      <c r="C5429" s="5" t="s">
        <v>958</v>
      </c>
      <c r="D5429" s="2" t="s">
        <v>959</v>
      </c>
    </row>
    <row r="5430" spans="1:4" ht="13.05" customHeight="1" x14ac:dyDescent="0.3">
      <c r="A5430" s="2" t="s">
        <v>837</v>
      </c>
      <c r="B5430" s="2" t="s">
        <v>955</v>
      </c>
      <c r="C5430" s="5" t="s">
        <v>960</v>
      </c>
      <c r="D5430" s="2" t="s">
        <v>961</v>
      </c>
    </row>
    <row r="5431" spans="1:4" ht="13.05" customHeight="1" x14ac:dyDescent="0.3">
      <c r="A5431" s="2" t="s">
        <v>837</v>
      </c>
      <c r="B5431" s="2" t="s">
        <v>955</v>
      </c>
      <c r="C5431" s="5" t="s">
        <v>962</v>
      </c>
      <c r="D5431" s="2" t="s">
        <v>1031</v>
      </c>
    </row>
    <row r="5432" spans="1:4" ht="13.05" customHeight="1" x14ac:dyDescent="0.3">
      <c r="A5432" s="2" t="s">
        <v>837</v>
      </c>
      <c r="B5432" s="2" t="s">
        <v>955</v>
      </c>
      <c r="C5432" s="5" t="s">
        <v>964</v>
      </c>
      <c r="D5432" s="2" t="s">
        <v>1032</v>
      </c>
    </row>
    <row r="5433" spans="1:4" ht="13.05" customHeight="1" x14ac:dyDescent="0.3">
      <c r="A5433" s="2" t="s">
        <v>837</v>
      </c>
      <c r="B5433" s="2" t="s">
        <v>955</v>
      </c>
      <c r="C5433" s="5" t="s">
        <v>966</v>
      </c>
      <c r="D5433" s="2" t="s">
        <v>1033</v>
      </c>
    </row>
    <row r="5434" spans="1:4" ht="13.05" customHeight="1" x14ac:dyDescent="0.3">
      <c r="A5434" s="2" t="s">
        <v>837</v>
      </c>
      <c r="B5434" s="2" t="s">
        <v>955</v>
      </c>
      <c r="C5434" s="5" t="s">
        <v>968</v>
      </c>
      <c r="D5434" s="2" t="s">
        <v>6118</v>
      </c>
    </row>
    <row r="5435" spans="1:4" ht="13.05" customHeight="1" x14ac:dyDescent="0.3">
      <c r="A5435" s="2" t="s">
        <v>837</v>
      </c>
      <c r="B5435" s="2" t="s">
        <v>955</v>
      </c>
      <c r="C5435" s="5" t="s">
        <v>970</v>
      </c>
      <c r="D5435" s="2" t="s">
        <v>1035</v>
      </c>
    </row>
    <row r="5436" spans="1:4" ht="13.05" customHeight="1" x14ac:dyDescent="0.3">
      <c r="A5436" s="2" t="s">
        <v>837</v>
      </c>
      <c r="B5436" s="2" t="s">
        <v>955</v>
      </c>
      <c r="C5436" s="5" t="s">
        <v>972</v>
      </c>
      <c r="D5436" s="2" t="s">
        <v>1036</v>
      </c>
    </row>
    <row r="5437" spans="1:4" ht="13.05" customHeight="1" x14ac:dyDescent="0.3">
      <c r="A5437" s="2" t="s">
        <v>837</v>
      </c>
      <c r="B5437" s="2" t="s">
        <v>955</v>
      </c>
      <c r="C5437" s="5" t="s">
        <v>981</v>
      </c>
      <c r="D5437" s="2" t="s">
        <v>1037</v>
      </c>
    </row>
    <row r="5438" spans="1:4" ht="13.05" customHeight="1" x14ac:dyDescent="0.3">
      <c r="A5438" s="2" t="s">
        <v>839</v>
      </c>
      <c r="B5438" s="2" t="s">
        <v>955</v>
      </c>
      <c r="C5438" s="5" t="s">
        <v>974</v>
      </c>
      <c r="D5438" s="2" t="s">
        <v>975</v>
      </c>
    </row>
    <row r="5439" spans="1:4" ht="13.05" customHeight="1" x14ac:dyDescent="0.3">
      <c r="A5439" s="2" t="s">
        <v>839</v>
      </c>
      <c r="B5439" s="2" t="s">
        <v>955</v>
      </c>
      <c r="C5439" s="5" t="s">
        <v>956</v>
      </c>
      <c r="D5439" s="2" t="s">
        <v>1025</v>
      </c>
    </row>
    <row r="5440" spans="1:4" ht="13.05" customHeight="1" x14ac:dyDescent="0.3">
      <c r="A5440" s="2" t="s">
        <v>839</v>
      </c>
      <c r="B5440" s="2" t="s">
        <v>955</v>
      </c>
      <c r="C5440" s="5" t="s">
        <v>958</v>
      </c>
      <c r="D5440" s="2" t="s">
        <v>959</v>
      </c>
    </row>
    <row r="5441" spans="1:4" ht="13.05" customHeight="1" x14ac:dyDescent="0.3">
      <c r="A5441" s="2" t="s">
        <v>839</v>
      </c>
      <c r="B5441" s="2" t="s">
        <v>955</v>
      </c>
      <c r="C5441" s="5" t="s">
        <v>960</v>
      </c>
      <c r="D5441" s="2" t="s">
        <v>961</v>
      </c>
    </row>
    <row r="5442" spans="1:4" ht="13.05" customHeight="1" x14ac:dyDescent="0.3">
      <c r="A5442" s="2" t="s">
        <v>839</v>
      </c>
      <c r="B5442" s="2" t="s">
        <v>955</v>
      </c>
      <c r="C5442" s="5" t="s">
        <v>962</v>
      </c>
      <c r="D5442" s="2" t="s">
        <v>1031</v>
      </c>
    </row>
    <row r="5443" spans="1:4" ht="13.05" customHeight="1" x14ac:dyDescent="0.3">
      <c r="A5443" s="2" t="s">
        <v>839</v>
      </c>
      <c r="B5443" s="2" t="s">
        <v>955</v>
      </c>
      <c r="C5443" s="5" t="s">
        <v>964</v>
      </c>
      <c r="D5443" s="2" t="s">
        <v>1032</v>
      </c>
    </row>
    <row r="5444" spans="1:4" ht="13.05" customHeight="1" x14ac:dyDescent="0.3">
      <c r="A5444" s="2" t="s">
        <v>839</v>
      </c>
      <c r="B5444" s="2" t="s">
        <v>955</v>
      </c>
      <c r="C5444" s="5" t="s">
        <v>966</v>
      </c>
      <c r="D5444" s="2" t="s">
        <v>1033</v>
      </c>
    </row>
    <row r="5445" spans="1:4" ht="13.05" customHeight="1" x14ac:dyDescent="0.3">
      <c r="A5445" s="2" t="s">
        <v>839</v>
      </c>
      <c r="B5445" s="2" t="s">
        <v>955</v>
      </c>
      <c r="C5445" s="5" t="s">
        <v>968</v>
      </c>
      <c r="D5445" s="2" t="s">
        <v>6118</v>
      </c>
    </row>
    <row r="5446" spans="1:4" ht="13.05" customHeight="1" x14ac:dyDescent="0.3">
      <c r="A5446" s="2" t="s">
        <v>839</v>
      </c>
      <c r="B5446" s="2" t="s">
        <v>955</v>
      </c>
      <c r="C5446" s="5" t="s">
        <v>970</v>
      </c>
      <c r="D5446" s="2" t="s">
        <v>1035</v>
      </c>
    </row>
    <row r="5447" spans="1:4" ht="13.05" customHeight="1" x14ac:dyDescent="0.3">
      <c r="A5447" s="2" t="s">
        <v>839</v>
      </c>
      <c r="B5447" s="2" t="s">
        <v>955</v>
      </c>
      <c r="C5447" s="5" t="s">
        <v>972</v>
      </c>
      <c r="D5447" s="2" t="s">
        <v>1036</v>
      </c>
    </row>
    <row r="5448" spans="1:4" ht="13.05" customHeight="1" x14ac:dyDescent="0.3">
      <c r="A5448" s="2" t="s">
        <v>839</v>
      </c>
      <c r="B5448" s="2" t="s">
        <v>955</v>
      </c>
      <c r="C5448" s="5" t="s">
        <v>981</v>
      </c>
      <c r="D5448" s="2" t="s">
        <v>1037</v>
      </c>
    </row>
    <row r="5449" spans="1:4" ht="13.05" customHeight="1" x14ac:dyDescent="0.3">
      <c r="A5449" s="2" t="s">
        <v>841</v>
      </c>
      <c r="B5449" s="2" t="s">
        <v>955</v>
      </c>
      <c r="C5449" s="5" t="s">
        <v>974</v>
      </c>
      <c r="D5449" s="2" t="s">
        <v>975</v>
      </c>
    </row>
    <row r="5450" spans="1:4" ht="13.05" customHeight="1" x14ac:dyDescent="0.3">
      <c r="A5450" s="2" t="s">
        <v>841</v>
      </c>
      <c r="B5450" s="2" t="s">
        <v>955</v>
      </c>
      <c r="C5450" s="5" t="s">
        <v>956</v>
      </c>
      <c r="D5450" s="2" t="s">
        <v>1025</v>
      </c>
    </row>
    <row r="5451" spans="1:4" ht="13.05" customHeight="1" x14ac:dyDescent="0.3">
      <c r="A5451" s="2" t="s">
        <v>841</v>
      </c>
      <c r="B5451" s="2" t="s">
        <v>955</v>
      </c>
      <c r="C5451" s="5" t="s">
        <v>958</v>
      </c>
      <c r="D5451" s="2" t="s">
        <v>959</v>
      </c>
    </row>
    <row r="5452" spans="1:4" ht="13.05" customHeight="1" x14ac:dyDescent="0.3">
      <c r="A5452" s="2" t="s">
        <v>841</v>
      </c>
      <c r="B5452" s="2" t="s">
        <v>955</v>
      </c>
      <c r="C5452" s="5" t="s">
        <v>960</v>
      </c>
      <c r="D5452" s="2" t="s">
        <v>961</v>
      </c>
    </row>
    <row r="5453" spans="1:4" ht="13.05" customHeight="1" x14ac:dyDescent="0.3">
      <c r="A5453" s="2" t="s">
        <v>841</v>
      </c>
      <c r="B5453" s="2" t="s">
        <v>955</v>
      </c>
      <c r="C5453" s="5" t="s">
        <v>962</v>
      </c>
      <c r="D5453" s="2" t="s">
        <v>1031</v>
      </c>
    </row>
    <row r="5454" spans="1:4" ht="13.05" customHeight="1" x14ac:dyDescent="0.3">
      <c r="A5454" s="2" t="s">
        <v>841</v>
      </c>
      <c r="B5454" s="2" t="s">
        <v>955</v>
      </c>
      <c r="C5454" s="5" t="s">
        <v>964</v>
      </c>
      <c r="D5454" s="2" t="s">
        <v>1032</v>
      </c>
    </row>
    <row r="5455" spans="1:4" ht="13.05" customHeight="1" x14ac:dyDescent="0.3">
      <c r="A5455" s="2" t="s">
        <v>841</v>
      </c>
      <c r="B5455" s="2" t="s">
        <v>955</v>
      </c>
      <c r="C5455" s="5" t="s">
        <v>966</v>
      </c>
      <c r="D5455" s="2" t="s">
        <v>1033</v>
      </c>
    </row>
    <row r="5456" spans="1:4" ht="13.05" customHeight="1" x14ac:dyDescent="0.3">
      <c r="A5456" s="2" t="s">
        <v>841</v>
      </c>
      <c r="B5456" s="2" t="s">
        <v>955</v>
      </c>
      <c r="C5456" s="5" t="s">
        <v>968</v>
      </c>
      <c r="D5456" s="2" t="s">
        <v>6118</v>
      </c>
    </row>
    <row r="5457" spans="1:4" ht="13.05" customHeight="1" x14ac:dyDescent="0.3">
      <c r="A5457" s="2" t="s">
        <v>841</v>
      </c>
      <c r="B5457" s="2" t="s">
        <v>955</v>
      </c>
      <c r="C5457" s="5" t="s">
        <v>970</v>
      </c>
      <c r="D5457" s="2" t="s">
        <v>1035</v>
      </c>
    </row>
    <row r="5458" spans="1:4" ht="13.05" customHeight="1" x14ac:dyDescent="0.3">
      <c r="A5458" s="2" t="s">
        <v>841</v>
      </c>
      <c r="B5458" s="2" t="s">
        <v>955</v>
      </c>
      <c r="C5458" s="5" t="s">
        <v>972</v>
      </c>
      <c r="D5458" s="2" t="s">
        <v>1036</v>
      </c>
    </row>
    <row r="5459" spans="1:4" ht="13.05" customHeight="1" x14ac:dyDescent="0.3">
      <c r="A5459" s="2" t="s">
        <v>841</v>
      </c>
      <c r="B5459" s="2" t="s">
        <v>955</v>
      </c>
      <c r="C5459" s="5" t="s">
        <v>981</v>
      </c>
      <c r="D5459" s="2" t="s">
        <v>1037</v>
      </c>
    </row>
    <row r="5460" spans="1:4" ht="13.05" customHeight="1" x14ac:dyDescent="0.3">
      <c r="A5460" s="2" t="s">
        <v>843</v>
      </c>
      <c r="B5460" s="2" t="s">
        <v>955</v>
      </c>
      <c r="C5460" s="5" t="s">
        <v>974</v>
      </c>
      <c r="D5460" s="2" t="s">
        <v>975</v>
      </c>
    </row>
    <row r="5461" spans="1:4" ht="13.05" customHeight="1" x14ac:dyDescent="0.3">
      <c r="A5461" s="2" t="s">
        <v>843</v>
      </c>
      <c r="B5461" s="2" t="s">
        <v>955</v>
      </c>
      <c r="C5461" s="5" t="s">
        <v>956</v>
      </c>
      <c r="D5461" s="2" t="s">
        <v>1025</v>
      </c>
    </row>
    <row r="5462" spans="1:4" ht="13.05" customHeight="1" x14ac:dyDescent="0.3">
      <c r="A5462" s="2" t="s">
        <v>843</v>
      </c>
      <c r="B5462" s="2" t="s">
        <v>955</v>
      </c>
      <c r="C5462" s="5" t="s">
        <v>958</v>
      </c>
      <c r="D5462" s="2" t="s">
        <v>959</v>
      </c>
    </row>
    <row r="5463" spans="1:4" ht="13.05" customHeight="1" x14ac:dyDescent="0.3">
      <c r="A5463" s="2" t="s">
        <v>843</v>
      </c>
      <c r="B5463" s="2" t="s">
        <v>955</v>
      </c>
      <c r="C5463" s="5" t="s">
        <v>960</v>
      </c>
      <c r="D5463" s="2" t="s">
        <v>961</v>
      </c>
    </row>
    <row r="5464" spans="1:4" ht="13.05" customHeight="1" x14ac:dyDescent="0.3">
      <c r="A5464" s="2" t="s">
        <v>843</v>
      </c>
      <c r="B5464" s="2" t="s">
        <v>955</v>
      </c>
      <c r="C5464" s="5" t="s">
        <v>962</v>
      </c>
      <c r="D5464" s="2" t="s">
        <v>1031</v>
      </c>
    </row>
    <row r="5465" spans="1:4" ht="13.05" customHeight="1" x14ac:dyDescent="0.3">
      <c r="A5465" s="2" t="s">
        <v>843</v>
      </c>
      <c r="B5465" s="2" t="s">
        <v>955</v>
      </c>
      <c r="C5465" s="5" t="s">
        <v>964</v>
      </c>
      <c r="D5465" s="2" t="s">
        <v>1032</v>
      </c>
    </row>
    <row r="5466" spans="1:4" ht="13.05" customHeight="1" x14ac:dyDescent="0.3">
      <c r="A5466" s="2" t="s">
        <v>843</v>
      </c>
      <c r="B5466" s="2" t="s">
        <v>955</v>
      </c>
      <c r="C5466" s="5" t="s">
        <v>966</v>
      </c>
      <c r="D5466" s="2" t="s">
        <v>1033</v>
      </c>
    </row>
    <row r="5467" spans="1:4" ht="13.05" customHeight="1" x14ac:dyDescent="0.3">
      <c r="A5467" s="2" t="s">
        <v>843</v>
      </c>
      <c r="B5467" s="2" t="s">
        <v>955</v>
      </c>
      <c r="C5467" s="5" t="s">
        <v>968</v>
      </c>
      <c r="D5467" s="2" t="s">
        <v>6118</v>
      </c>
    </row>
    <row r="5468" spans="1:4" ht="13.05" customHeight="1" x14ac:dyDescent="0.3">
      <c r="A5468" s="2" t="s">
        <v>843</v>
      </c>
      <c r="B5468" s="2" t="s">
        <v>955</v>
      </c>
      <c r="C5468" s="5" t="s">
        <v>970</v>
      </c>
      <c r="D5468" s="2" t="s">
        <v>1035</v>
      </c>
    </row>
    <row r="5469" spans="1:4" ht="13.05" customHeight="1" x14ac:dyDescent="0.3">
      <c r="A5469" s="2" t="s">
        <v>843</v>
      </c>
      <c r="B5469" s="2" t="s">
        <v>955</v>
      </c>
      <c r="C5469" s="5" t="s">
        <v>972</v>
      </c>
      <c r="D5469" s="2" t="s">
        <v>1036</v>
      </c>
    </row>
    <row r="5470" spans="1:4" ht="13.05" customHeight="1" x14ac:dyDescent="0.3">
      <c r="A5470" s="2" t="s">
        <v>843</v>
      </c>
      <c r="B5470" s="2" t="s">
        <v>955</v>
      </c>
      <c r="C5470" s="5" t="s">
        <v>981</v>
      </c>
      <c r="D5470" s="2" t="s">
        <v>1037</v>
      </c>
    </row>
    <row r="5471" spans="1:4" ht="13.05" customHeight="1" x14ac:dyDescent="0.3">
      <c r="A5471" s="2" t="s">
        <v>845</v>
      </c>
      <c r="B5471" s="2" t="s">
        <v>955</v>
      </c>
      <c r="C5471" s="5" t="s">
        <v>974</v>
      </c>
      <c r="D5471" s="2" t="s">
        <v>975</v>
      </c>
    </row>
    <row r="5472" spans="1:4" ht="13.05" customHeight="1" x14ac:dyDescent="0.3">
      <c r="A5472" s="2" t="s">
        <v>845</v>
      </c>
      <c r="B5472" s="2" t="s">
        <v>955</v>
      </c>
      <c r="C5472" s="5" t="s">
        <v>956</v>
      </c>
      <c r="D5472" s="2" t="s">
        <v>1025</v>
      </c>
    </row>
    <row r="5473" spans="1:4" ht="13.05" customHeight="1" x14ac:dyDescent="0.3">
      <c r="A5473" s="2" t="s">
        <v>845</v>
      </c>
      <c r="B5473" s="2" t="s">
        <v>955</v>
      </c>
      <c r="C5473" s="5" t="s">
        <v>958</v>
      </c>
      <c r="D5473" s="2" t="s">
        <v>959</v>
      </c>
    </row>
    <row r="5474" spans="1:4" ht="13.05" customHeight="1" x14ac:dyDescent="0.3">
      <c r="A5474" s="2" t="s">
        <v>845</v>
      </c>
      <c r="B5474" s="2" t="s">
        <v>955</v>
      </c>
      <c r="C5474" s="5" t="s">
        <v>960</v>
      </c>
      <c r="D5474" s="2" t="s">
        <v>961</v>
      </c>
    </row>
    <row r="5475" spans="1:4" ht="13.05" customHeight="1" x14ac:dyDescent="0.3">
      <c r="A5475" s="2" t="s">
        <v>845</v>
      </c>
      <c r="B5475" s="2" t="s">
        <v>955</v>
      </c>
      <c r="C5475" s="5" t="s">
        <v>962</v>
      </c>
      <c r="D5475" s="2" t="s">
        <v>1031</v>
      </c>
    </row>
    <row r="5476" spans="1:4" ht="13.05" customHeight="1" x14ac:dyDescent="0.3">
      <c r="A5476" s="2" t="s">
        <v>845</v>
      </c>
      <c r="B5476" s="2" t="s">
        <v>955</v>
      </c>
      <c r="C5476" s="5" t="s">
        <v>964</v>
      </c>
      <c r="D5476" s="2" t="s">
        <v>1032</v>
      </c>
    </row>
    <row r="5477" spans="1:4" ht="13.05" customHeight="1" x14ac:dyDescent="0.3">
      <c r="A5477" s="2" t="s">
        <v>845</v>
      </c>
      <c r="B5477" s="2" t="s">
        <v>955</v>
      </c>
      <c r="C5477" s="5" t="s">
        <v>966</v>
      </c>
      <c r="D5477" s="2" t="s">
        <v>1033</v>
      </c>
    </row>
    <row r="5478" spans="1:4" ht="13.05" customHeight="1" x14ac:dyDescent="0.3">
      <c r="A5478" s="2" t="s">
        <v>845</v>
      </c>
      <c r="B5478" s="2" t="s">
        <v>955</v>
      </c>
      <c r="C5478" s="5" t="s">
        <v>968</v>
      </c>
      <c r="D5478" s="2" t="s">
        <v>6118</v>
      </c>
    </row>
    <row r="5479" spans="1:4" ht="13.05" customHeight="1" x14ac:dyDescent="0.3">
      <c r="A5479" s="2" t="s">
        <v>845</v>
      </c>
      <c r="B5479" s="2" t="s">
        <v>955</v>
      </c>
      <c r="C5479" s="5" t="s">
        <v>970</v>
      </c>
      <c r="D5479" s="2" t="s">
        <v>1035</v>
      </c>
    </row>
    <row r="5480" spans="1:4" ht="13.05" customHeight="1" x14ac:dyDescent="0.3">
      <c r="A5480" s="2" t="s">
        <v>845</v>
      </c>
      <c r="B5480" s="2" t="s">
        <v>955</v>
      </c>
      <c r="C5480" s="5" t="s">
        <v>972</v>
      </c>
      <c r="D5480" s="2" t="s">
        <v>1036</v>
      </c>
    </row>
    <row r="5481" spans="1:4" ht="13.05" customHeight="1" x14ac:dyDescent="0.3">
      <c r="A5481" s="2" t="s">
        <v>845</v>
      </c>
      <c r="B5481" s="2" t="s">
        <v>955</v>
      </c>
      <c r="C5481" s="5" t="s">
        <v>981</v>
      </c>
      <c r="D5481" s="2" t="s">
        <v>1037</v>
      </c>
    </row>
    <row r="5482" spans="1:4" ht="13.05" customHeight="1" x14ac:dyDescent="0.3">
      <c r="A5482" s="2" t="s">
        <v>847</v>
      </c>
      <c r="B5482" s="2" t="s">
        <v>955</v>
      </c>
      <c r="C5482" s="5" t="s">
        <v>974</v>
      </c>
      <c r="D5482" s="2" t="s">
        <v>975</v>
      </c>
    </row>
    <row r="5483" spans="1:4" ht="13.05" customHeight="1" x14ac:dyDescent="0.3">
      <c r="A5483" s="2" t="s">
        <v>847</v>
      </c>
      <c r="B5483" s="2" t="s">
        <v>955</v>
      </c>
      <c r="C5483" s="5" t="s">
        <v>956</v>
      </c>
      <c r="D5483" s="2" t="s">
        <v>1025</v>
      </c>
    </row>
    <row r="5484" spans="1:4" ht="13.05" customHeight="1" x14ac:dyDescent="0.3">
      <c r="A5484" s="2" t="s">
        <v>847</v>
      </c>
      <c r="B5484" s="2" t="s">
        <v>955</v>
      </c>
      <c r="C5484" s="5" t="s">
        <v>958</v>
      </c>
      <c r="D5484" s="2" t="s">
        <v>959</v>
      </c>
    </row>
    <row r="5485" spans="1:4" ht="13.05" customHeight="1" x14ac:dyDescent="0.3">
      <c r="A5485" s="2" t="s">
        <v>847</v>
      </c>
      <c r="B5485" s="2" t="s">
        <v>955</v>
      </c>
      <c r="C5485" s="5" t="s">
        <v>960</v>
      </c>
      <c r="D5485" s="2" t="s">
        <v>961</v>
      </c>
    </row>
    <row r="5486" spans="1:4" ht="13.05" customHeight="1" x14ac:dyDescent="0.3">
      <c r="A5486" s="2" t="s">
        <v>847</v>
      </c>
      <c r="B5486" s="2" t="s">
        <v>955</v>
      </c>
      <c r="C5486" s="5" t="s">
        <v>962</v>
      </c>
      <c r="D5486" s="2" t="s">
        <v>1031</v>
      </c>
    </row>
    <row r="5487" spans="1:4" ht="13.05" customHeight="1" x14ac:dyDescent="0.3">
      <c r="A5487" s="2" t="s">
        <v>847</v>
      </c>
      <c r="B5487" s="2" t="s">
        <v>955</v>
      </c>
      <c r="C5487" s="5" t="s">
        <v>964</v>
      </c>
      <c r="D5487" s="2" t="s">
        <v>1032</v>
      </c>
    </row>
    <row r="5488" spans="1:4" ht="13.05" customHeight="1" x14ac:dyDescent="0.3">
      <c r="A5488" s="2" t="s">
        <v>847</v>
      </c>
      <c r="B5488" s="2" t="s">
        <v>955</v>
      </c>
      <c r="C5488" s="5" t="s">
        <v>966</v>
      </c>
      <c r="D5488" s="2" t="s">
        <v>1033</v>
      </c>
    </row>
    <row r="5489" spans="1:4" ht="13.05" customHeight="1" x14ac:dyDescent="0.3">
      <c r="A5489" s="2" t="s">
        <v>847</v>
      </c>
      <c r="B5489" s="2" t="s">
        <v>955</v>
      </c>
      <c r="C5489" s="5" t="s">
        <v>968</v>
      </c>
      <c r="D5489" s="2" t="s">
        <v>6118</v>
      </c>
    </row>
    <row r="5490" spans="1:4" ht="13.05" customHeight="1" x14ac:dyDescent="0.3">
      <c r="A5490" s="2" t="s">
        <v>847</v>
      </c>
      <c r="B5490" s="2" t="s">
        <v>955</v>
      </c>
      <c r="C5490" s="5" t="s">
        <v>970</v>
      </c>
      <c r="D5490" s="2" t="s">
        <v>1035</v>
      </c>
    </row>
    <row r="5491" spans="1:4" ht="13.05" customHeight="1" x14ac:dyDescent="0.3">
      <c r="A5491" s="2" t="s">
        <v>847</v>
      </c>
      <c r="B5491" s="2" t="s">
        <v>955</v>
      </c>
      <c r="C5491" s="5" t="s">
        <v>972</v>
      </c>
      <c r="D5491" s="2" t="s">
        <v>1036</v>
      </c>
    </row>
    <row r="5492" spans="1:4" ht="13.05" customHeight="1" x14ac:dyDescent="0.3">
      <c r="A5492" s="2" t="s">
        <v>847</v>
      </c>
      <c r="B5492" s="2" t="s">
        <v>955</v>
      </c>
      <c r="C5492" s="5" t="s">
        <v>981</v>
      </c>
      <c r="D5492" s="2" t="s">
        <v>1037</v>
      </c>
    </row>
    <row r="5493" spans="1:4" ht="13.05" customHeight="1" x14ac:dyDescent="0.3">
      <c r="A5493" s="2" t="s">
        <v>849</v>
      </c>
      <c r="B5493" s="2" t="s">
        <v>955</v>
      </c>
      <c r="C5493" s="5" t="s">
        <v>974</v>
      </c>
      <c r="D5493" s="2" t="s">
        <v>975</v>
      </c>
    </row>
    <row r="5494" spans="1:4" ht="13.05" customHeight="1" x14ac:dyDescent="0.3">
      <c r="A5494" s="2" t="s">
        <v>849</v>
      </c>
      <c r="B5494" s="2" t="s">
        <v>955</v>
      </c>
      <c r="C5494" s="5" t="s">
        <v>956</v>
      </c>
      <c r="D5494" s="2" t="s">
        <v>1025</v>
      </c>
    </row>
    <row r="5495" spans="1:4" ht="13.05" customHeight="1" x14ac:dyDescent="0.3">
      <c r="A5495" s="2" t="s">
        <v>849</v>
      </c>
      <c r="B5495" s="2" t="s">
        <v>955</v>
      </c>
      <c r="C5495" s="5" t="s">
        <v>958</v>
      </c>
      <c r="D5495" s="2" t="s">
        <v>959</v>
      </c>
    </row>
    <row r="5496" spans="1:4" ht="13.05" customHeight="1" x14ac:dyDescent="0.3">
      <c r="A5496" s="2" t="s">
        <v>849</v>
      </c>
      <c r="B5496" s="2" t="s">
        <v>955</v>
      </c>
      <c r="C5496" s="5" t="s">
        <v>960</v>
      </c>
      <c r="D5496" s="2" t="s">
        <v>961</v>
      </c>
    </row>
    <row r="5497" spans="1:4" ht="13.05" customHeight="1" x14ac:dyDescent="0.3">
      <c r="A5497" s="2" t="s">
        <v>849</v>
      </c>
      <c r="B5497" s="2" t="s">
        <v>955</v>
      </c>
      <c r="C5497" s="5" t="s">
        <v>962</v>
      </c>
      <c r="D5497" s="2" t="s">
        <v>1031</v>
      </c>
    </row>
    <row r="5498" spans="1:4" ht="13.05" customHeight="1" x14ac:dyDescent="0.3">
      <c r="A5498" s="2" t="s">
        <v>849</v>
      </c>
      <c r="B5498" s="2" t="s">
        <v>955</v>
      </c>
      <c r="C5498" s="5" t="s">
        <v>964</v>
      </c>
      <c r="D5498" s="2" t="s">
        <v>1032</v>
      </c>
    </row>
    <row r="5499" spans="1:4" ht="13.05" customHeight="1" x14ac:dyDescent="0.3">
      <c r="A5499" s="2" t="s">
        <v>849</v>
      </c>
      <c r="B5499" s="2" t="s">
        <v>955</v>
      </c>
      <c r="C5499" s="5" t="s">
        <v>966</v>
      </c>
      <c r="D5499" s="2" t="s">
        <v>1033</v>
      </c>
    </row>
    <row r="5500" spans="1:4" ht="13.05" customHeight="1" x14ac:dyDescent="0.3">
      <c r="A5500" s="2" t="s">
        <v>849</v>
      </c>
      <c r="B5500" s="2" t="s">
        <v>955</v>
      </c>
      <c r="C5500" s="5" t="s">
        <v>968</v>
      </c>
      <c r="D5500" s="2" t="s">
        <v>6118</v>
      </c>
    </row>
    <row r="5501" spans="1:4" ht="13.05" customHeight="1" x14ac:dyDescent="0.3">
      <c r="A5501" s="2" t="s">
        <v>849</v>
      </c>
      <c r="B5501" s="2" t="s">
        <v>955</v>
      </c>
      <c r="C5501" s="5" t="s">
        <v>970</v>
      </c>
      <c r="D5501" s="2" t="s">
        <v>1035</v>
      </c>
    </row>
    <row r="5502" spans="1:4" ht="13.05" customHeight="1" x14ac:dyDescent="0.3">
      <c r="A5502" s="2" t="s">
        <v>849</v>
      </c>
      <c r="B5502" s="2" t="s">
        <v>955</v>
      </c>
      <c r="C5502" s="5" t="s">
        <v>972</v>
      </c>
      <c r="D5502" s="2" t="s">
        <v>1036</v>
      </c>
    </row>
    <row r="5503" spans="1:4" ht="13.05" customHeight="1" x14ac:dyDescent="0.3">
      <c r="A5503" s="2" t="s">
        <v>849</v>
      </c>
      <c r="B5503" s="2" t="s">
        <v>955</v>
      </c>
      <c r="C5503" s="5" t="s">
        <v>981</v>
      </c>
      <c r="D5503" s="2" t="s">
        <v>1037</v>
      </c>
    </row>
    <row r="5504" spans="1:4" ht="13.05" customHeight="1" x14ac:dyDescent="0.3">
      <c r="A5504" s="2" t="s">
        <v>851</v>
      </c>
      <c r="B5504" s="2" t="s">
        <v>955</v>
      </c>
      <c r="C5504" s="5" t="s">
        <v>974</v>
      </c>
      <c r="D5504" s="2" t="s">
        <v>975</v>
      </c>
    </row>
    <row r="5505" spans="1:4" ht="13.05" customHeight="1" x14ac:dyDescent="0.3">
      <c r="A5505" s="2" t="s">
        <v>851</v>
      </c>
      <c r="B5505" s="2" t="s">
        <v>955</v>
      </c>
      <c r="C5505" s="5" t="s">
        <v>956</v>
      </c>
      <c r="D5505" s="2" t="s">
        <v>1025</v>
      </c>
    </row>
    <row r="5506" spans="1:4" ht="13.05" customHeight="1" x14ac:dyDescent="0.3">
      <c r="A5506" s="2" t="s">
        <v>851</v>
      </c>
      <c r="B5506" s="2" t="s">
        <v>955</v>
      </c>
      <c r="C5506" s="5" t="s">
        <v>958</v>
      </c>
      <c r="D5506" s="2" t="s">
        <v>959</v>
      </c>
    </row>
    <row r="5507" spans="1:4" ht="13.05" customHeight="1" x14ac:dyDescent="0.3">
      <c r="A5507" s="2" t="s">
        <v>851</v>
      </c>
      <c r="B5507" s="2" t="s">
        <v>955</v>
      </c>
      <c r="C5507" s="5" t="s">
        <v>960</v>
      </c>
      <c r="D5507" s="2" t="s">
        <v>961</v>
      </c>
    </row>
    <row r="5508" spans="1:4" ht="13.05" customHeight="1" x14ac:dyDescent="0.3">
      <c r="A5508" s="2" t="s">
        <v>851</v>
      </c>
      <c r="B5508" s="2" t="s">
        <v>955</v>
      </c>
      <c r="C5508" s="5" t="s">
        <v>962</v>
      </c>
      <c r="D5508" s="2" t="s">
        <v>1031</v>
      </c>
    </row>
    <row r="5509" spans="1:4" ht="13.05" customHeight="1" x14ac:dyDescent="0.3">
      <c r="A5509" s="2" t="s">
        <v>851</v>
      </c>
      <c r="B5509" s="2" t="s">
        <v>955</v>
      </c>
      <c r="C5509" s="5" t="s">
        <v>964</v>
      </c>
      <c r="D5509" s="2" t="s">
        <v>1032</v>
      </c>
    </row>
    <row r="5510" spans="1:4" ht="13.05" customHeight="1" x14ac:dyDescent="0.3">
      <c r="A5510" s="2" t="s">
        <v>851</v>
      </c>
      <c r="B5510" s="2" t="s">
        <v>955</v>
      </c>
      <c r="C5510" s="5" t="s">
        <v>966</v>
      </c>
      <c r="D5510" s="2" t="s">
        <v>1033</v>
      </c>
    </row>
    <row r="5511" spans="1:4" ht="13.05" customHeight="1" x14ac:dyDescent="0.3">
      <c r="A5511" s="2" t="s">
        <v>851</v>
      </c>
      <c r="B5511" s="2" t="s">
        <v>955</v>
      </c>
      <c r="C5511" s="5" t="s">
        <v>968</v>
      </c>
      <c r="D5511" s="2" t="s">
        <v>6118</v>
      </c>
    </row>
    <row r="5512" spans="1:4" ht="13.05" customHeight="1" x14ac:dyDescent="0.3">
      <c r="A5512" s="2" t="s">
        <v>851</v>
      </c>
      <c r="B5512" s="2" t="s">
        <v>955</v>
      </c>
      <c r="C5512" s="5" t="s">
        <v>970</v>
      </c>
      <c r="D5512" s="2" t="s">
        <v>1035</v>
      </c>
    </row>
    <row r="5513" spans="1:4" ht="13.05" customHeight="1" x14ac:dyDescent="0.3">
      <c r="A5513" s="2" t="s">
        <v>851</v>
      </c>
      <c r="B5513" s="2" t="s">
        <v>955</v>
      </c>
      <c r="C5513" s="5" t="s">
        <v>972</v>
      </c>
      <c r="D5513" s="2" t="s">
        <v>1036</v>
      </c>
    </row>
    <row r="5514" spans="1:4" ht="13.05" customHeight="1" x14ac:dyDescent="0.3">
      <c r="A5514" s="2" t="s">
        <v>851</v>
      </c>
      <c r="B5514" s="2" t="s">
        <v>955</v>
      </c>
      <c r="C5514" s="5" t="s">
        <v>981</v>
      </c>
      <c r="D5514" s="2" t="s">
        <v>1037</v>
      </c>
    </row>
    <row r="5515" spans="1:4" ht="13.05" customHeight="1" x14ac:dyDescent="0.3">
      <c r="A5515" s="2" t="s">
        <v>853</v>
      </c>
      <c r="B5515" s="2" t="s">
        <v>955</v>
      </c>
      <c r="C5515" s="5" t="s">
        <v>974</v>
      </c>
      <c r="D5515" s="2" t="s">
        <v>975</v>
      </c>
    </row>
    <row r="5516" spans="1:4" ht="13.05" customHeight="1" x14ac:dyDescent="0.3">
      <c r="A5516" s="2" t="s">
        <v>853</v>
      </c>
      <c r="B5516" s="2" t="s">
        <v>955</v>
      </c>
      <c r="C5516" s="5" t="s">
        <v>956</v>
      </c>
      <c r="D5516" s="2" t="s">
        <v>957</v>
      </c>
    </row>
    <row r="5517" spans="1:4" ht="13.05" customHeight="1" x14ac:dyDescent="0.3">
      <c r="A5517" s="2" t="s">
        <v>853</v>
      </c>
      <c r="B5517" s="2" t="s">
        <v>955</v>
      </c>
      <c r="C5517" s="5" t="s">
        <v>958</v>
      </c>
      <c r="D5517" s="2" t="s">
        <v>959</v>
      </c>
    </row>
    <row r="5518" spans="1:4" ht="13.05" customHeight="1" x14ac:dyDescent="0.3">
      <c r="A5518" s="2" t="s">
        <v>853</v>
      </c>
      <c r="B5518" s="2" t="s">
        <v>955</v>
      </c>
      <c r="C5518" s="5" t="s">
        <v>960</v>
      </c>
      <c r="D5518" s="2" t="s">
        <v>961</v>
      </c>
    </row>
    <row r="5519" spans="1:4" ht="13.05" customHeight="1" x14ac:dyDescent="0.3">
      <c r="A5519" s="2" t="s">
        <v>853</v>
      </c>
      <c r="B5519" s="2" t="s">
        <v>955</v>
      </c>
      <c r="C5519" s="5" t="s">
        <v>1152</v>
      </c>
      <c r="D5519" s="2" t="s">
        <v>1037</v>
      </c>
    </row>
    <row r="5520" spans="1:4" ht="13.05" customHeight="1" x14ac:dyDescent="0.3">
      <c r="A5520" s="2" t="s">
        <v>853</v>
      </c>
      <c r="B5520" s="2" t="s">
        <v>955</v>
      </c>
      <c r="C5520" s="5" t="s">
        <v>962</v>
      </c>
      <c r="D5520" s="2" t="s">
        <v>3213</v>
      </c>
    </row>
    <row r="5521" spans="1:4" ht="13.05" customHeight="1" x14ac:dyDescent="0.3">
      <c r="A5521" s="2" t="s">
        <v>853</v>
      </c>
      <c r="B5521" s="2" t="s">
        <v>955</v>
      </c>
      <c r="C5521" s="5" t="s">
        <v>964</v>
      </c>
      <c r="D5521" s="2" t="s">
        <v>3214</v>
      </c>
    </row>
    <row r="5522" spans="1:4" ht="13.05" customHeight="1" x14ac:dyDescent="0.3">
      <c r="A5522" s="2" t="s">
        <v>853</v>
      </c>
      <c r="B5522" s="2" t="s">
        <v>955</v>
      </c>
      <c r="C5522" s="5" t="s">
        <v>966</v>
      </c>
      <c r="D5522" s="2" t="s">
        <v>3215</v>
      </c>
    </row>
    <row r="5523" spans="1:4" ht="13.05" customHeight="1" x14ac:dyDescent="0.3">
      <c r="A5523" s="2" t="s">
        <v>853</v>
      </c>
      <c r="B5523" s="2" t="s">
        <v>955</v>
      </c>
      <c r="C5523" s="5" t="s">
        <v>968</v>
      </c>
      <c r="D5523" s="2" t="s">
        <v>3216</v>
      </c>
    </row>
    <row r="5524" spans="1:4" ht="13.05" customHeight="1" x14ac:dyDescent="0.3">
      <c r="A5524" s="2" t="s">
        <v>853</v>
      </c>
      <c r="B5524" s="2" t="s">
        <v>955</v>
      </c>
      <c r="C5524" s="5" t="s">
        <v>970</v>
      </c>
      <c r="D5524" s="2" t="s">
        <v>3217</v>
      </c>
    </row>
    <row r="5525" spans="1:4" ht="13.05" customHeight="1" x14ac:dyDescent="0.3">
      <c r="A5525" s="2" t="s">
        <v>853</v>
      </c>
      <c r="B5525" s="2" t="s">
        <v>955</v>
      </c>
      <c r="C5525" s="5" t="s">
        <v>972</v>
      </c>
      <c r="D5525" s="2" t="s">
        <v>3218</v>
      </c>
    </row>
    <row r="5526" spans="1:4" ht="13.05" customHeight="1" x14ac:dyDescent="0.3">
      <c r="A5526" s="2" t="s">
        <v>853</v>
      </c>
      <c r="B5526" s="2" t="s">
        <v>955</v>
      </c>
      <c r="C5526" s="5" t="s">
        <v>981</v>
      </c>
      <c r="D5526" s="2" t="s">
        <v>3219</v>
      </c>
    </row>
    <row r="5527" spans="1:4" ht="13.05" customHeight="1" x14ac:dyDescent="0.3">
      <c r="A5527" s="2" t="s">
        <v>853</v>
      </c>
      <c r="B5527" s="2" t="s">
        <v>955</v>
      </c>
      <c r="C5527" s="5" t="s">
        <v>991</v>
      </c>
      <c r="D5527" s="2" t="s">
        <v>3220</v>
      </c>
    </row>
    <row r="5528" spans="1:4" ht="13.05" customHeight="1" x14ac:dyDescent="0.3">
      <c r="A5528" s="2" t="s">
        <v>853</v>
      </c>
      <c r="B5528" s="2" t="s">
        <v>955</v>
      </c>
      <c r="C5528" s="5" t="s">
        <v>983</v>
      </c>
      <c r="D5528" s="2" t="s">
        <v>1015</v>
      </c>
    </row>
    <row r="5529" spans="1:4" ht="13.05" customHeight="1" x14ac:dyDescent="0.3">
      <c r="A5529" s="2" t="s">
        <v>855</v>
      </c>
      <c r="B5529" s="2" t="s">
        <v>955</v>
      </c>
      <c r="C5529" s="5" t="s">
        <v>974</v>
      </c>
      <c r="D5529" s="2" t="s">
        <v>975</v>
      </c>
    </row>
    <row r="5530" spans="1:4" ht="13.05" customHeight="1" x14ac:dyDescent="0.3">
      <c r="A5530" s="2" t="s">
        <v>855</v>
      </c>
      <c r="B5530" s="2" t="s">
        <v>955</v>
      </c>
      <c r="C5530" s="5" t="s">
        <v>956</v>
      </c>
      <c r="D5530" s="2" t="s">
        <v>957</v>
      </c>
    </row>
    <row r="5531" spans="1:4" ht="13.05" customHeight="1" x14ac:dyDescent="0.3">
      <c r="A5531" s="2" t="s">
        <v>855</v>
      </c>
      <c r="B5531" s="2" t="s">
        <v>955</v>
      </c>
      <c r="C5531" s="5" t="s">
        <v>958</v>
      </c>
      <c r="D5531" s="2" t="s">
        <v>959</v>
      </c>
    </row>
    <row r="5532" spans="1:4" ht="13.05" customHeight="1" x14ac:dyDescent="0.3">
      <c r="A5532" s="2" t="s">
        <v>855</v>
      </c>
      <c r="B5532" s="2" t="s">
        <v>955</v>
      </c>
      <c r="C5532" s="5" t="s">
        <v>960</v>
      </c>
      <c r="D5532" s="2" t="s">
        <v>961</v>
      </c>
    </row>
    <row r="5533" spans="1:4" ht="13.05" customHeight="1" x14ac:dyDescent="0.3">
      <c r="A5533" s="2" t="s">
        <v>855</v>
      </c>
      <c r="B5533" s="2" t="s">
        <v>955</v>
      </c>
      <c r="C5533" s="5" t="s">
        <v>1152</v>
      </c>
      <c r="D5533" s="2" t="s">
        <v>1037</v>
      </c>
    </row>
    <row r="5534" spans="1:4" ht="13.05" customHeight="1" x14ac:dyDescent="0.3">
      <c r="A5534" s="2" t="s">
        <v>855</v>
      </c>
      <c r="B5534" s="2" t="s">
        <v>955</v>
      </c>
      <c r="C5534" s="5" t="s">
        <v>962</v>
      </c>
      <c r="D5534" s="2" t="s">
        <v>3213</v>
      </c>
    </row>
    <row r="5535" spans="1:4" ht="13.05" customHeight="1" x14ac:dyDescent="0.3">
      <c r="A5535" s="2" t="s">
        <v>855</v>
      </c>
      <c r="B5535" s="2" t="s">
        <v>955</v>
      </c>
      <c r="C5535" s="5" t="s">
        <v>964</v>
      </c>
      <c r="D5535" s="2" t="s">
        <v>3214</v>
      </c>
    </row>
    <row r="5536" spans="1:4" ht="13.05" customHeight="1" x14ac:dyDescent="0.3">
      <c r="A5536" s="2" t="s">
        <v>855</v>
      </c>
      <c r="B5536" s="2" t="s">
        <v>955</v>
      </c>
      <c r="C5536" s="5" t="s">
        <v>966</v>
      </c>
      <c r="D5536" s="2" t="s">
        <v>3215</v>
      </c>
    </row>
    <row r="5537" spans="1:4" ht="13.05" customHeight="1" x14ac:dyDescent="0.3">
      <c r="A5537" s="2" t="s">
        <v>855</v>
      </c>
      <c r="B5537" s="2" t="s">
        <v>955</v>
      </c>
      <c r="C5537" s="5" t="s">
        <v>968</v>
      </c>
      <c r="D5537" s="2" t="s">
        <v>3216</v>
      </c>
    </row>
    <row r="5538" spans="1:4" ht="13.05" customHeight="1" x14ac:dyDescent="0.3">
      <c r="A5538" s="2" t="s">
        <v>855</v>
      </c>
      <c r="B5538" s="2" t="s">
        <v>955</v>
      </c>
      <c r="C5538" s="5" t="s">
        <v>970</v>
      </c>
      <c r="D5538" s="2" t="s">
        <v>3217</v>
      </c>
    </row>
    <row r="5539" spans="1:4" ht="13.05" customHeight="1" x14ac:dyDescent="0.3">
      <c r="A5539" s="2" t="s">
        <v>855</v>
      </c>
      <c r="B5539" s="2" t="s">
        <v>955</v>
      </c>
      <c r="C5539" s="5" t="s">
        <v>972</v>
      </c>
      <c r="D5539" s="2" t="s">
        <v>3218</v>
      </c>
    </row>
    <row r="5540" spans="1:4" ht="13.05" customHeight="1" x14ac:dyDescent="0.3">
      <c r="A5540" s="2" t="s">
        <v>855</v>
      </c>
      <c r="B5540" s="2" t="s">
        <v>955</v>
      </c>
      <c r="C5540" s="5" t="s">
        <v>981</v>
      </c>
      <c r="D5540" s="2" t="s">
        <v>3219</v>
      </c>
    </row>
    <row r="5541" spans="1:4" ht="13.05" customHeight="1" x14ac:dyDescent="0.3">
      <c r="A5541" s="2" t="s">
        <v>855</v>
      </c>
      <c r="B5541" s="2" t="s">
        <v>955</v>
      </c>
      <c r="C5541" s="5" t="s">
        <v>991</v>
      </c>
      <c r="D5541" s="2" t="s">
        <v>3220</v>
      </c>
    </row>
    <row r="5542" spans="1:4" ht="13.05" customHeight="1" x14ac:dyDescent="0.3">
      <c r="A5542" s="2" t="s">
        <v>855</v>
      </c>
      <c r="B5542" s="2" t="s">
        <v>955</v>
      </c>
      <c r="C5542" s="5" t="s">
        <v>983</v>
      </c>
      <c r="D5542" s="2" t="s">
        <v>1015</v>
      </c>
    </row>
    <row r="5543" spans="1:4" ht="13.05" customHeight="1" x14ac:dyDescent="0.3">
      <c r="A5543" s="2" t="s">
        <v>857</v>
      </c>
      <c r="B5543" s="2" t="s">
        <v>955</v>
      </c>
      <c r="C5543" s="5" t="s">
        <v>974</v>
      </c>
      <c r="D5543" s="2" t="s">
        <v>975</v>
      </c>
    </row>
    <row r="5544" spans="1:4" ht="13.05" customHeight="1" x14ac:dyDescent="0.3">
      <c r="A5544" s="2" t="s">
        <v>857</v>
      </c>
      <c r="B5544" s="2" t="s">
        <v>955</v>
      </c>
      <c r="C5544" s="5" t="s">
        <v>956</v>
      </c>
      <c r="D5544" s="2" t="s">
        <v>957</v>
      </c>
    </row>
    <row r="5545" spans="1:4" ht="13.05" customHeight="1" x14ac:dyDescent="0.3">
      <c r="A5545" s="2" t="s">
        <v>857</v>
      </c>
      <c r="B5545" s="2" t="s">
        <v>955</v>
      </c>
      <c r="C5545" s="5" t="s">
        <v>958</v>
      </c>
      <c r="D5545" s="2" t="s">
        <v>959</v>
      </c>
    </row>
    <row r="5546" spans="1:4" ht="13.05" customHeight="1" x14ac:dyDescent="0.3">
      <c r="A5546" s="2" t="s">
        <v>857</v>
      </c>
      <c r="B5546" s="2" t="s">
        <v>955</v>
      </c>
      <c r="C5546" s="5" t="s">
        <v>960</v>
      </c>
      <c r="D5546" s="2" t="s">
        <v>961</v>
      </c>
    </row>
    <row r="5547" spans="1:4" ht="13.05" customHeight="1" x14ac:dyDescent="0.3">
      <c r="A5547" s="2" t="s">
        <v>857</v>
      </c>
      <c r="B5547" s="2" t="s">
        <v>955</v>
      </c>
      <c r="C5547" s="5" t="s">
        <v>1152</v>
      </c>
      <c r="D5547" s="2" t="s">
        <v>1037</v>
      </c>
    </row>
    <row r="5548" spans="1:4" ht="13.05" customHeight="1" x14ac:dyDescent="0.3">
      <c r="A5548" s="2" t="s">
        <v>857</v>
      </c>
      <c r="B5548" s="2" t="s">
        <v>955</v>
      </c>
      <c r="C5548" s="5" t="s">
        <v>962</v>
      </c>
      <c r="D5548" s="2" t="s">
        <v>3213</v>
      </c>
    </row>
    <row r="5549" spans="1:4" ht="13.05" customHeight="1" x14ac:dyDescent="0.3">
      <c r="A5549" s="2" t="s">
        <v>857</v>
      </c>
      <c r="B5549" s="2" t="s">
        <v>955</v>
      </c>
      <c r="C5549" s="5" t="s">
        <v>964</v>
      </c>
      <c r="D5549" s="2" t="s">
        <v>3214</v>
      </c>
    </row>
    <row r="5550" spans="1:4" ht="13.05" customHeight="1" x14ac:dyDescent="0.3">
      <c r="A5550" s="2" t="s">
        <v>857</v>
      </c>
      <c r="B5550" s="2" t="s">
        <v>955</v>
      </c>
      <c r="C5550" s="5" t="s">
        <v>966</v>
      </c>
      <c r="D5550" s="2" t="s">
        <v>3215</v>
      </c>
    </row>
    <row r="5551" spans="1:4" ht="13.05" customHeight="1" x14ac:dyDescent="0.3">
      <c r="A5551" s="2" t="s">
        <v>857</v>
      </c>
      <c r="B5551" s="2" t="s">
        <v>955</v>
      </c>
      <c r="C5551" s="5" t="s">
        <v>968</v>
      </c>
      <c r="D5551" s="2" t="s">
        <v>3216</v>
      </c>
    </row>
    <row r="5552" spans="1:4" ht="13.05" customHeight="1" x14ac:dyDescent="0.3">
      <c r="A5552" s="2" t="s">
        <v>857</v>
      </c>
      <c r="B5552" s="2" t="s">
        <v>955</v>
      </c>
      <c r="C5552" s="5" t="s">
        <v>970</v>
      </c>
      <c r="D5552" s="2" t="s">
        <v>3217</v>
      </c>
    </row>
    <row r="5553" spans="1:4" ht="13.05" customHeight="1" x14ac:dyDescent="0.3">
      <c r="A5553" s="2" t="s">
        <v>857</v>
      </c>
      <c r="B5553" s="2" t="s">
        <v>955</v>
      </c>
      <c r="C5553" s="5" t="s">
        <v>972</v>
      </c>
      <c r="D5553" s="2" t="s">
        <v>3218</v>
      </c>
    </row>
    <row r="5554" spans="1:4" ht="13.05" customHeight="1" x14ac:dyDescent="0.3">
      <c r="A5554" s="2" t="s">
        <v>857</v>
      </c>
      <c r="B5554" s="2" t="s">
        <v>955</v>
      </c>
      <c r="C5554" s="5" t="s">
        <v>981</v>
      </c>
      <c r="D5554" s="2" t="s">
        <v>3219</v>
      </c>
    </row>
    <row r="5555" spans="1:4" ht="13.05" customHeight="1" x14ac:dyDescent="0.3">
      <c r="A5555" s="2" t="s">
        <v>857</v>
      </c>
      <c r="B5555" s="2" t="s">
        <v>955</v>
      </c>
      <c r="C5555" s="5" t="s">
        <v>991</v>
      </c>
      <c r="D5555" s="2" t="s">
        <v>3220</v>
      </c>
    </row>
    <row r="5556" spans="1:4" ht="13.05" customHeight="1" x14ac:dyDescent="0.3">
      <c r="A5556" s="2" t="s">
        <v>857</v>
      </c>
      <c r="B5556" s="2" t="s">
        <v>955</v>
      </c>
      <c r="C5556" s="5" t="s">
        <v>983</v>
      </c>
      <c r="D5556" s="2" t="s">
        <v>1015</v>
      </c>
    </row>
    <row r="5557" spans="1:4" ht="13.05" customHeight="1" x14ac:dyDescent="0.3">
      <c r="A5557" s="2" t="s">
        <v>859</v>
      </c>
      <c r="B5557" s="2" t="s">
        <v>955</v>
      </c>
      <c r="C5557" s="5" t="s">
        <v>974</v>
      </c>
      <c r="D5557" s="2" t="s">
        <v>975</v>
      </c>
    </row>
    <row r="5558" spans="1:4" ht="13.05" customHeight="1" x14ac:dyDescent="0.3">
      <c r="A5558" s="2" t="s">
        <v>859</v>
      </c>
      <c r="B5558" s="2" t="s">
        <v>955</v>
      </c>
      <c r="C5558" s="5" t="s">
        <v>956</v>
      </c>
      <c r="D5558" s="2" t="s">
        <v>957</v>
      </c>
    </row>
    <row r="5559" spans="1:4" ht="13.05" customHeight="1" x14ac:dyDescent="0.3">
      <c r="A5559" s="2" t="s">
        <v>859</v>
      </c>
      <c r="B5559" s="2" t="s">
        <v>955</v>
      </c>
      <c r="C5559" s="5" t="s">
        <v>958</v>
      </c>
      <c r="D5559" s="2" t="s">
        <v>959</v>
      </c>
    </row>
    <row r="5560" spans="1:4" ht="13.05" customHeight="1" x14ac:dyDescent="0.3">
      <c r="A5560" s="2" t="s">
        <v>859</v>
      </c>
      <c r="B5560" s="2" t="s">
        <v>955</v>
      </c>
      <c r="C5560" s="5" t="s">
        <v>960</v>
      </c>
      <c r="D5560" s="2" t="s">
        <v>961</v>
      </c>
    </row>
    <row r="5561" spans="1:4" ht="13.05" customHeight="1" x14ac:dyDescent="0.3">
      <c r="A5561" s="2" t="s">
        <v>859</v>
      </c>
      <c r="B5561" s="2" t="s">
        <v>955</v>
      </c>
      <c r="C5561" s="5" t="s">
        <v>1152</v>
      </c>
      <c r="D5561" s="2" t="s">
        <v>1037</v>
      </c>
    </row>
    <row r="5562" spans="1:4" ht="13.05" customHeight="1" x14ac:dyDescent="0.3">
      <c r="A5562" s="2" t="s">
        <v>859</v>
      </c>
      <c r="B5562" s="2" t="s">
        <v>955</v>
      </c>
      <c r="C5562" s="5" t="s">
        <v>962</v>
      </c>
      <c r="D5562" s="2" t="s">
        <v>3213</v>
      </c>
    </row>
    <row r="5563" spans="1:4" ht="13.05" customHeight="1" x14ac:dyDescent="0.3">
      <c r="A5563" s="2" t="s">
        <v>859</v>
      </c>
      <c r="B5563" s="2" t="s">
        <v>955</v>
      </c>
      <c r="C5563" s="5" t="s">
        <v>964</v>
      </c>
      <c r="D5563" s="2" t="s">
        <v>3214</v>
      </c>
    </row>
    <row r="5564" spans="1:4" ht="13.05" customHeight="1" x14ac:dyDescent="0.3">
      <c r="A5564" s="2" t="s">
        <v>859</v>
      </c>
      <c r="B5564" s="2" t="s">
        <v>955</v>
      </c>
      <c r="C5564" s="5" t="s">
        <v>966</v>
      </c>
      <c r="D5564" s="2" t="s">
        <v>3215</v>
      </c>
    </row>
    <row r="5565" spans="1:4" ht="13.05" customHeight="1" x14ac:dyDescent="0.3">
      <c r="A5565" s="2" t="s">
        <v>859</v>
      </c>
      <c r="B5565" s="2" t="s">
        <v>955</v>
      </c>
      <c r="C5565" s="5" t="s">
        <v>968</v>
      </c>
      <c r="D5565" s="2" t="s">
        <v>3216</v>
      </c>
    </row>
    <row r="5566" spans="1:4" ht="13.05" customHeight="1" x14ac:dyDescent="0.3">
      <c r="A5566" s="2" t="s">
        <v>859</v>
      </c>
      <c r="B5566" s="2" t="s">
        <v>955</v>
      </c>
      <c r="C5566" s="5" t="s">
        <v>970</v>
      </c>
      <c r="D5566" s="2" t="s">
        <v>3217</v>
      </c>
    </row>
    <row r="5567" spans="1:4" ht="13.05" customHeight="1" x14ac:dyDescent="0.3">
      <c r="A5567" s="2" t="s">
        <v>859</v>
      </c>
      <c r="B5567" s="2" t="s">
        <v>955</v>
      </c>
      <c r="C5567" s="5" t="s">
        <v>972</v>
      </c>
      <c r="D5567" s="2" t="s">
        <v>3218</v>
      </c>
    </row>
    <row r="5568" spans="1:4" ht="13.05" customHeight="1" x14ac:dyDescent="0.3">
      <c r="A5568" s="2" t="s">
        <v>859</v>
      </c>
      <c r="B5568" s="2" t="s">
        <v>955</v>
      </c>
      <c r="C5568" s="5" t="s">
        <v>981</v>
      </c>
      <c r="D5568" s="2" t="s">
        <v>3219</v>
      </c>
    </row>
    <row r="5569" spans="1:4" ht="13.05" customHeight="1" x14ac:dyDescent="0.3">
      <c r="A5569" s="2" t="s">
        <v>859</v>
      </c>
      <c r="B5569" s="2" t="s">
        <v>955</v>
      </c>
      <c r="C5569" s="5" t="s">
        <v>991</v>
      </c>
      <c r="D5569" s="2" t="s">
        <v>3220</v>
      </c>
    </row>
    <row r="5570" spans="1:4" ht="13.05" customHeight="1" x14ac:dyDescent="0.3">
      <c r="A5570" s="2" t="s">
        <v>859</v>
      </c>
      <c r="B5570" s="2" t="s">
        <v>955</v>
      </c>
      <c r="C5570" s="5" t="s">
        <v>983</v>
      </c>
      <c r="D5570" s="2" t="s">
        <v>1015</v>
      </c>
    </row>
    <row r="5571" spans="1:4" ht="13.05" customHeight="1" x14ac:dyDescent="0.3">
      <c r="A5571" s="2" t="s">
        <v>861</v>
      </c>
      <c r="B5571" s="2" t="s">
        <v>1018</v>
      </c>
      <c r="C5571" s="5" t="s">
        <v>956</v>
      </c>
      <c r="D5571" s="2" t="s">
        <v>957</v>
      </c>
    </row>
    <row r="5572" spans="1:4" ht="13.05" customHeight="1" x14ac:dyDescent="0.3">
      <c r="A5572" s="2" t="s">
        <v>861</v>
      </c>
      <c r="B5572" s="2" t="s">
        <v>1018</v>
      </c>
      <c r="C5572" s="5" t="s">
        <v>958</v>
      </c>
      <c r="D5572" s="2" t="s">
        <v>959</v>
      </c>
    </row>
    <row r="5573" spans="1:4" ht="13.05" customHeight="1" x14ac:dyDescent="0.3">
      <c r="A5573" s="2" t="s">
        <v>861</v>
      </c>
      <c r="B5573" s="2" t="s">
        <v>1018</v>
      </c>
      <c r="C5573" s="5" t="s">
        <v>960</v>
      </c>
      <c r="D5573" s="2" t="s">
        <v>961</v>
      </c>
    </row>
    <row r="5574" spans="1:4" ht="13.05" customHeight="1" x14ac:dyDescent="0.3">
      <c r="A5574" s="2" t="s">
        <v>861</v>
      </c>
      <c r="B5574" s="2" t="s">
        <v>1018</v>
      </c>
      <c r="C5574" s="5" t="s">
        <v>962</v>
      </c>
      <c r="D5574" s="2" t="s">
        <v>1041</v>
      </c>
    </row>
    <row r="5575" spans="1:4" ht="13.05" customHeight="1" x14ac:dyDescent="0.3">
      <c r="A5575" s="2" t="s">
        <v>861</v>
      </c>
      <c r="B5575" s="2" t="s">
        <v>1018</v>
      </c>
      <c r="C5575" s="5" t="s">
        <v>964</v>
      </c>
      <c r="D5575" s="2" t="s">
        <v>1042</v>
      </c>
    </row>
    <row r="5576" spans="1:4" ht="13.05" customHeight="1" x14ac:dyDescent="0.3">
      <c r="A5576" s="2" t="s">
        <v>861</v>
      </c>
      <c r="B5576" s="2" t="s">
        <v>1018</v>
      </c>
      <c r="C5576" s="5" t="s">
        <v>966</v>
      </c>
      <c r="D5576" s="2" t="s">
        <v>6119</v>
      </c>
    </row>
    <row r="5577" spans="1:4" ht="13.05" customHeight="1" x14ac:dyDescent="0.3">
      <c r="A5577" s="2" t="s">
        <v>861</v>
      </c>
      <c r="B5577" s="2" t="s">
        <v>1018</v>
      </c>
      <c r="C5577" s="5" t="s">
        <v>968</v>
      </c>
      <c r="D5577" s="2" t="s">
        <v>6120</v>
      </c>
    </row>
    <row r="5578" spans="1:4" ht="13.05" customHeight="1" x14ac:dyDescent="0.3">
      <c r="A5578" s="2" t="s">
        <v>861</v>
      </c>
      <c r="B5578" s="2" t="s">
        <v>1018</v>
      </c>
      <c r="C5578" s="5" t="s">
        <v>970</v>
      </c>
      <c r="D5578" s="2" t="s">
        <v>1024</v>
      </c>
    </row>
    <row r="5579" spans="1:4" ht="13.05" customHeight="1" x14ac:dyDescent="0.3">
      <c r="A5579" s="2" t="s">
        <v>863</v>
      </c>
      <c r="B5579" s="2" t="s">
        <v>1132</v>
      </c>
      <c r="C5579" s="5" t="s">
        <v>974</v>
      </c>
      <c r="D5579" s="2" t="s">
        <v>975</v>
      </c>
    </row>
    <row r="5580" spans="1:4" ht="13.05" customHeight="1" x14ac:dyDescent="0.3">
      <c r="A5580" s="2" t="s">
        <v>863</v>
      </c>
      <c r="B5580" s="2" t="s">
        <v>1132</v>
      </c>
      <c r="C5580" s="5" t="s">
        <v>960</v>
      </c>
      <c r="D5580" s="2" t="s">
        <v>961</v>
      </c>
    </row>
    <row r="5581" spans="1:4" ht="13.05" customHeight="1" x14ac:dyDescent="0.3">
      <c r="A5581" s="2" t="s">
        <v>863</v>
      </c>
      <c r="B5581" s="2" t="s">
        <v>1132</v>
      </c>
      <c r="C5581" s="5" t="s">
        <v>962</v>
      </c>
      <c r="D5581" s="2" t="s">
        <v>6121</v>
      </c>
    </row>
    <row r="5582" spans="1:4" ht="13.05" customHeight="1" x14ac:dyDescent="0.3">
      <c r="A5582" s="2" t="s">
        <v>863</v>
      </c>
      <c r="B5582" s="2" t="s">
        <v>1132</v>
      </c>
      <c r="C5582" s="5" t="s">
        <v>964</v>
      </c>
      <c r="D5582" s="2" t="s">
        <v>2997</v>
      </c>
    </row>
    <row r="5583" spans="1:4" ht="13.05" customHeight="1" x14ac:dyDescent="0.3">
      <c r="A5583" s="2" t="s">
        <v>863</v>
      </c>
      <c r="B5583" s="2" t="s">
        <v>1132</v>
      </c>
      <c r="C5583" s="5" t="s">
        <v>966</v>
      </c>
      <c r="D5583" s="2" t="s">
        <v>2998</v>
      </c>
    </row>
    <row r="5584" spans="1:4" ht="13.05" customHeight="1" x14ac:dyDescent="0.3">
      <c r="A5584" s="2" t="s">
        <v>863</v>
      </c>
      <c r="B5584" s="2" t="s">
        <v>1132</v>
      </c>
      <c r="C5584" s="5" t="s">
        <v>968</v>
      </c>
      <c r="D5584" s="2" t="s">
        <v>2999</v>
      </c>
    </row>
    <row r="5585" spans="1:4" ht="13.05" customHeight="1" x14ac:dyDescent="0.3">
      <c r="A5585" s="2" t="s">
        <v>863</v>
      </c>
      <c r="B5585" s="2" t="s">
        <v>1132</v>
      </c>
      <c r="C5585" s="5" t="s">
        <v>970</v>
      </c>
      <c r="D5585" s="2" t="s">
        <v>3000</v>
      </c>
    </row>
    <row r="5586" spans="1:4" ht="13.05" customHeight="1" x14ac:dyDescent="0.3">
      <c r="A5586" s="2" t="s">
        <v>863</v>
      </c>
      <c r="B5586" s="2" t="s">
        <v>1132</v>
      </c>
      <c r="C5586" s="5" t="s">
        <v>972</v>
      </c>
      <c r="D5586" s="2" t="s">
        <v>3001</v>
      </c>
    </row>
    <row r="5587" spans="1:4" ht="13.05" customHeight="1" x14ac:dyDescent="0.3">
      <c r="A5587" s="2" t="s">
        <v>863</v>
      </c>
      <c r="B5587" s="2" t="s">
        <v>1132</v>
      </c>
      <c r="C5587" s="5" t="s">
        <v>981</v>
      </c>
      <c r="D5587" s="2" t="s">
        <v>3002</v>
      </c>
    </row>
    <row r="5588" spans="1:4" ht="13.05" customHeight="1" x14ac:dyDescent="0.3">
      <c r="A5588" s="2" t="s">
        <v>863</v>
      </c>
      <c r="B5588" s="2" t="s">
        <v>1132</v>
      </c>
      <c r="C5588" s="5" t="s">
        <v>991</v>
      </c>
      <c r="D5588" s="2" t="s">
        <v>3003</v>
      </c>
    </row>
    <row r="5589" spans="1:4" ht="13.05" customHeight="1" x14ac:dyDescent="0.3">
      <c r="A5589" s="2" t="s">
        <v>863</v>
      </c>
      <c r="B5589" s="2" t="s">
        <v>1132</v>
      </c>
      <c r="C5589" s="5" t="s">
        <v>993</v>
      </c>
      <c r="D5589" s="2" t="s">
        <v>3004</v>
      </c>
    </row>
    <row r="5590" spans="1:4" ht="13.05" customHeight="1" x14ac:dyDescent="0.3">
      <c r="A5590" s="2" t="s">
        <v>863</v>
      </c>
      <c r="B5590" s="2" t="s">
        <v>1132</v>
      </c>
      <c r="C5590" s="5" t="s">
        <v>995</v>
      </c>
      <c r="D5590" s="2" t="s">
        <v>3005</v>
      </c>
    </row>
    <row r="5591" spans="1:4" ht="13.05" customHeight="1" x14ac:dyDescent="0.3">
      <c r="A5591" s="2" t="s">
        <v>863</v>
      </c>
      <c r="B5591" s="2" t="s">
        <v>1132</v>
      </c>
      <c r="C5591" s="5" t="s">
        <v>997</v>
      </c>
      <c r="D5591" s="2" t="s">
        <v>3006</v>
      </c>
    </row>
    <row r="5592" spans="1:4" ht="13.05" customHeight="1" x14ac:dyDescent="0.3">
      <c r="A5592" s="2" t="s">
        <v>863</v>
      </c>
      <c r="B5592" s="2" t="s">
        <v>1132</v>
      </c>
      <c r="C5592" s="5" t="s">
        <v>999</v>
      </c>
      <c r="D5592" s="2" t="s">
        <v>3007</v>
      </c>
    </row>
    <row r="5593" spans="1:4" ht="13.05" customHeight="1" x14ac:dyDescent="0.3">
      <c r="A5593" s="2" t="s">
        <v>863</v>
      </c>
      <c r="B5593" s="2" t="s">
        <v>1132</v>
      </c>
      <c r="C5593" s="5" t="s">
        <v>1001</v>
      </c>
      <c r="D5593" s="2" t="s">
        <v>3008</v>
      </c>
    </row>
    <row r="5594" spans="1:4" ht="13.05" customHeight="1" x14ac:dyDescent="0.3">
      <c r="A5594" s="2" t="s">
        <v>863</v>
      </c>
      <c r="B5594" s="2" t="s">
        <v>1132</v>
      </c>
      <c r="C5594" s="5" t="s">
        <v>1003</v>
      </c>
      <c r="D5594" s="2" t="s">
        <v>3009</v>
      </c>
    </row>
    <row r="5595" spans="1:4" ht="13.05" customHeight="1" x14ac:dyDescent="0.3">
      <c r="A5595" s="2" t="s">
        <v>863</v>
      </c>
      <c r="B5595" s="2" t="s">
        <v>1132</v>
      </c>
      <c r="C5595" s="5" t="s">
        <v>1005</v>
      </c>
      <c r="D5595" s="2" t="s">
        <v>3010</v>
      </c>
    </row>
    <row r="5596" spans="1:4" ht="13.05" customHeight="1" x14ac:dyDescent="0.3">
      <c r="A5596" s="2" t="s">
        <v>863</v>
      </c>
      <c r="B5596" s="2" t="s">
        <v>1132</v>
      </c>
      <c r="C5596" s="5" t="s">
        <v>983</v>
      </c>
      <c r="D5596" s="2" t="s">
        <v>6122</v>
      </c>
    </row>
    <row r="5597" spans="1:4" ht="13.05" customHeight="1" x14ac:dyDescent="0.3">
      <c r="A5597" s="2" t="s">
        <v>866</v>
      </c>
      <c r="B5597" s="2" t="s">
        <v>985</v>
      </c>
      <c r="C5597" s="5" t="s">
        <v>956</v>
      </c>
      <c r="D5597" s="2" t="s">
        <v>957</v>
      </c>
    </row>
    <row r="5598" spans="1:4" ht="13.05" customHeight="1" x14ac:dyDescent="0.3">
      <c r="A5598" s="2" t="s">
        <v>866</v>
      </c>
      <c r="B5598" s="2" t="s">
        <v>985</v>
      </c>
      <c r="C5598" s="5" t="s">
        <v>958</v>
      </c>
      <c r="D5598" s="2" t="s">
        <v>959</v>
      </c>
    </row>
    <row r="5599" spans="1:4" ht="13.05" customHeight="1" x14ac:dyDescent="0.3">
      <c r="A5599" s="2" t="s">
        <v>866</v>
      </c>
      <c r="B5599" s="2" t="s">
        <v>985</v>
      </c>
      <c r="C5599" s="5" t="s">
        <v>962</v>
      </c>
      <c r="D5599" s="2" t="s">
        <v>2996</v>
      </c>
    </row>
    <row r="5600" spans="1:4" ht="13.05" customHeight="1" x14ac:dyDescent="0.3">
      <c r="A5600" s="2" t="s">
        <v>866</v>
      </c>
      <c r="B5600" s="2" t="s">
        <v>985</v>
      </c>
      <c r="C5600" s="5" t="s">
        <v>964</v>
      </c>
      <c r="D5600" s="2" t="s">
        <v>2997</v>
      </c>
    </row>
    <row r="5601" spans="1:4" ht="13.05" customHeight="1" x14ac:dyDescent="0.3">
      <c r="A5601" s="2" t="s">
        <v>866</v>
      </c>
      <c r="B5601" s="2" t="s">
        <v>985</v>
      </c>
      <c r="C5601" s="5" t="s">
        <v>966</v>
      </c>
      <c r="D5601" s="2" t="s">
        <v>2998</v>
      </c>
    </row>
    <row r="5602" spans="1:4" ht="13.05" customHeight="1" x14ac:dyDescent="0.3">
      <c r="A5602" s="2" t="s">
        <v>866</v>
      </c>
      <c r="B5602" s="2" t="s">
        <v>985</v>
      </c>
      <c r="C5602" s="5" t="s">
        <v>968</v>
      </c>
      <c r="D5602" s="2" t="s">
        <v>2999</v>
      </c>
    </row>
    <row r="5603" spans="1:4" ht="13.05" customHeight="1" x14ac:dyDescent="0.3">
      <c r="A5603" s="2" t="s">
        <v>866</v>
      </c>
      <c r="B5603" s="2" t="s">
        <v>985</v>
      </c>
      <c r="C5603" s="5" t="s">
        <v>970</v>
      </c>
      <c r="D5603" s="2" t="s">
        <v>3000</v>
      </c>
    </row>
    <row r="5604" spans="1:4" ht="13.05" customHeight="1" x14ac:dyDescent="0.3">
      <c r="A5604" s="2" t="s">
        <v>866</v>
      </c>
      <c r="B5604" s="2" t="s">
        <v>985</v>
      </c>
      <c r="C5604" s="5" t="s">
        <v>972</v>
      </c>
      <c r="D5604" s="2" t="s">
        <v>3001</v>
      </c>
    </row>
    <row r="5605" spans="1:4" ht="13.05" customHeight="1" x14ac:dyDescent="0.3">
      <c r="A5605" s="2" t="s">
        <v>866</v>
      </c>
      <c r="B5605" s="2" t="s">
        <v>985</v>
      </c>
      <c r="C5605" s="5" t="s">
        <v>981</v>
      </c>
      <c r="D5605" s="2" t="s">
        <v>3002</v>
      </c>
    </row>
    <row r="5606" spans="1:4" ht="13.05" customHeight="1" x14ac:dyDescent="0.3">
      <c r="A5606" s="2" t="s">
        <v>866</v>
      </c>
      <c r="B5606" s="2" t="s">
        <v>985</v>
      </c>
      <c r="C5606" s="5" t="s">
        <v>991</v>
      </c>
      <c r="D5606" s="2" t="s">
        <v>3003</v>
      </c>
    </row>
    <row r="5607" spans="1:4" ht="13.05" customHeight="1" x14ac:dyDescent="0.3">
      <c r="A5607" s="2" t="s">
        <v>866</v>
      </c>
      <c r="B5607" s="2" t="s">
        <v>985</v>
      </c>
      <c r="C5607" s="5" t="s">
        <v>993</v>
      </c>
      <c r="D5607" s="2" t="s">
        <v>3004</v>
      </c>
    </row>
    <row r="5608" spans="1:4" ht="13.05" customHeight="1" x14ac:dyDescent="0.3">
      <c r="A5608" s="2" t="s">
        <v>866</v>
      </c>
      <c r="B5608" s="2" t="s">
        <v>985</v>
      </c>
      <c r="C5608" s="5" t="s">
        <v>995</v>
      </c>
      <c r="D5608" s="2" t="s">
        <v>3005</v>
      </c>
    </row>
    <row r="5609" spans="1:4" ht="13.05" customHeight="1" x14ac:dyDescent="0.3">
      <c r="A5609" s="2" t="s">
        <v>866</v>
      </c>
      <c r="B5609" s="2" t="s">
        <v>985</v>
      </c>
      <c r="C5609" s="5" t="s">
        <v>1003</v>
      </c>
      <c r="D5609" s="2" t="s">
        <v>3006</v>
      </c>
    </row>
    <row r="5610" spans="1:4" ht="13.05" customHeight="1" x14ac:dyDescent="0.3">
      <c r="A5610" s="2" t="s">
        <v>866</v>
      </c>
      <c r="B5610" s="2" t="s">
        <v>985</v>
      </c>
      <c r="C5610" s="5" t="s">
        <v>1005</v>
      </c>
      <c r="D5610" s="2" t="s">
        <v>3007</v>
      </c>
    </row>
    <row r="5611" spans="1:4" ht="13.05" customHeight="1" x14ac:dyDescent="0.3">
      <c r="A5611" s="2" t="s">
        <v>866</v>
      </c>
      <c r="B5611" s="2" t="s">
        <v>985</v>
      </c>
      <c r="C5611" s="5" t="s">
        <v>1007</v>
      </c>
      <c r="D5611" s="2" t="s">
        <v>3008</v>
      </c>
    </row>
    <row r="5612" spans="1:4" ht="13.05" customHeight="1" x14ac:dyDescent="0.3">
      <c r="A5612" s="2" t="s">
        <v>866</v>
      </c>
      <c r="B5612" s="2" t="s">
        <v>985</v>
      </c>
      <c r="C5612" s="5" t="s">
        <v>1009</v>
      </c>
      <c r="D5612" s="2" t="s">
        <v>3009</v>
      </c>
    </row>
    <row r="5613" spans="1:4" ht="13.05" customHeight="1" x14ac:dyDescent="0.3">
      <c r="A5613" s="2" t="s">
        <v>866</v>
      </c>
      <c r="B5613" s="2" t="s">
        <v>985</v>
      </c>
      <c r="C5613" s="5" t="s">
        <v>1011</v>
      </c>
      <c r="D5613" s="2" t="s">
        <v>3010</v>
      </c>
    </row>
    <row r="5614" spans="1:4" ht="13.05" customHeight="1" x14ac:dyDescent="0.3">
      <c r="A5614" s="2" t="s">
        <v>866</v>
      </c>
      <c r="B5614" s="2" t="s">
        <v>985</v>
      </c>
      <c r="C5614" s="5" t="s">
        <v>983</v>
      </c>
      <c r="D5614" s="2" t="s">
        <v>6122</v>
      </c>
    </row>
    <row r="5615" spans="1:4" ht="13.05" customHeight="1" x14ac:dyDescent="0.3">
      <c r="A5615" s="2" t="s">
        <v>871</v>
      </c>
      <c r="B5615" s="2" t="s">
        <v>1132</v>
      </c>
      <c r="C5615" s="5" t="s">
        <v>974</v>
      </c>
      <c r="D5615" s="2" t="s">
        <v>975</v>
      </c>
    </row>
    <row r="5616" spans="1:4" ht="13.05" customHeight="1" x14ac:dyDescent="0.3">
      <c r="A5616" s="2" t="s">
        <v>871</v>
      </c>
      <c r="B5616" s="2" t="s">
        <v>1132</v>
      </c>
      <c r="C5616" s="5" t="s">
        <v>956</v>
      </c>
      <c r="D5616" s="2" t="s">
        <v>957</v>
      </c>
    </row>
    <row r="5617" spans="1:4" ht="13.05" customHeight="1" x14ac:dyDescent="0.3">
      <c r="A5617" s="2" t="s">
        <v>871</v>
      </c>
      <c r="B5617" s="2" t="s">
        <v>1132</v>
      </c>
      <c r="C5617" s="5" t="s">
        <v>958</v>
      </c>
      <c r="D5617" s="2" t="s">
        <v>959</v>
      </c>
    </row>
    <row r="5618" spans="1:4" ht="13.05" customHeight="1" x14ac:dyDescent="0.3">
      <c r="A5618" s="2" t="s">
        <v>871</v>
      </c>
      <c r="B5618" s="2" t="s">
        <v>1132</v>
      </c>
      <c r="C5618" s="5" t="s">
        <v>960</v>
      </c>
      <c r="D5618" s="2" t="s">
        <v>961</v>
      </c>
    </row>
    <row r="5619" spans="1:4" ht="13.05" customHeight="1" x14ac:dyDescent="0.3">
      <c r="A5619" s="2" t="s">
        <v>871</v>
      </c>
      <c r="B5619" s="2" t="s">
        <v>1132</v>
      </c>
      <c r="C5619" s="5" t="s">
        <v>962</v>
      </c>
      <c r="D5619" s="2" t="s">
        <v>6123</v>
      </c>
    </row>
    <row r="5620" spans="1:4" ht="13.05" customHeight="1" x14ac:dyDescent="0.3">
      <c r="A5620" s="2" t="s">
        <v>871</v>
      </c>
      <c r="B5620" s="2" t="s">
        <v>1132</v>
      </c>
      <c r="C5620" s="5" t="s">
        <v>964</v>
      </c>
      <c r="D5620" s="2" t="s">
        <v>6124</v>
      </c>
    </row>
    <row r="5621" spans="1:4" ht="13.05" customHeight="1" x14ac:dyDescent="0.3">
      <c r="A5621" s="2" t="s">
        <v>871</v>
      </c>
      <c r="B5621" s="2" t="s">
        <v>1132</v>
      </c>
      <c r="C5621" s="5" t="s">
        <v>966</v>
      </c>
      <c r="D5621" s="2" t="s">
        <v>6125</v>
      </c>
    </row>
    <row r="5622" spans="1:4" ht="13.05" customHeight="1" x14ac:dyDescent="0.3">
      <c r="A5622" s="2" t="s">
        <v>871</v>
      </c>
      <c r="B5622" s="2" t="s">
        <v>1132</v>
      </c>
      <c r="C5622" s="5" t="s">
        <v>968</v>
      </c>
      <c r="D5622" s="2" t="s">
        <v>6126</v>
      </c>
    </row>
    <row r="5623" spans="1:4" ht="13.05" customHeight="1" x14ac:dyDescent="0.3">
      <c r="A5623" s="2" t="s">
        <v>871</v>
      </c>
      <c r="B5623" s="2" t="s">
        <v>1132</v>
      </c>
      <c r="C5623" s="5" t="s">
        <v>970</v>
      </c>
      <c r="D5623" s="2" t="s">
        <v>6127</v>
      </c>
    </row>
    <row r="5624" spans="1:4" ht="13.05" customHeight="1" x14ac:dyDescent="0.3">
      <c r="A5624" s="2" t="s">
        <v>871</v>
      </c>
      <c r="B5624" s="2" t="s">
        <v>1132</v>
      </c>
      <c r="C5624" s="5" t="s">
        <v>972</v>
      </c>
      <c r="D5624" s="2" t="s">
        <v>6128</v>
      </c>
    </row>
    <row r="5625" spans="1:4" ht="13.05" customHeight="1" x14ac:dyDescent="0.3">
      <c r="A5625" s="2" t="s">
        <v>871</v>
      </c>
      <c r="B5625" s="2" t="s">
        <v>1132</v>
      </c>
      <c r="C5625" s="5" t="s">
        <v>981</v>
      </c>
      <c r="D5625" s="2" t="s">
        <v>6129</v>
      </c>
    </row>
    <row r="5626" spans="1:4" ht="13.05" customHeight="1" x14ac:dyDescent="0.3">
      <c r="A5626" s="2" t="s">
        <v>871</v>
      </c>
      <c r="B5626" s="2" t="s">
        <v>1132</v>
      </c>
      <c r="C5626" s="5" t="s">
        <v>991</v>
      </c>
      <c r="D5626" s="2" t="s">
        <v>6130</v>
      </c>
    </row>
    <row r="5627" spans="1:4" ht="13.05" customHeight="1" x14ac:dyDescent="0.3">
      <c r="A5627" s="2" t="s">
        <v>871</v>
      </c>
      <c r="B5627" s="2" t="s">
        <v>1132</v>
      </c>
      <c r="C5627" s="5" t="s">
        <v>993</v>
      </c>
      <c r="D5627" s="2" t="s">
        <v>6131</v>
      </c>
    </row>
    <row r="5628" spans="1:4" ht="13.05" customHeight="1" x14ac:dyDescent="0.3">
      <c r="A5628" s="2" t="s">
        <v>871</v>
      </c>
      <c r="B5628" s="2" t="s">
        <v>1132</v>
      </c>
      <c r="C5628" s="5" t="s">
        <v>995</v>
      </c>
      <c r="D5628" s="2" t="s">
        <v>6132</v>
      </c>
    </row>
    <row r="5629" spans="1:4" ht="13.05" customHeight="1" x14ac:dyDescent="0.3">
      <c r="A5629" s="2" t="s">
        <v>871</v>
      </c>
      <c r="B5629" s="2" t="s">
        <v>1132</v>
      </c>
      <c r="C5629" s="5" t="s">
        <v>997</v>
      </c>
      <c r="D5629" s="2" t="s">
        <v>6133</v>
      </c>
    </row>
    <row r="5630" spans="1:4" ht="13.05" customHeight="1" x14ac:dyDescent="0.3">
      <c r="A5630" s="2" t="s">
        <v>871</v>
      </c>
      <c r="B5630" s="2" t="s">
        <v>1132</v>
      </c>
      <c r="C5630" s="5" t="s">
        <v>999</v>
      </c>
      <c r="D5630" s="2" t="s">
        <v>6134</v>
      </c>
    </row>
    <row r="5631" spans="1:4" ht="13.05" customHeight="1" x14ac:dyDescent="0.3">
      <c r="A5631" s="2" t="s">
        <v>871</v>
      </c>
      <c r="B5631" s="2" t="s">
        <v>1132</v>
      </c>
      <c r="C5631" s="5" t="s">
        <v>1001</v>
      </c>
      <c r="D5631" s="2" t="s">
        <v>6135</v>
      </c>
    </row>
    <row r="5632" spans="1:4" ht="13.05" customHeight="1" x14ac:dyDescent="0.3">
      <c r="A5632" s="2" t="s">
        <v>871</v>
      </c>
      <c r="B5632" s="2" t="s">
        <v>1132</v>
      </c>
      <c r="C5632" s="5" t="s">
        <v>1003</v>
      </c>
      <c r="D5632" s="2" t="s">
        <v>6136</v>
      </c>
    </row>
    <row r="5633" spans="1:4" ht="13.05" customHeight="1" x14ac:dyDescent="0.3">
      <c r="A5633" s="2" t="s">
        <v>871</v>
      </c>
      <c r="B5633" s="2" t="s">
        <v>1132</v>
      </c>
      <c r="C5633" s="5" t="s">
        <v>1005</v>
      </c>
      <c r="D5633" s="2" t="s">
        <v>6137</v>
      </c>
    </row>
    <row r="5634" spans="1:4" ht="13.05" customHeight="1" x14ac:dyDescent="0.3">
      <c r="A5634" s="2" t="s">
        <v>871</v>
      </c>
      <c r="B5634" s="2" t="s">
        <v>1132</v>
      </c>
      <c r="C5634" s="5" t="s">
        <v>1007</v>
      </c>
      <c r="D5634" s="2" t="s">
        <v>6138</v>
      </c>
    </row>
    <row r="5635" spans="1:4" ht="13.05" customHeight="1" x14ac:dyDescent="0.3">
      <c r="A5635" s="2" t="s">
        <v>871</v>
      </c>
      <c r="B5635" s="2" t="s">
        <v>1132</v>
      </c>
      <c r="C5635" s="5" t="s">
        <v>1009</v>
      </c>
      <c r="D5635" s="2" t="s">
        <v>6139</v>
      </c>
    </row>
    <row r="5636" spans="1:4" ht="13.05" customHeight="1" x14ac:dyDescent="0.3">
      <c r="A5636" s="2" t="s">
        <v>871</v>
      </c>
      <c r="B5636" s="2" t="s">
        <v>1132</v>
      </c>
      <c r="C5636" s="5" t="s">
        <v>1011</v>
      </c>
      <c r="D5636" s="2" t="s">
        <v>6140</v>
      </c>
    </row>
    <row r="5637" spans="1:4" ht="13.05" customHeight="1" x14ac:dyDescent="0.3">
      <c r="A5637" s="2" t="s">
        <v>871</v>
      </c>
      <c r="B5637" s="2" t="s">
        <v>1132</v>
      </c>
      <c r="C5637" s="5" t="s">
        <v>1013</v>
      </c>
      <c r="D5637" s="2" t="s">
        <v>6141</v>
      </c>
    </row>
    <row r="5638" spans="1:4" ht="13.05" customHeight="1" x14ac:dyDescent="0.3">
      <c r="A5638" s="2" t="s">
        <v>871</v>
      </c>
      <c r="B5638" s="2" t="s">
        <v>1132</v>
      </c>
      <c r="C5638" s="5" t="s">
        <v>983</v>
      </c>
      <c r="D5638" s="2" t="s">
        <v>1015</v>
      </c>
    </row>
    <row r="5639" spans="1:4" ht="13.05" customHeight="1" x14ac:dyDescent="0.3">
      <c r="A5639" s="2" t="s">
        <v>874</v>
      </c>
      <c r="B5639" s="2" t="s">
        <v>1132</v>
      </c>
      <c r="C5639" s="5" t="s">
        <v>974</v>
      </c>
      <c r="D5639" s="2" t="s">
        <v>975</v>
      </c>
    </row>
    <row r="5640" spans="1:4" ht="13.05" customHeight="1" x14ac:dyDescent="0.3">
      <c r="A5640" s="2" t="s">
        <v>874</v>
      </c>
      <c r="B5640" s="2" t="s">
        <v>1132</v>
      </c>
      <c r="C5640" s="5" t="s">
        <v>960</v>
      </c>
      <c r="D5640" s="2" t="s">
        <v>961</v>
      </c>
    </row>
    <row r="5641" spans="1:4" ht="13.05" customHeight="1" x14ac:dyDescent="0.3">
      <c r="A5641" s="2" t="s">
        <v>876</v>
      </c>
      <c r="B5641" s="2" t="s">
        <v>1132</v>
      </c>
      <c r="C5641" s="5" t="s">
        <v>974</v>
      </c>
      <c r="D5641" s="2" t="s">
        <v>975</v>
      </c>
    </row>
    <row r="5642" spans="1:4" ht="13.05" customHeight="1" x14ac:dyDescent="0.3">
      <c r="A5642" s="2" t="s">
        <v>876</v>
      </c>
      <c r="B5642" s="2" t="s">
        <v>1132</v>
      </c>
      <c r="C5642" s="5" t="s">
        <v>956</v>
      </c>
      <c r="D5642" s="2" t="s">
        <v>957</v>
      </c>
    </row>
    <row r="5643" spans="1:4" ht="13.05" customHeight="1" x14ac:dyDescent="0.3">
      <c r="A5643" s="2" t="s">
        <v>876</v>
      </c>
      <c r="B5643" s="2" t="s">
        <v>1132</v>
      </c>
      <c r="C5643" s="5" t="s">
        <v>958</v>
      </c>
      <c r="D5643" s="2" t="s">
        <v>959</v>
      </c>
    </row>
    <row r="5644" spans="1:4" ht="13.05" customHeight="1" x14ac:dyDescent="0.3">
      <c r="A5644" s="2" t="s">
        <v>876</v>
      </c>
      <c r="B5644" s="2" t="s">
        <v>1132</v>
      </c>
      <c r="C5644" s="5" t="s">
        <v>960</v>
      </c>
      <c r="D5644" s="2" t="s">
        <v>961</v>
      </c>
    </row>
    <row r="5645" spans="1:4" ht="13.05" customHeight="1" x14ac:dyDescent="0.3">
      <c r="A5645" s="2" t="s">
        <v>876</v>
      </c>
      <c r="B5645" s="2" t="s">
        <v>1132</v>
      </c>
      <c r="C5645" s="5" t="s">
        <v>962</v>
      </c>
      <c r="D5645" s="2" t="s">
        <v>6123</v>
      </c>
    </row>
    <row r="5646" spans="1:4" ht="13.05" customHeight="1" x14ac:dyDescent="0.3">
      <c r="A5646" s="2" t="s">
        <v>876</v>
      </c>
      <c r="B5646" s="2" t="s">
        <v>1132</v>
      </c>
      <c r="C5646" s="5" t="s">
        <v>964</v>
      </c>
      <c r="D5646" s="2" t="s">
        <v>6124</v>
      </c>
    </row>
    <row r="5647" spans="1:4" ht="13.05" customHeight="1" x14ac:dyDescent="0.3">
      <c r="A5647" s="2" t="s">
        <v>876</v>
      </c>
      <c r="B5647" s="2" t="s">
        <v>1132</v>
      </c>
      <c r="C5647" s="5" t="s">
        <v>966</v>
      </c>
      <c r="D5647" s="2" t="s">
        <v>6125</v>
      </c>
    </row>
    <row r="5648" spans="1:4" ht="13.05" customHeight="1" x14ac:dyDescent="0.3">
      <c r="A5648" s="2" t="s">
        <v>876</v>
      </c>
      <c r="B5648" s="2" t="s">
        <v>1132</v>
      </c>
      <c r="C5648" s="5" t="s">
        <v>968</v>
      </c>
      <c r="D5648" s="2" t="s">
        <v>6126</v>
      </c>
    </row>
    <row r="5649" spans="1:4" ht="13.05" customHeight="1" x14ac:dyDescent="0.3">
      <c r="A5649" s="2" t="s">
        <v>876</v>
      </c>
      <c r="B5649" s="2" t="s">
        <v>1132</v>
      </c>
      <c r="C5649" s="5" t="s">
        <v>970</v>
      </c>
      <c r="D5649" s="2" t="s">
        <v>6127</v>
      </c>
    </row>
    <row r="5650" spans="1:4" ht="13.05" customHeight="1" x14ac:dyDescent="0.3">
      <c r="A5650" s="2" t="s">
        <v>876</v>
      </c>
      <c r="B5650" s="2" t="s">
        <v>1132</v>
      </c>
      <c r="C5650" s="5" t="s">
        <v>972</v>
      </c>
      <c r="D5650" s="2" t="s">
        <v>6128</v>
      </c>
    </row>
    <row r="5651" spans="1:4" ht="13.05" customHeight="1" x14ac:dyDescent="0.3">
      <c r="A5651" s="2" t="s">
        <v>876</v>
      </c>
      <c r="B5651" s="2" t="s">
        <v>1132</v>
      </c>
      <c r="C5651" s="5" t="s">
        <v>981</v>
      </c>
      <c r="D5651" s="2" t="s">
        <v>6129</v>
      </c>
    </row>
    <row r="5652" spans="1:4" ht="13.05" customHeight="1" x14ac:dyDescent="0.3">
      <c r="A5652" s="2" t="s">
        <v>876</v>
      </c>
      <c r="B5652" s="2" t="s">
        <v>1132</v>
      </c>
      <c r="C5652" s="5" t="s">
        <v>991</v>
      </c>
      <c r="D5652" s="2" t="s">
        <v>6130</v>
      </c>
    </row>
    <row r="5653" spans="1:4" ht="13.05" customHeight="1" x14ac:dyDescent="0.3">
      <c r="A5653" s="2" t="s">
        <v>876</v>
      </c>
      <c r="B5653" s="2" t="s">
        <v>1132</v>
      </c>
      <c r="C5653" s="5" t="s">
        <v>993</v>
      </c>
      <c r="D5653" s="2" t="s">
        <v>6131</v>
      </c>
    </row>
    <row r="5654" spans="1:4" ht="13.05" customHeight="1" x14ac:dyDescent="0.3">
      <c r="A5654" s="2" t="s">
        <v>876</v>
      </c>
      <c r="B5654" s="2" t="s">
        <v>1132</v>
      </c>
      <c r="C5654" s="5" t="s">
        <v>995</v>
      </c>
      <c r="D5654" s="2" t="s">
        <v>6132</v>
      </c>
    </row>
    <row r="5655" spans="1:4" ht="13.05" customHeight="1" x14ac:dyDescent="0.3">
      <c r="A5655" s="2" t="s">
        <v>876</v>
      </c>
      <c r="B5655" s="2" t="s">
        <v>1132</v>
      </c>
      <c r="C5655" s="5" t="s">
        <v>997</v>
      </c>
      <c r="D5655" s="2" t="s">
        <v>6133</v>
      </c>
    </row>
    <row r="5656" spans="1:4" ht="13.05" customHeight="1" x14ac:dyDescent="0.3">
      <c r="A5656" s="2" t="s">
        <v>876</v>
      </c>
      <c r="B5656" s="2" t="s">
        <v>1132</v>
      </c>
      <c r="C5656" s="5" t="s">
        <v>999</v>
      </c>
      <c r="D5656" s="2" t="s">
        <v>6134</v>
      </c>
    </row>
    <row r="5657" spans="1:4" ht="13.05" customHeight="1" x14ac:dyDescent="0.3">
      <c r="A5657" s="2" t="s">
        <v>876</v>
      </c>
      <c r="B5657" s="2" t="s">
        <v>1132</v>
      </c>
      <c r="C5657" s="5" t="s">
        <v>1001</v>
      </c>
      <c r="D5657" s="2" t="s">
        <v>6135</v>
      </c>
    </row>
    <row r="5658" spans="1:4" ht="13.05" customHeight="1" x14ac:dyDescent="0.3">
      <c r="A5658" s="2" t="s">
        <v>876</v>
      </c>
      <c r="B5658" s="2" t="s">
        <v>1132</v>
      </c>
      <c r="C5658" s="5" t="s">
        <v>1003</v>
      </c>
      <c r="D5658" s="2" t="s">
        <v>6136</v>
      </c>
    </row>
    <row r="5659" spans="1:4" ht="13.05" customHeight="1" x14ac:dyDescent="0.3">
      <c r="A5659" s="2" t="s">
        <v>876</v>
      </c>
      <c r="B5659" s="2" t="s">
        <v>1132</v>
      </c>
      <c r="C5659" s="5" t="s">
        <v>1005</v>
      </c>
      <c r="D5659" s="2" t="s">
        <v>6137</v>
      </c>
    </row>
    <row r="5660" spans="1:4" ht="13.05" customHeight="1" x14ac:dyDescent="0.3">
      <c r="A5660" s="2" t="s">
        <v>876</v>
      </c>
      <c r="B5660" s="2" t="s">
        <v>1132</v>
      </c>
      <c r="C5660" s="5" t="s">
        <v>1007</v>
      </c>
      <c r="D5660" s="2" t="s">
        <v>6138</v>
      </c>
    </row>
    <row r="5661" spans="1:4" ht="13.05" customHeight="1" x14ac:dyDescent="0.3">
      <c r="A5661" s="2" t="s">
        <v>876</v>
      </c>
      <c r="B5661" s="2" t="s">
        <v>1132</v>
      </c>
      <c r="C5661" s="5" t="s">
        <v>1009</v>
      </c>
      <c r="D5661" s="2" t="s">
        <v>6139</v>
      </c>
    </row>
    <row r="5662" spans="1:4" ht="13.05" customHeight="1" x14ac:dyDescent="0.3">
      <c r="A5662" s="2" t="s">
        <v>876</v>
      </c>
      <c r="B5662" s="2" t="s">
        <v>1132</v>
      </c>
      <c r="C5662" s="5" t="s">
        <v>1011</v>
      </c>
      <c r="D5662" s="2" t="s">
        <v>6140</v>
      </c>
    </row>
    <row r="5663" spans="1:4" ht="13.05" customHeight="1" x14ac:dyDescent="0.3">
      <c r="A5663" s="2" t="s">
        <v>876</v>
      </c>
      <c r="B5663" s="2" t="s">
        <v>1132</v>
      </c>
      <c r="C5663" s="5" t="s">
        <v>1013</v>
      </c>
      <c r="D5663" s="2" t="s">
        <v>6141</v>
      </c>
    </row>
    <row r="5664" spans="1:4" ht="13.05" customHeight="1" x14ac:dyDescent="0.3">
      <c r="A5664" s="2" t="s">
        <v>876</v>
      </c>
      <c r="B5664" s="2" t="s">
        <v>1132</v>
      </c>
      <c r="C5664" s="5" t="s">
        <v>983</v>
      </c>
      <c r="D5664" s="2" t="s">
        <v>1015</v>
      </c>
    </row>
    <row r="5665" spans="1:4" ht="13.05" customHeight="1" x14ac:dyDescent="0.3">
      <c r="A5665" s="2" t="s">
        <v>878</v>
      </c>
      <c r="B5665" s="2" t="s">
        <v>1132</v>
      </c>
      <c r="C5665" s="5" t="s">
        <v>962</v>
      </c>
      <c r="D5665" s="2" t="s">
        <v>6142</v>
      </c>
    </row>
    <row r="5666" spans="1:4" ht="13.05" customHeight="1" x14ac:dyDescent="0.3">
      <c r="A5666" s="2" t="s">
        <v>878</v>
      </c>
      <c r="B5666" s="2" t="s">
        <v>1132</v>
      </c>
      <c r="C5666" s="5" t="s">
        <v>995</v>
      </c>
      <c r="D5666" s="2" t="s">
        <v>986</v>
      </c>
    </row>
    <row r="5667" spans="1:4" ht="13.05" customHeight="1" x14ac:dyDescent="0.3">
      <c r="A5667" s="2" t="s">
        <v>878</v>
      </c>
      <c r="B5667" s="2" t="s">
        <v>1132</v>
      </c>
      <c r="C5667" s="5" t="s">
        <v>1155</v>
      </c>
      <c r="D5667" s="2" t="s">
        <v>6143</v>
      </c>
    </row>
    <row r="5668" spans="1:4" ht="13.05" customHeight="1" x14ac:dyDescent="0.3">
      <c r="A5668" s="2" t="s">
        <v>878</v>
      </c>
      <c r="B5668" s="2" t="s">
        <v>1132</v>
      </c>
      <c r="C5668" s="5" t="s">
        <v>1157</v>
      </c>
      <c r="D5668" s="2" t="s">
        <v>6144</v>
      </c>
    </row>
    <row r="5669" spans="1:4" ht="13.05" customHeight="1" x14ac:dyDescent="0.3">
      <c r="A5669" s="2" t="s">
        <v>878</v>
      </c>
      <c r="B5669" s="2" t="s">
        <v>1132</v>
      </c>
      <c r="C5669" s="5" t="s">
        <v>1159</v>
      </c>
      <c r="D5669" s="2" t="s">
        <v>6145</v>
      </c>
    </row>
    <row r="5670" spans="1:4" ht="13.05" customHeight="1" x14ac:dyDescent="0.3">
      <c r="A5670" s="2" t="s">
        <v>878</v>
      </c>
      <c r="B5670" s="2" t="s">
        <v>1132</v>
      </c>
      <c r="C5670" s="5" t="s">
        <v>1161</v>
      </c>
      <c r="D5670" s="2" t="s">
        <v>6146</v>
      </c>
    </row>
    <row r="5671" spans="1:4" ht="13.05" customHeight="1" x14ac:dyDescent="0.3">
      <c r="A5671" s="2" t="s">
        <v>878</v>
      </c>
      <c r="B5671" s="2" t="s">
        <v>1132</v>
      </c>
      <c r="C5671" s="5" t="s">
        <v>1163</v>
      </c>
      <c r="D5671" s="2" t="s">
        <v>6147</v>
      </c>
    </row>
    <row r="5672" spans="1:4" ht="13.05" customHeight="1" x14ac:dyDescent="0.3">
      <c r="A5672" s="2" t="s">
        <v>878</v>
      </c>
      <c r="B5672" s="2" t="s">
        <v>1132</v>
      </c>
      <c r="C5672" s="5" t="s">
        <v>1165</v>
      </c>
      <c r="D5672" s="2" t="s">
        <v>6148</v>
      </c>
    </row>
    <row r="5673" spans="1:4" ht="13.05" customHeight="1" x14ac:dyDescent="0.3">
      <c r="A5673" s="2" t="s">
        <v>878</v>
      </c>
      <c r="B5673" s="2" t="s">
        <v>1132</v>
      </c>
      <c r="C5673" s="5" t="s">
        <v>1167</v>
      </c>
      <c r="D5673" s="2" t="s">
        <v>6149</v>
      </c>
    </row>
    <row r="5674" spans="1:4" ht="13.05" customHeight="1" x14ac:dyDescent="0.3">
      <c r="A5674" s="2" t="s">
        <v>878</v>
      </c>
      <c r="B5674" s="2" t="s">
        <v>1132</v>
      </c>
      <c r="C5674" s="5" t="s">
        <v>983</v>
      </c>
      <c r="D5674" s="2" t="s">
        <v>1015</v>
      </c>
    </row>
    <row r="5675" spans="1:4" ht="13.05" customHeight="1" x14ac:dyDescent="0.3">
      <c r="A5675" s="2" t="s">
        <v>880</v>
      </c>
      <c r="B5675" s="2" t="s">
        <v>1132</v>
      </c>
      <c r="C5675" s="5" t="s">
        <v>962</v>
      </c>
      <c r="D5675" s="2" t="s">
        <v>6150</v>
      </c>
    </row>
    <row r="5676" spans="1:4" ht="13.05" customHeight="1" x14ac:dyDescent="0.3">
      <c r="A5676" s="2" t="s">
        <v>880</v>
      </c>
      <c r="B5676" s="2" t="s">
        <v>1132</v>
      </c>
      <c r="C5676" s="5" t="s">
        <v>964</v>
      </c>
      <c r="D5676" s="2" t="s">
        <v>6151</v>
      </c>
    </row>
    <row r="5677" spans="1:4" ht="13.05" customHeight="1" x14ac:dyDescent="0.3">
      <c r="A5677" s="2" t="s">
        <v>880</v>
      </c>
      <c r="B5677" s="2" t="s">
        <v>1132</v>
      </c>
      <c r="C5677" s="5" t="s">
        <v>966</v>
      </c>
      <c r="D5677" s="2" t="s">
        <v>6152</v>
      </c>
    </row>
    <row r="5678" spans="1:4" ht="13.05" customHeight="1" x14ac:dyDescent="0.3">
      <c r="A5678" s="2" t="s">
        <v>880</v>
      </c>
      <c r="B5678" s="2" t="s">
        <v>1132</v>
      </c>
      <c r="C5678" s="5" t="s">
        <v>968</v>
      </c>
      <c r="D5678" s="2" t="s">
        <v>6153</v>
      </c>
    </row>
    <row r="5679" spans="1:4" ht="13.05" customHeight="1" x14ac:dyDescent="0.3">
      <c r="A5679" s="2" t="s">
        <v>880</v>
      </c>
      <c r="B5679" s="2" t="s">
        <v>1132</v>
      </c>
      <c r="C5679" s="5" t="s">
        <v>970</v>
      </c>
      <c r="D5679" s="2" t="s">
        <v>6154</v>
      </c>
    </row>
    <row r="5680" spans="1:4" ht="13.05" customHeight="1" x14ac:dyDescent="0.3">
      <c r="A5680" s="2" t="s">
        <v>880</v>
      </c>
      <c r="B5680" s="2" t="s">
        <v>1132</v>
      </c>
      <c r="C5680" s="5" t="s">
        <v>972</v>
      </c>
      <c r="D5680" s="2" t="s">
        <v>6155</v>
      </c>
    </row>
    <row r="5681" spans="1:4" ht="13.05" customHeight="1" x14ac:dyDescent="0.3">
      <c r="A5681" s="2" t="s">
        <v>880</v>
      </c>
      <c r="B5681" s="2" t="s">
        <v>1132</v>
      </c>
      <c r="C5681" s="5" t="s">
        <v>991</v>
      </c>
      <c r="D5681" s="2" t="s">
        <v>6156</v>
      </c>
    </row>
    <row r="5682" spans="1:4" ht="13.05" customHeight="1" x14ac:dyDescent="0.3">
      <c r="A5682" s="2" t="s">
        <v>880</v>
      </c>
      <c r="B5682" s="2" t="s">
        <v>1132</v>
      </c>
      <c r="C5682" s="5" t="s">
        <v>995</v>
      </c>
      <c r="D5682" s="2" t="s">
        <v>6157</v>
      </c>
    </row>
    <row r="5683" spans="1:4" ht="13.05" customHeight="1" x14ac:dyDescent="0.3">
      <c r="A5683" s="2" t="s">
        <v>880</v>
      </c>
      <c r="B5683" s="2" t="s">
        <v>1132</v>
      </c>
      <c r="C5683" s="5" t="s">
        <v>997</v>
      </c>
      <c r="D5683" s="2" t="s">
        <v>3209</v>
      </c>
    </row>
    <row r="5684" spans="1:4" ht="13.05" customHeight="1" x14ac:dyDescent="0.3">
      <c r="A5684" s="2" t="s">
        <v>880</v>
      </c>
      <c r="B5684" s="2" t="s">
        <v>1132</v>
      </c>
      <c r="C5684" s="5" t="s">
        <v>3210</v>
      </c>
      <c r="D5684" s="2" t="s">
        <v>6158</v>
      </c>
    </row>
    <row r="5685" spans="1:4" ht="13.05" customHeight="1" x14ac:dyDescent="0.3">
      <c r="A5685" s="2" t="s">
        <v>882</v>
      </c>
      <c r="B5685" s="2" t="s">
        <v>1132</v>
      </c>
      <c r="C5685" s="5" t="s">
        <v>974</v>
      </c>
      <c r="D5685" s="2" t="s">
        <v>975</v>
      </c>
    </row>
    <row r="5686" spans="1:4" ht="13.05" customHeight="1" x14ac:dyDescent="0.3">
      <c r="A5686" s="2" t="s">
        <v>882</v>
      </c>
      <c r="B5686" s="2" t="s">
        <v>1132</v>
      </c>
      <c r="C5686" s="5" t="s">
        <v>960</v>
      </c>
      <c r="D5686" s="2" t="s">
        <v>961</v>
      </c>
    </row>
    <row r="5687" spans="1:4" ht="13.05" customHeight="1" x14ac:dyDescent="0.3">
      <c r="A5687" s="2" t="s">
        <v>884</v>
      </c>
      <c r="B5687" s="2" t="s">
        <v>1132</v>
      </c>
      <c r="C5687" s="5" t="s">
        <v>974</v>
      </c>
      <c r="D5687" s="2" t="s">
        <v>975</v>
      </c>
    </row>
    <row r="5688" spans="1:4" ht="13.05" customHeight="1" x14ac:dyDescent="0.3">
      <c r="A5688" s="2" t="s">
        <v>884</v>
      </c>
      <c r="B5688" s="2" t="s">
        <v>1132</v>
      </c>
      <c r="C5688" s="5" t="s">
        <v>956</v>
      </c>
      <c r="D5688" s="2" t="s">
        <v>957</v>
      </c>
    </row>
    <row r="5689" spans="1:4" ht="13.05" customHeight="1" x14ac:dyDescent="0.3">
      <c r="A5689" s="2" t="s">
        <v>884</v>
      </c>
      <c r="B5689" s="2" t="s">
        <v>1132</v>
      </c>
      <c r="C5689" s="5" t="s">
        <v>958</v>
      </c>
      <c r="D5689" s="2" t="s">
        <v>959</v>
      </c>
    </row>
    <row r="5690" spans="1:4" ht="13.05" customHeight="1" x14ac:dyDescent="0.3">
      <c r="A5690" s="2" t="s">
        <v>884</v>
      </c>
      <c r="B5690" s="2" t="s">
        <v>1132</v>
      </c>
      <c r="C5690" s="5" t="s">
        <v>960</v>
      </c>
      <c r="D5690" s="2" t="s">
        <v>961</v>
      </c>
    </row>
    <row r="5691" spans="1:4" ht="13.05" customHeight="1" x14ac:dyDescent="0.3">
      <c r="A5691" s="2" t="s">
        <v>887</v>
      </c>
      <c r="B5691" s="2" t="s">
        <v>1132</v>
      </c>
      <c r="C5691" s="5" t="s">
        <v>974</v>
      </c>
      <c r="D5691" s="2" t="s">
        <v>975</v>
      </c>
    </row>
    <row r="5692" spans="1:4" ht="13.05" customHeight="1" x14ac:dyDescent="0.3">
      <c r="A5692" s="2" t="s">
        <v>887</v>
      </c>
      <c r="B5692" s="2" t="s">
        <v>1132</v>
      </c>
      <c r="C5692" s="5" t="s">
        <v>956</v>
      </c>
      <c r="D5692" s="2" t="s">
        <v>957</v>
      </c>
    </row>
    <row r="5693" spans="1:4" ht="13.05" customHeight="1" x14ac:dyDescent="0.3">
      <c r="A5693" s="2" t="s">
        <v>887</v>
      </c>
      <c r="B5693" s="2" t="s">
        <v>1132</v>
      </c>
      <c r="C5693" s="5" t="s">
        <v>958</v>
      </c>
      <c r="D5693" s="2" t="s">
        <v>1019</v>
      </c>
    </row>
    <row r="5694" spans="1:4" ht="13.05" customHeight="1" x14ac:dyDescent="0.3">
      <c r="A5694" s="2" t="s">
        <v>887</v>
      </c>
      <c r="B5694" s="2" t="s">
        <v>1132</v>
      </c>
      <c r="C5694" s="5" t="s">
        <v>960</v>
      </c>
      <c r="D5694" s="2" t="s">
        <v>961</v>
      </c>
    </row>
    <row r="5695" spans="1:4" ht="13.05" customHeight="1" x14ac:dyDescent="0.3">
      <c r="A5695" s="2" t="s">
        <v>887</v>
      </c>
      <c r="B5695" s="2" t="s">
        <v>1132</v>
      </c>
      <c r="C5695" s="5" t="s">
        <v>962</v>
      </c>
      <c r="D5695" s="2" t="s">
        <v>6159</v>
      </c>
    </row>
    <row r="5696" spans="1:4" ht="13.05" customHeight="1" x14ac:dyDescent="0.3">
      <c r="A5696" s="2" t="s">
        <v>887</v>
      </c>
      <c r="B5696" s="2" t="s">
        <v>1132</v>
      </c>
      <c r="C5696" s="5" t="s">
        <v>964</v>
      </c>
      <c r="D5696" s="2" t="s">
        <v>6160</v>
      </c>
    </row>
    <row r="5697" spans="1:4" ht="13.05" customHeight="1" x14ac:dyDescent="0.3">
      <c r="A5697" s="2" t="s">
        <v>889</v>
      </c>
      <c r="B5697" s="2" t="s">
        <v>955</v>
      </c>
      <c r="C5697" s="5" t="s">
        <v>956</v>
      </c>
      <c r="D5697" s="2" t="s">
        <v>1025</v>
      </c>
    </row>
    <row r="5698" spans="1:4" ht="13.05" customHeight="1" x14ac:dyDescent="0.3">
      <c r="A5698" s="2" t="s">
        <v>889</v>
      </c>
      <c r="B5698" s="2" t="s">
        <v>955</v>
      </c>
      <c r="C5698" s="5" t="s">
        <v>958</v>
      </c>
      <c r="D5698" s="2" t="s">
        <v>1019</v>
      </c>
    </row>
    <row r="5699" spans="1:4" ht="13.05" customHeight="1" x14ac:dyDescent="0.3">
      <c r="A5699" s="2" t="s">
        <v>889</v>
      </c>
      <c r="B5699" s="2" t="s">
        <v>955</v>
      </c>
      <c r="C5699" s="5" t="s">
        <v>960</v>
      </c>
      <c r="D5699" s="2" t="s">
        <v>961</v>
      </c>
    </row>
    <row r="5700" spans="1:4" ht="13.05" customHeight="1" x14ac:dyDescent="0.3">
      <c r="A5700" s="2" t="s">
        <v>892</v>
      </c>
      <c r="B5700" s="2" t="s">
        <v>955</v>
      </c>
      <c r="C5700" s="5" t="s">
        <v>956</v>
      </c>
      <c r="D5700" s="2" t="s">
        <v>957</v>
      </c>
    </row>
    <row r="5701" spans="1:4" ht="13.05" customHeight="1" x14ac:dyDescent="0.3">
      <c r="A5701" s="2" t="s">
        <v>892</v>
      </c>
      <c r="B5701" s="2" t="s">
        <v>955</v>
      </c>
      <c r="C5701" s="5" t="s">
        <v>958</v>
      </c>
      <c r="D5701" s="2" t="s">
        <v>959</v>
      </c>
    </row>
    <row r="5702" spans="1:4" ht="13.05" customHeight="1" x14ac:dyDescent="0.3">
      <c r="A5702" s="2" t="s">
        <v>892</v>
      </c>
      <c r="B5702" s="2" t="s">
        <v>955</v>
      </c>
      <c r="C5702" s="5" t="s">
        <v>960</v>
      </c>
      <c r="D5702" s="2" t="s">
        <v>961</v>
      </c>
    </row>
    <row r="5703" spans="1:4" ht="13.05" customHeight="1" x14ac:dyDescent="0.3">
      <c r="A5703" s="2" t="s">
        <v>892</v>
      </c>
      <c r="B5703" s="2" t="s">
        <v>955</v>
      </c>
      <c r="C5703" s="5" t="s">
        <v>962</v>
      </c>
      <c r="D5703" s="2" t="s">
        <v>6161</v>
      </c>
    </row>
    <row r="5704" spans="1:4" ht="13.05" customHeight="1" x14ac:dyDescent="0.3">
      <c r="A5704" s="2" t="s">
        <v>892</v>
      </c>
      <c r="B5704" s="2" t="s">
        <v>955</v>
      </c>
      <c r="C5704" s="5" t="s">
        <v>964</v>
      </c>
      <c r="D5704" s="2" t="s">
        <v>6162</v>
      </c>
    </row>
    <row r="5705" spans="1:4" ht="13.05" customHeight="1" x14ac:dyDescent="0.3">
      <c r="A5705" s="2" t="s">
        <v>895</v>
      </c>
      <c r="B5705" s="2" t="s">
        <v>955</v>
      </c>
      <c r="C5705" s="5" t="s">
        <v>974</v>
      </c>
      <c r="D5705" s="2" t="s">
        <v>975</v>
      </c>
    </row>
    <row r="5706" spans="1:4" ht="13.05" customHeight="1" x14ac:dyDescent="0.3">
      <c r="A5706" s="2" t="s">
        <v>895</v>
      </c>
      <c r="B5706" s="2" t="s">
        <v>955</v>
      </c>
      <c r="C5706" s="5" t="s">
        <v>956</v>
      </c>
      <c r="D5706" s="2" t="s">
        <v>1025</v>
      </c>
    </row>
    <row r="5707" spans="1:4" ht="13.05" customHeight="1" x14ac:dyDescent="0.3">
      <c r="A5707" s="2" t="s">
        <v>895</v>
      </c>
      <c r="B5707" s="2" t="s">
        <v>955</v>
      </c>
      <c r="C5707" s="5" t="s">
        <v>958</v>
      </c>
      <c r="D5707" s="2" t="s">
        <v>1019</v>
      </c>
    </row>
    <row r="5708" spans="1:4" ht="13.05" customHeight="1" x14ac:dyDescent="0.3">
      <c r="A5708" s="2" t="s">
        <v>895</v>
      </c>
      <c r="B5708" s="2" t="s">
        <v>955</v>
      </c>
      <c r="C5708" s="5" t="s">
        <v>960</v>
      </c>
      <c r="D5708" s="2" t="s">
        <v>961</v>
      </c>
    </row>
    <row r="5709" spans="1:4" ht="13.05" customHeight="1" x14ac:dyDescent="0.3">
      <c r="A5709" s="2" t="s">
        <v>895</v>
      </c>
      <c r="B5709" s="2" t="s">
        <v>955</v>
      </c>
      <c r="C5709" s="5" t="s">
        <v>962</v>
      </c>
      <c r="D5709" s="2" t="s">
        <v>1039</v>
      </c>
    </row>
    <row r="5710" spans="1:4" ht="13.05" customHeight="1" x14ac:dyDescent="0.3">
      <c r="A5710" s="2" t="s">
        <v>895</v>
      </c>
      <c r="B5710" s="2" t="s">
        <v>955</v>
      </c>
      <c r="C5710" s="5" t="s">
        <v>964</v>
      </c>
      <c r="D5710" s="2" t="s">
        <v>1040</v>
      </c>
    </row>
    <row r="5711" spans="1:4" ht="13.05" customHeight="1" x14ac:dyDescent="0.3">
      <c r="A5711" s="2" t="s">
        <v>898</v>
      </c>
      <c r="B5711" s="2" t="s">
        <v>955</v>
      </c>
      <c r="C5711" s="5" t="s">
        <v>974</v>
      </c>
      <c r="D5711" s="2" t="s">
        <v>975</v>
      </c>
    </row>
    <row r="5712" spans="1:4" ht="13.05" customHeight="1" x14ac:dyDescent="0.3">
      <c r="A5712" s="2" t="s">
        <v>898</v>
      </c>
      <c r="B5712" s="2" t="s">
        <v>955</v>
      </c>
      <c r="C5712" s="5" t="s">
        <v>962</v>
      </c>
      <c r="D5712" s="2" t="s">
        <v>3011</v>
      </c>
    </row>
    <row r="5713" spans="1:4" ht="13.05" customHeight="1" x14ac:dyDescent="0.3">
      <c r="A5713" s="2" t="s">
        <v>898</v>
      </c>
      <c r="B5713" s="2" t="s">
        <v>955</v>
      </c>
      <c r="C5713" s="5" t="s">
        <v>964</v>
      </c>
      <c r="D5713" s="2" t="s">
        <v>3012</v>
      </c>
    </row>
    <row r="5714" spans="1:4" ht="13.05" customHeight="1" x14ac:dyDescent="0.3">
      <c r="A5714" s="2" t="s">
        <v>898</v>
      </c>
      <c r="B5714" s="2" t="s">
        <v>955</v>
      </c>
      <c r="C5714" s="5" t="s">
        <v>968</v>
      </c>
      <c r="D5714" s="2" t="s">
        <v>3013</v>
      </c>
    </row>
    <row r="5715" spans="1:4" ht="13.05" customHeight="1" x14ac:dyDescent="0.3">
      <c r="A5715" s="2" t="s">
        <v>898</v>
      </c>
      <c r="B5715" s="2" t="s">
        <v>955</v>
      </c>
      <c r="C5715" s="5" t="s">
        <v>970</v>
      </c>
      <c r="D5715" s="2" t="s">
        <v>3014</v>
      </c>
    </row>
    <row r="5716" spans="1:4" ht="13.05" customHeight="1" x14ac:dyDescent="0.3">
      <c r="A5716" s="2" t="s">
        <v>898</v>
      </c>
      <c r="B5716" s="2" t="s">
        <v>955</v>
      </c>
      <c r="C5716" s="5" t="s">
        <v>972</v>
      </c>
      <c r="D5716" s="2" t="s">
        <v>3015</v>
      </c>
    </row>
    <row r="5717" spans="1:4" ht="13.05" customHeight="1" x14ac:dyDescent="0.3">
      <c r="A5717" s="2" t="s">
        <v>898</v>
      </c>
      <c r="B5717" s="2" t="s">
        <v>955</v>
      </c>
      <c r="C5717" s="5" t="s">
        <v>991</v>
      </c>
      <c r="D5717" s="2" t="s">
        <v>3016</v>
      </c>
    </row>
    <row r="5718" spans="1:4" ht="13.05" customHeight="1" x14ac:dyDescent="0.3">
      <c r="A5718" s="2" t="s">
        <v>898</v>
      </c>
      <c r="B5718" s="2" t="s">
        <v>955</v>
      </c>
      <c r="C5718" s="5" t="s">
        <v>993</v>
      </c>
      <c r="D5718" s="2" t="s">
        <v>3017</v>
      </c>
    </row>
    <row r="5719" spans="1:4" ht="13.05" customHeight="1" x14ac:dyDescent="0.3">
      <c r="A5719" s="2" t="s">
        <v>898</v>
      </c>
      <c r="B5719" s="2" t="s">
        <v>955</v>
      </c>
      <c r="C5719" s="5" t="s">
        <v>995</v>
      </c>
      <c r="D5719" s="2" t="s">
        <v>3018</v>
      </c>
    </row>
    <row r="5720" spans="1:4" ht="13.05" customHeight="1" x14ac:dyDescent="0.3">
      <c r="A5720" s="2" t="s">
        <v>898</v>
      </c>
      <c r="B5720" s="2" t="s">
        <v>955</v>
      </c>
      <c r="C5720" s="5" t="s">
        <v>997</v>
      </c>
      <c r="D5720" s="2" t="s">
        <v>3019</v>
      </c>
    </row>
    <row r="5721" spans="1:4" ht="13.05" customHeight="1" x14ac:dyDescent="0.3">
      <c r="A5721" s="2" t="s">
        <v>898</v>
      </c>
      <c r="B5721" s="2" t="s">
        <v>955</v>
      </c>
      <c r="C5721" s="5" t="s">
        <v>999</v>
      </c>
      <c r="D5721" s="2" t="s">
        <v>3020</v>
      </c>
    </row>
    <row r="5722" spans="1:4" ht="13.05" customHeight="1" x14ac:dyDescent="0.3">
      <c r="A5722" s="2" t="s">
        <v>898</v>
      </c>
      <c r="B5722" s="2" t="s">
        <v>955</v>
      </c>
      <c r="C5722" s="5" t="s">
        <v>1001</v>
      </c>
      <c r="D5722" s="2" t="s">
        <v>3021</v>
      </c>
    </row>
    <row r="5723" spans="1:4" ht="13.05" customHeight="1" x14ac:dyDescent="0.3">
      <c r="A5723" s="2" t="s">
        <v>898</v>
      </c>
      <c r="B5723" s="2" t="s">
        <v>955</v>
      </c>
      <c r="C5723" s="5" t="s">
        <v>1005</v>
      </c>
      <c r="D5723" s="2" t="s">
        <v>3022</v>
      </c>
    </row>
    <row r="5724" spans="1:4" ht="13.05" customHeight="1" x14ac:dyDescent="0.3">
      <c r="A5724" s="2" t="s">
        <v>898</v>
      </c>
      <c r="B5724" s="2" t="s">
        <v>955</v>
      </c>
      <c r="C5724" s="5" t="s">
        <v>1007</v>
      </c>
      <c r="D5724" s="2" t="s">
        <v>3023</v>
      </c>
    </row>
    <row r="5725" spans="1:4" ht="13.05" customHeight="1" x14ac:dyDescent="0.3">
      <c r="A5725" s="2" t="s">
        <v>898</v>
      </c>
      <c r="B5725" s="2" t="s">
        <v>955</v>
      </c>
      <c r="C5725" s="5" t="s">
        <v>1009</v>
      </c>
      <c r="D5725" s="2" t="s">
        <v>3024</v>
      </c>
    </row>
    <row r="5726" spans="1:4" ht="13.05" customHeight="1" x14ac:dyDescent="0.3">
      <c r="A5726" s="2" t="s">
        <v>898</v>
      </c>
      <c r="B5726" s="2" t="s">
        <v>955</v>
      </c>
      <c r="C5726" s="5" t="s">
        <v>1011</v>
      </c>
      <c r="D5726" s="2" t="s">
        <v>3025</v>
      </c>
    </row>
    <row r="5727" spans="1:4" ht="13.05" customHeight="1" x14ac:dyDescent="0.3">
      <c r="A5727" s="2" t="s">
        <v>898</v>
      </c>
      <c r="B5727" s="2" t="s">
        <v>955</v>
      </c>
      <c r="C5727" s="5" t="s">
        <v>1013</v>
      </c>
      <c r="D5727" s="2" t="s">
        <v>3026</v>
      </c>
    </row>
    <row r="5728" spans="1:4" ht="13.05" customHeight="1" x14ac:dyDescent="0.3">
      <c r="A5728" s="2" t="s">
        <v>898</v>
      </c>
      <c r="B5728" s="2" t="s">
        <v>955</v>
      </c>
      <c r="C5728" s="5" t="s">
        <v>1155</v>
      </c>
      <c r="D5728" s="2" t="s">
        <v>3027</v>
      </c>
    </row>
    <row r="5729" spans="1:4" ht="13.05" customHeight="1" x14ac:dyDescent="0.3">
      <c r="A5729" s="2" t="s">
        <v>898</v>
      </c>
      <c r="B5729" s="2" t="s">
        <v>955</v>
      </c>
      <c r="C5729" s="5" t="s">
        <v>1047</v>
      </c>
      <c r="D5729" s="2" t="s">
        <v>3028</v>
      </c>
    </row>
    <row r="5730" spans="1:4" ht="13.05" customHeight="1" x14ac:dyDescent="0.3">
      <c r="A5730" s="2" t="s">
        <v>898</v>
      </c>
      <c r="B5730" s="2" t="s">
        <v>955</v>
      </c>
      <c r="C5730" s="5" t="s">
        <v>1049</v>
      </c>
      <c r="D5730" s="2" t="s">
        <v>3029</v>
      </c>
    </row>
    <row r="5731" spans="1:4" ht="13.05" customHeight="1" x14ac:dyDescent="0.3">
      <c r="A5731" s="2" t="s">
        <v>898</v>
      </c>
      <c r="B5731" s="2" t="s">
        <v>955</v>
      </c>
      <c r="C5731" s="5" t="s">
        <v>1051</v>
      </c>
      <c r="D5731" s="2" t="s">
        <v>3030</v>
      </c>
    </row>
    <row r="5732" spans="1:4" ht="13.05" customHeight="1" x14ac:dyDescent="0.3">
      <c r="A5732" s="2" t="s">
        <v>898</v>
      </c>
      <c r="B5732" s="2" t="s">
        <v>955</v>
      </c>
      <c r="C5732" s="5" t="s">
        <v>1053</v>
      </c>
      <c r="D5732" s="2" t="s">
        <v>3031</v>
      </c>
    </row>
    <row r="5733" spans="1:4" ht="13.05" customHeight="1" x14ac:dyDescent="0.3">
      <c r="A5733" s="2" t="s">
        <v>898</v>
      </c>
      <c r="B5733" s="2" t="s">
        <v>955</v>
      </c>
      <c r="C5733" s="5" t="s">
        <v>3032</v>
      </c>
      <c r="D5733" s="2" t="s">
        <v>3033</v>
      </c>
    </row>
    <row r="5734" spans="1:4" ht="13.05" customHeight="1" x14ac:dyDescent="0.3">
      <c r="A5734" s="2" t="s">
        <v>898</v>
      </c>
      <c r="B5734" s="2" t="s">
        <v>955</v>
      </c>
      <c r="C5734" s="5" t="s">
        <v>3034</v>
      </c>
      <c r="D5734" s="2" t="s">
        <v>3035</v>
      </c>
    </row>
    <row r="5735" spans="1:4" ht="13.05" customHeight="1" x14ac:dyDescent="0.3">
      <c r="A5735" s="2" t="s">
        <v>898</v>
      </c>
      <c r="B5735" s="2" t="s">
        <v>955</v>
      </c>
      <c r="C5735" s="5" t="s">
        <v>3036</v>
      </c>
      <c r="D5735" s="2" t="s">
        <v>3037</v>
      </c>
    </row>
    <row r="5736" spans="1:4" ht="13.05" customHeight="1" x14ac:dyDescent="0.3">
      <c r="A5736" s="2" t="s">
        <v>898</v>
      </c>
      <c r="B5736" s="2" t="s">
        <v>955</v>
      </c>
      <c r="C5736" s="5" t="s">
        <v>3038</v>
      </c>
      <c r="D5736" s="2" t="s">
        <v>3039</v>
      </c>
    </row>
    <row r="5737" spans="1:4" ht="13.05" customHeight="1" x14ac:dyDescent="0.3">
      <c r="A5737" s="2" t="s">
        <v>898</v>
      </c>
      <c r="B5737" s="2" t="s">
        <v>955</v>
      </c>
      <c r="C5737" s="5" t="s">
        <v>3040</v>
      </c>
      <c r="D5737" s="2" t="s">
        <v>3041</v>
      </c>
    </row>
    <row r="5738" spans="1:4" ht="13.05" customHeight="1" x14ac:dyDescent="0.3">
      <c r="A5738" s="2" t="s">
        <v>898</v>
      </c>
      <c r="B5738" s="2" t="s">
        <v>955</v>
      </c>
      <c r="C5738" s="5" t="s">
        <v>1157</v>
      </c>
      <c r="D5738" s="2" t="s">
        <v>3042</v>
      </c>
    </row>
    <row r="5739" spans="1:4" ht="13.05" customHeight="1" x14ac:dyDescent="0.3">
      <c r="A5739" s="2" t="s">
        <v>898</v>
      </c>
      <c r="B5739" s="2" t="s">
        <v>955</v>
      </c>
      <c r="C5739" s="5" t="s">
        <v>1055</v>
      </c>
      <c r="D5739" s="2" t="s">
        <v>3043</v>
      </c>
    </row>
    <row r="5740" spans="1:4" ht="13.05" customHeight="1" x14ac:dyDescent="0.3">
      <c r="A5740" s="2" t="s">
        <v>898</v>
      </c>
      <c r="B5740" s="2" t="s">
        <v>955</v>
      </c>
      <c r="C5740" s="5" t="s">
        <v>1057</v>
      </c>
      <c r="D5740" s="2" t="s">
        <v>3044</v>
      </c>
    </row>
    <row r="5741" spans="1:4" ht="13.05" customHeight="1" x14ac:dyDescent="0.3">
      <c r="A5741" s="2" t="s">
        <v>898</v>
      </c>
      <c r="B5741" s="2" t="s">
        <v>955</v>
      </c>
      <c r="C5741" s="5" t="s">
        <v>1059</v>
      </c>
      <c r="D5741" s="2" t="s">
        <v>3045</v>
      </c>
    </row>
    <row r="5742" spans="1:4" ht="13.05" customHeight="1" x14ac:dyDescent="0.3">
      <c r="A5742" s="2" t="s">
        <v>898</v>
      </c>
      <c r="B5742" s="2" t="s">
        <v>955</v>
      </c>
      <c r="C5742" s="5" t="s">
        <v>1061</v>
      </c>
      <c r="D5742" s="2" t="s">
        <v>3046</v>
      </c>
    </row>
    <row r="5743" spans="1:4" ht="13.05" customHeight="1" x14ac:dyDescent="0.3">
      <c r="A5743" s="2" t="s">
        <v>898</v>
      </c>
      <c r="B5743" s="2" t="s">
        <v>955</v>
      </c>
      <c r="C5743" s="5" t="s">
        <v>3047</v>
      </c>
      <c r="D5743" s="2" t="s">
        <v>3048</v>
      </c>
    </row>
    <row r="5744" spans="1:4" ht="13.05" customHeight="1" x14ac:dyDescent="0.3">
      <c r="A5744" s="2" t="s">
        <v>898</v>
      </c>
      <c r="B5744" s="2" t="s">
        <v>955</v>
      </c>
      <c r="C5744" s="5" t="s">
        <v>3049</v>
      </c>
      <c r="D5744" s="2" t="s">
        <v>3050</v>
      </c>
    </row>
    <row r="5745" spans="1:4" ht="13.05" customHeight="1" x14ac:dyDescent="0.3">
      <c r="A5745" s="2" t="s">
        <v>898</v>
      </c>
      <c r="B5745" s="2" t="s">
        <v>955</v>
      </c>
      <c r="C5745" s="5" t="s">
        <v>3051</v>
      </c>
      <c r="D5745" s="2" t="s">
        <v>3052</v>
      </c>
    </row>
    <row r="5746" spans="1:4" ht="13.05" customHeight="1" x14ac:dyDescent="0.3">
      <c r="A5746" s="2" t="s">
        <v>898</v>
      </c>
      <c r="B5746" s="2" t="s">
        <v>955</v>
      </c>
      <c r="C5746" s="5" t="s">
        <v>3053</v>
      </c>
      <c r="D5746" s="2" t="s">
        <v>3054</v>
      </c>
    </row>
    <row r="5747" spans="1:4" ht="13.05" customHeight="1" x14ac:dyDescent="0.3">
      <c r="A5747" s="2" t="s">
        <v>898</v>
      </c>
      <c r="B5747" s="2" t="s">
        <v>955</v>
      </c>
      <c r="C5747" s="5" t="s">
        <v>3055</v>
      </c>
      <c r="D5747" s="2" t="s">
        <v>3056</v>
      </c>
    </row>
    <row r="5748" spans="1:4" ht="13.05" customHeight="1" x14ac:dyDescent="0.3">
      <c r="A5748" s="2" t="s">
        <v>898</v>
      </c>
      <c r="B5748" s="2" t="s">
        <v>955</v>
      </c>
      <c r="C5748" s="5" t="s">
        <v>1159</v>
      </c>
      <c r="D5748" s="2" t="s">
        <v>3057</v>
      </c>
    </row>
    <row r="5749" spans="1:4" ht="13.05" customHeight="1" x14ac:dyDescent="0.3">
      <c r="A5749" s="2" t="s">
        <v>898</v>
      </c>
      <c r="B5749" s="2" t="s">
        <v>955</v>
      </c>
      <c r="C5749" s="5" t="s">
        <v>1063</v>
      </c>
      <c r="D5749" s="2" t="s">
        <v>3058</v>
      </c>
    </row>
    <row r="5750" spans="1:4" ht="13.05" customHeight="1" x14ac:dyDescent="0.3">
      <c r="A5750" s="2" t="s">
        <v>898</v>
      </c>
      <c r="B5750" s="2" t="s">
        <v>955</v>
      </c>
      <c r="C5750" s="5" t="s">
        <v>1065</v>
      </c>
      <c r="D5750" s="2" t="s">
        <v>3059</v>
      </c>
    </row>
    <row r="5751" spans="1:4" ht="13.05" customHeight="1" x14ac:dyDescent="0.3">
      <c r="A5751" s="2" t="s">
        <v>898</v>
      </c>
      <c r="B5751" s="2" t="s">
        <v>955</v>
      </c>
      <c r="C5751" s="5" t="s">
        <v>1069</v>
      </c>
      <c r="D5751" s="2" t="s">
        <v>3060</v>
      </c>
    </row>
    <row r="5752" spans="1:4" ht="13.05" customHeight="1" x14ac:dyDescent="0.3">
      <c r="A5752" s="2" t="s">
        <v>898</v>
      </c>
      <c r="B5752" s="2" t="s">
        <v>955</v>
      </c>
      <c r="C5752" s="5" t="s">
        <v>3061</v>
      </c>
      <c r="D5752" s="2" t="s">
        <v>3062</v>
      </c>
    </row>
    <row r="5753" spans="1:4" ht="13.05" customHeight="1" x14ac:dyDescent="0.3">
      <c r="A5753" s="2" t="s">
        <v>898</v>
      </c>
      <c r="B5753" s="2" t="s">
        <v>955</v>
      </c>
      <c r="C5753" s="5" t="s">
        <v>3063</v>
      </c>
      <c r="D5753" s="2" t="s">
        <v>3064</v>
      </c>
    </row>
    <row r="5754" spans="1:4" ht="13.05" customHeight="1" x14ac:dyDescent="0.3">
      <c r="A5754" s="2" t="s">
        <v>898</v>
      </c>
      <c r="B5754" s="2" t="s">
        <v>955</v>
      </c>
      <c r="C5754" s="5" t="s">
        <v>3065</v>
      </c>
      <c r="D5754" s="2" t="s">
        <v>3066</v>
      </c>
    </row>
    <row r="5755" spans="1:4" ht="13.05" customHeight="1" x14ac:dyDescent="0.3">
      <c r="A5755" s="2" t="s">
        <v>898</v>
      </c>
      <c r="B5755" s="2" t="s">
        <v>955</v>
      </c>
      <c r="C5755" s="5" t="s">
        <v>3067</v>
      </c>
      <c r="D5755" s="2" t="s">
        <v>3068</v>
      </c>
    </row>
    <row r="5756" spans="1:4" ht="13.05" customHeight="1" x14ac:dyDescent="0.3">
      <c r="A5756" s="2" t="s">
        <v>898</v>
      </c>
      <c r="B5756" s="2" t="s">
        <v>955</v>
      </c>
      <c r="C5756" s="5" t="s">
        <v>3069</v>
      </c>
      <c r="D5756" s="2" t="s">
        <v>3070</v>
      </c>
    </row>
    <row r="5757" spans="1:4" ht="13.05" customHeight="1" x14ac:dyDescent="0.3">
      <c r="A5757" s="2" t="s">
        <v>898</v>
      </c>
      <c r="B5757" s="2" t="s">
        <v>955</v>
      </c>
      <c r="C5757" s="5" t="s">
        <v>1161</v>
      </c>
      <c r="D5757" s="2" t="s">
        <v>3071</v>
      </c>
    </row>
    <row r="5758" spans="1:4" ht="13.05" customHeight="1" x14ac:dyDescent="0.3">
      <c r="A5758" s="2" t="s">
        <v>898</v>
      </c>
      <c r="B5758" s="2" t="s">
        <v>955</v>
      </c>
      <c r="C5758" s="5" t="s">
        <v>1071</v>
      </c>
      <c r="D5758" s="2" t="s">
        <v>3072</v>
      </c>
    </row>
    <row r="5759" spans="1:4" ht="13.05" customHeight="1" x14ac:dyDescent="0.3">
      <c r="A5759" s="2" t="s">
        <v>898</v>
      </c>
      <c r="B5759" s="2" t="s">
        <v>955</v>
      </c>
      <c r="C5759" s="5" t="s">
        <v>1075</v>
      </c>
      <c r="D5759" s="2" t="s">
        <v>3073</v>
      </c>
    </row>
    <row r="5760" spans="1:4" ht="13.05" customHeight="1" x14ac:dyDescent="0.3">
      <c r="A5760" s="2" t="s">
        <v>898</v>
      </c>
      <c r="B5760" s="2" t="s">
        <v>955</v>
      </c>
      <c r="C5760" s="5" t="s">
        <v>1077</v>
      </c>
      <c r="D5760" s="2" t="s">
        <v>3074</v>
      </c>
    </row>
    <row r="5761" spans="1:4" ht="13.05" customHeight="1" x14ac:dyDescent="0.3">
      <c r="A5761" s="2" t="s">
        <v>898</v>
      </c>
      <c r="B5761" s="2" t="s">
        <v>955</v>
      </c>
      <c r="C5761" s="5" t="s">
        <v>3075</v>
      </c>
      <c r="D5761" s="2" t="s">
        <v>3076</v>
      </c>
    </row>
    <row r="5762" spans="1:4" ht="13.05" customHeight="1" x14ac:dyDescent="0.3">
      <c r="A5762" s="2" t="s">
        <v>898</v>
      </c>
      <c r="B5762" s="2" t="s">
        <v>955</v>
      </c>
      <c r="C5762" s="5" t="s">
        <v>3077</v>
      </c>
      <c r="D5762" s="2" t="s">
        <v>3078</v>
      </c>
    </row>
    <row r="5763" spans="1:4" ht="13.05" customHeight="1" x14ac:dyDescent="0.3">
      <c r="A5763" s="2" t="s">
        <v>900</v>
      </c>
      <c r="B5763" s="2" t="s">
        <v>955</v>
      </c>
      <c r="C5763" s="5" t="s">
        <v>974</v>
      </c>
      <c r="D5763" s="2" t="s">
        <v>975</v>
      </c>
    </row>
    <row r="5764" spans="1:4" ht="13.05" customHeight="1" x14ac:dyDescent="0.3">
      <c r="A5764" s="2" t="s">
        <v>900</v>
      </c>
      <c r="B5764" s="2" t="s">
        <v>955</v>
      </c>
      <c r="C5764" s="5" t="s">
        <v>956</v>
      </c>
      <c r="D5764" s="2" t="s">
        <v>957</v>
      </c>
    </row>
    <row r="5765" spans="1:4" ht="13.05" customHeight="1" x14ac:dyDescent="0.3">
      <c r="A5765" s="2" t="s">
        <v>900</v>
      </c>
      <c r="B5765" s="2" t="s">
        <v>955</v>
      </c>
      <c r="C5765" s="5" t="s">
        <v>958</v>
      </c>
      <c r="D5765" s="2" t="s">
        <v>959</v>
      </c>
    </row>
    <row r="5766" spans="1:4" ht="13.05" customHeight="1" x14ac:dyDescent="0.3">
      <c r="A5766" s="2" t="s">
        <v>900</v>
      </c>
      <c r="B5766" s="2" t="s">
        <v>955</v>
      </c>
      <c r="C5766" s="5" t="s">
        <v>960</v>
      </c>
      <c r="D5766" s="2" t="s">
        <v>961</v>
      </c>
    </row>
    <row r="5767" spans="1:4" ht="13.05" customHeight="1" x14ac:dyDescent="0.3">
      <c r="A5767" s="2" t="s">
        <v>900</v>
      </c>
      <c r="B5767" s="2" t="s">
        <v>955</v>
      </c>
      <c r="C5767" s="5" t="s">
        <v>1152</v>
      </c>
      <c r="D5767" s="2" t="s">
        <v>1037</v>
      </c>
    </row>
    <row r="5768" spans="1:4" ht="13.05" customHeight="1" x14ac:dyDescent="0.3">
      <c r="A5768" s="2" t="s">
        <v>900</v>
      </c>
      <c r="B5768" s="2" t="s">
        <v>955</v>
      </c>
      <c r="C5768" s="5" t="s">
        <v>962</v>
      </c>
      <c r="D5768" s="2" t="s">
        <v>3213</v>
      </c>
    </row>
    <row r="5769" spans="1:4" ht="13.05" customHeight="1" x14ac:dyDescent="0.3">
      <c r="A5769" s="2" t="s">
        <v>900</v>
      </c>
      <c r="B5769" s="2" t="s">
        <v>955</v>
      </c>
      <c r="C5769" s="5" t="s">
        <v>964</v>
      </c>
      <c r="D5769" s="2" t="s">
        <v>3214</v>
      </c>
    </row>
    <row r="5770" spans="1:4" ht="13.05" customHeight="1" x14ac:dyDescent="0.3">
      <c r="A5770" s="2" t="s">
        <v>900</v>
      </c>
      <c r="B5770" s="2" t="s">
        <v>955</v>
      </c>
      <c r="C5770" s="5" t="s">
        <v>966</v>
      </c>
      <c r="D5770" s="2" t="s">
        <v>3215</v>
      </c>
    </row>
    <row r="5771" spans="1:4" ht="13.05" customHeight="1" x14ac:dyDescent="0.3">
      <c r="A5771" s="2" t="s">
        <v>900</v>
      </c>
      <c r="B5771" s="2" t="s">
        <v>955</v>
      </c>
      <c r="C5771" s="5" t="s">
        <v>968</v>
      </c>
      <c r="D5771" s="2" t="s">
        <v>3216</v>
      </c>
    </row>
    <row r="5772" spans="1:4" ht="13.05" customHeight="1" x14ac:dyDescent="0.3">
      <c r="A5772" s="2" t="s">
        <v>900</v>
      </c>
      <c r="B5772" s="2" t="s">
        <v>955</v>
      </c>
      <c r="C5772" s="5" t="s">
        <v>970</v>
      </c>
      <c r="D5772" s="2" t="s">
        <v>3217</v>
      </c>
    </row>
    <row r="5773" spans="1:4" ht="13.05" customHeight="1" x14ac:dyDescent="0.3">
      <c r="A5773" s="2" t="s">
        <v>900</v>
      </c>
      <c r="B5773" s="2" t="s">
        <v>955</v>
      </c>
      <c r="C5773" s="5" t="s">
        <v>972</v>
      </c>
      <c r="D5773" s="2" t="s">
        <v>3218</v>
      </c>
    </row>
    <row r="5774" spans="1:4" ht="13.05" customHeight="1" x14ac:dyDescent="0.3">
      <c r="A5774" s="2" t="s">
        <v>900</v>
      </c>
      <c r="B5774" s="2" t="s">
        <v>955</v>
      </c>
      <c r="C5774" s="5" t="s">
        <v>981</v>
      </c>
      <c r="D5774" s="2" t="s">
        <v>3219</v>
      </c>
    </row>
    <row r="5775" spans="1:4" ht="13.05" customHeight="1" x14ac:dyDescent="0.3">
      <c r="A5775" s="2" t="s">
        <v>900</v>
      </c>
      <c r="B5775" s="2" t="s">
        <v>955</v>
      </c>
      <c r="C5775" s="5" t="s">
        <v>991</v>
      </c>
      <c r="D5775" s="2" t="s">
        <v>3220</v>
      </c>
    </row>
    <row r="5776" spans="1:4" ht="13.05" customHeight="1" x14ac:dyDescent="0.3">
      <c r="A5776" s="2" t="s">
        <v>900</v>
      </c>
      <c r="B5776" s="2" t="s">
        <v>955</v>
      </c>
      <c r="C5776" s="5" t="s">
        <v>983</v>
      </c>
      <c r="D5776" s="2" t="s">
        <v>1015</v>
      </c>
    </row>
    <row r="5777" spans="1:4" ht="13.05" customHeight="1" x14ac:dyDescent="0.3">
      <c r="A5777" s="2" t="s">
        <v>902</v>
      </c>
      <c r="B5777" s="2" t="s">
        <v>955</v>
      </c>
      <c r="C5777" s="5" t="s">
        <v>974</v>
      </c>
      <c r="D5777" s="2" t="s">
        <v>975</v>
      </c>
    </row>
    <row r="5778" spans="1:4" ht="13.05" customHeight="1" x14ac:dyDescent="0.3">
      <c r="A5778" s="2" t="s">
        <v>902</v>
      </c>
      <c r="B5778" s="2" t="s">
        <v>955</v>
      </c>
      <c r="C5778" s="5" t="s">
        <v>956</v>
      </c>
      <c r="D5778" s="2" t="s">
        <v>957</v>
      </c>
    </row>
    <row r="5779" spans="1:4" ht="13.05" customHeight="1" x14ac:dyDescent="0.3">
      <c r="A5779" s="2" t="s">
        <v>902</v>
      </c>
      <c r="B5779" s="2" t="s">
        <v>955</v>
      </c>
      <c r="C5779" s="5" t="s">
        <v>958</v>
      </c>
      <c r="D5779" s="2" t="s">
        <v>959</v>
      </c>
    </row>
    <row r="5780" spans="1:4" ht="13.05" customHeight="1" x14ac:dyDescent="0.3">
      <c r="A5780" s="2" t="s">
        <v>902</v>
      </c>
      <c r="B5780" s="2" t="s">
        <v>955</v>
      </c>
      <c r="C5780" s="5" t="s">
        <v>960</v>
      </c>
      <c r="D5780" s="2" t="s">
        <v>961</v>
      </c>
    </row>
    <row r="5781" spans="1:4" ht="13.05" customHeight="1" x14ac:dyDescent="0.3">
      <c r="A5781" s="2" t="s">
        <v>902</v>
      </c>
      <c r="B5781" s="2" t="s">
        <v>955</v>
      </c>
      <c r="C5781" s="5" t="s">
        <v>1152</v>
      </c>
      <c r="D5781" s="2" t="s">
        <v>1037</v>
      </c>
    </row>
    <row r="5782" spans="1:4" ht="13.05" customHeight="1" x14ac:dyDescent="0.3">
      <c r="A5782" s="2" t="s">
        <v>902</v>
      </c>
      <c r="B5782" s="2" t="s">
        <v>955</v>
      </c>
      <c r="C5782" s="5" t="s">
        <v>962</v>
      </c>
      <c r="D5782" s="2" t="s">
        <v>3213</v>
      </c>
    </row>
    <row r="5783" spans="1:4" ht="13.05" customHeight="1" x14ac:dyDescent="0.3">
      <c r="A5783" s="2" t="s">
        <v>902</v>
      </c>
      <c r="B5783" s="2" t="s">
        <v>955</v>
      </c>
      <c r="C5783" s="5" t="s">
        <v>964</v>
      </c>
      <c r="D5783" s="2" t="s">
        <v>3214</v>
      </c>
    </row>
    <row r="5784" spans="1:4" ht="13.05" customHeight="1" x14ac:dyDescent="0.3">
      <c r="A5784" s="2" t="s">
        <v>902</v>
      </c>
      <c r="B5784" s="2" t="s">
        <v>955</v>
      </c>
      <c r="C5784" s="5" t="s">
        <v>966</v>
      </c>
      <c r="D5784" s="2" t="s">
        <v>3215</v>
      </c>
    </row>
    <row r="5785" spans="1:4" ht="13.05" customHeight="1" x14ac:dyDescent="0.3">
      <c r="A5785" s="2" t="s">
        <v>902</v>
      </c>
      <c r="B5785" s="2" t="s">
        <v>955</v>
      </c>
      <c r="C5785" s="5" t="s">
        <v>968</v>
      </c>
      <c r="D5785" s="2" t="s">
        <v>3216</v>
      </c>
    </row>
    <row r="5786" spans="1:4" ht="13.05" customHeight="1" x14ac:dyDescent="0.3">
      <c r="A5786" s="2" t="s">
        <v>902</v>
      </c>
      <c r="B5786" s="2" t="s">
        <v>955</v>
      </c>
      <c r="C5786" s="5" t="s">
        <v>970</v>
      </c>
      <c r="D5786" s="2" t="s">
        <v>3217</v>
      </c>
    </row>
    <row r="5787" spans="1:4" ht="13.05" customHeight="1" x14ac:dyDescent="0.3">
      <c r="A5787" s="2" t="s">
        <v>902</v>
      </c>
      <c r="B5787" s="2" t="s">
        <v>955</v>
      </c>
      <c r="C5787" s="5" t="s">
        <v>972</v>
      </c>
      <c r="D5787" s="2" t="s">
        <v>3218</v>
      </c>
    </row>
    <row r="5788" spans="1:4" ht="13.05" customHeight="1" x14ac:dyDescent="0.3">
      <c r="A5788" s="2" t="s">
        <v>902</v>
      </c>
      <c r="B5788" s="2" t="s">
        <v>955</v>
      </c>
      <c r="C5788" s="5" t="s">
        <v>981</v>
      </c>
      <c r="D5788" s="2" t="s">
        <v>3219</v>
      </c>
    </row>
    <row r="5789" spans="1:4" ht="13.05" customHeight="1" x14ac:dyDescent="0.3">
      <c r="A5789" s="2" t="s">
        <v>902</v>
      </c>
      <c r="B5789" s="2" t="s">
        <v>955</v>
      </c>
      <c r="C5789" s="5" t="s">
        <v>991</v>
      </c>
      <c r="D5789" s="2" t="s">
        <v>3220</v>
      </c>
    </row>
    <row r="5790" spans="1:4" ht="13.05" customHeight="1" x14ac:dyDescent="0.3">
      <c r="A5790" s="2" t="s">
        <v>902</v>
      </c>
      <c r="B5790" s="2" t="s">
        <v>955</v>
      </c>
      <c r="C5790" s="5" t="s">
        <v>983</v>
      </c>
      <c r="D5790" s="2" t="s">
        <v>1015</v>
      </c>
    </row>
    <row r="5791" spans="1:4" ht="13.05" customHeight="1" x14ac:dyDescent="0.3">
      <c r="A5791" s="2" t="s">
        <v>904</v>
      </c>
      <c r="B5791" s="2" t="s">
        <v>955</v>
      </c>
      <c r="C5791" s="5" t="s">
        <v>974</v>
      </c>
      <c r="D5791" s="2" t="s">
        <v>975</v>
      </c>
    </row>
    <row r="5792" spans="1:4" ht="13.05" customHeight="1" x14ac:dyDescent="0.3">
      <c r="A5792" s="2" t="s">
        <v>904</v>
      </c>
      <c r="B5792" s="2" t="s">
        <v>955</v>
      </c>
      <c r="C5792" s="5" t="s">
        <v>960</v>
      </c>
      <c r="D5792" s="2" t="s">
        <v>961</v>
      </c>
    </row>
    <row r="5793" spans="1:4" ht="13.05" customHeight="1" x14ac:dyDescent="0.3">
      <c r="A5793" s="2" t="s">
        <v>904</v>
      </c>
      <c r="B5793" s="2" t="s">
        <v>955</v>
      </c>
      <c r="C5793" s="5" t="s">
        <v>962</v>
      </c>
      <c r="D5793" s="2" t="s">
        <v>1039</v>
      </c>
    </row>
    <row r="5794" spans="1:4" ht="13.05" customHeight="1" x14ac:dyDescent="0.3">
      <c r="A5794" s="2" t="s">
        <v>904</v>
      </c>
      <c r="B5794" s="2" t="s">
        <v>955</v>
      </c>
      <c r="C5794" s="5" t="s">
        <v>964</v>
      </c>
      <c r="D5794" s="2" t="s">
        <v>1040</v>
      </c>
    </row>
    <row r="5795" spans="1:4" ht="13.05" customHeight="1" x14ac:dyDescent="0.3">
      <c r="A5795" s="2" t="s">
        <v>908</v>
      </c>
      <c r="B5795" s="2" t="s">
        <v>955</v>
      </c>
      <c r="C5795" s="5" t="s">
        <v>974</v>
      </c>
      <c r="D5795" s="2" t="s">
        <v>975</v>
      </c>
    </row>
    <row r="5796" spans="1:4" ht="13.05" customHeight="1" x14ac:dyDescent="0.3">
      <c r="A5796" s="2" t="s">
        <v>908</v>
      </c>
      <c r="B5796" s="2" t="s">
        <v>955</v>
      </c>
      <c r="C5796" s="5" t="s">
        <v>960</v>
      </c>
      <c r="D5796" s="2" t="s">
        <v>961</v>
      </c>
    </row>
    <row r="5797" spans="1:4" ht="13.05" customHeight="1" x14ac:dyDescent="0.3">
      <c r="A5797" s="2" t="s">
        <v>912</v>
      </c>
      <c r="B5797" s="2" t="s">
        <v>955</v>
      </c>
      <c r="C5797" s="5" t="s">
        <v>956</v>
      </c>
      <c r="D5797" s="2" t="s">
        <v>1025</v>
      </c>
    </row>
    <row r="5798" spans="1:4" ht="13.05" customHeight="1" x14ac:dyDescent="0.3">
      <c r="A5798" s="2" t="s">
        <v>912</v>
      </c>
      <c r="B5798" s="2" t="s">
        <v>955</v>
      </c>
      <c r="C5798" s="5" t="s">
        <v>958</v>
      </c>
      <c r="D5798" s="2" t="s">
        <v>1019</v>
      </c>
    </row>
    <row r="5799" spans="1:4" ht="13.05" customHeight="1" x14ac:dyDescent="0.3">
      <c r="A5799" s="2" t="s">
        <v>912</v>
      </c>
      <c r="B5799" s="2" t="s">
        <v>955</v>
      </c>
      <c r="C5799" s="5" t="s">
        <v>960</v>
      </c>
      <c r="D5799" s="2" t="s">
        <v>961</v>
      </c>
    </row>
    <row r="5800" spans="1:4" ht="13.05" customHeight="1" x14ac:dyDescent="0.3">
      <c r="A5800" s="2" t="s">
        <v>912</v>
      </c>
      <c r="B5800" s="2" t="s">
        <v>955</v>
      </c>
      <c r="C5800" s="5" t="s">
        <v>962</v>
      </c>
      <c r="D5800" s="2" t="s">
        <v>1039</v>
      </c>
    </row>
    <row r="5801" spans="1:4" ht="13.05" customHeight="1" x14ac:dyDescent="0.3">
      <c r="A5801" s="2" t="s">
        <v>912</v>
      </c>
      <c r="B5801" s="2" t="s">
        <v>955</v>
      </c>
      <c r="C5801" s="5" t="s">
        <v>964</v>
      </c>
      <c r="D5801" s="2" t="s">
        <v>1040</v>
      </c>
    </row>
    <row r="5802" spans="1:4" ht="13.05" customHeight="1" x14ac:dyDescent="0.3">
      <c r="A5802" s="2" t="s">
        <v>915</v>
      </c>
      <c r="B5802" s="2" t="s">
        <v>955</v>
      </c>
      <c r="C5802" s="5" t="s">
        <v>974</v>
      </c>
      <c r="D5802" s="2" t="s">
        <v>975</v>
      </c>
    </row>
    <row r="5803" spans="1:4" ht="13.05" customHeight="1" x14ac:dyDescent="0.3">
      <c r="A5803" s="2" t="s">
        <v>915</v>
      </c>
      <c r="B5803" s="2" t="s">
        <v>955</v>
      </c>
      <c r="C5803" s="5" t="s">
        <v>960</v>
      </c>
      <c r="D5803" s="2" t="s">
        <v>961</v>
      </c>
    </row>
    <row r="5804" spans="1:4" ht="13.05" customHeight="1" x14ac:dyDescent="0.3">
      <c r="A5804" s="2" t="s">
        <v>917</v>
      </c>
      <c r="B5804" s="2" t="s">
        <v>955</v>
      </c>
      <c r="C5804" s="5" t="s">
        <v>974</v>
      </c>
      <c r="D5804" s="2" t="s">
        <v>975</v>
      </c>
    </row>
    <row r="5805" spans="1:4" ht="13.05" customHeight="1" x14ac:dyDescent="0.3">
      <c r="A5805" s="2" t="s">
        <v>917</v>
      </c>
      <c r="B5805" s="2" t="s">
        <v>955</v>
      </c>
      <c r="C5805" s="5" t="s">
        <v>960</v>
      </c>
      <c r="D5805" s="2" t="s">
        <v>961</v>
      </c>
    </row>
    <row r="5806" spans="1:4" ht="13.05" customHeight="1" x14ac:dyDescent="0.3">
      <c r="A5806" s="2" t="s">
        <v>919</v>
      </c>
      <c r="B5806" s="2" t="s">
        <v>955</v>
      </c>
      <c r="C5806" s="5" t="s">
        <v>974</v>
      </c>
      <c r="D5806" s="2" t="s">
        <v>975</v>
      </c>
    </row>
    <row r="5807" spans="1:4" ht="13.05" customHeight="1" x14ac:dyDescent="0.3">
      <c r="A5807" s="2" t="s">
        <v>919</v>
      </c>
      <c r="B5807" s="2" t="s">
        <v>955</v>
      </c>
      <c r="C5807" s="5" t="s">
        <v>956</v>
      </c>
      <c r="D5807" s="2" t="s">
        <v>957</v>
      </c>
    </row>
    <row r="5808" spans="1:4" ht="13.05" customHeight="1" x14ac:dyDescent="0.3">
      <c r="A5808" s="2" t="s">
        <v>919</v>
      </c>
      <c r="B5808" s="2" t="s">
        <v>955</v>
      </c>
      <c r="C5808" s="5" t="s">
        <v>958</v>
      </c>
      <c r="D5808" s="2" t="s">
        <v>959</v>
      </c>
    </row>
    <row r="5809" spans="1:4" ht="13.05" customHeight="1" x14ac:dyDescent="0.3">
      <c r="A5809" s="2" t="s">
        <v>919</v>
      </c>
      <c r="B5809" s="2" t="s">
        <v>955</v>
      </c>
      <c r="C5809" s="5" t="s">
        <v>960</v>
      </c>
      <c r="D5809" s="2" t="s">
        <v>961</v>
      </c>
    </row>
    <row r="5810" spans="1:4" ht="13.05" customHeight="1" x14ac:dyDescent="0.3">
      <c r="A5810" s="2" t="s">
        <v>919</v>
      </c>
      <c r="B5810" s="2" t="s">
        <v>955</v>
      </c>
      <c r="C5810" s="5" t="s">
        <v>962</v>
      </c>
      <c r="D5810" s="2" t="s">
        <v>6163</v>
      </c>
    </row>
    <row r="5811" spans="1:4" ht="13.05" customHeight="1" x14ac:dyDescent="0.3">
      <c r="A5811" s="2" t="s">
        <v>919</v>
      </c>
      <c r="B5811" s="2" t="s">
        <v>955</v>
      </c>
      <c r="C5811" s="5" t="s">
        <v>964</v>
      </c>
      <c r="D5811" s="2" t="s">
        <v>6164</v>
      </c>
    </row>
    <row r="5812" spans="1:4" ht="13.05" customHeight="1" x14ac:dyDescent="0.3">
      <c r="A5812" s="2" t="s">
        <v>919</v>
      </c>
      <c r="B5812" s="2" t="s">
        <v>955</v>
      </c>
      <c r="C5812" s="5" t="s">
        <v>966</v>
      </c>
      <c r="D5812" s="2" t="s">
        <v>6165</v>
      </c>
    </row>
    <row r="5813" spans="1:4" ht="13.05" customHeight="1" x14ac:dyDescent="0.3">
      <c r="A5813" s="2" t="s">
        <v>923</v>
      </c>
      <c r="B5813" s="2" t="s">
        <v>955</v>
      </c>
      <c r="C5813" s="5" t="s">
        <v>974</v>
      </c>
      <c r="D5813" s="2" t="s">
        <v>975</v>
      </c>
    </row>
    <row r="5814" spans="1:4" ht="13.05" customHeight="1" x14ac:dyDescent="0.3">
      <c r="A5814" s="2" t="s">
        <v>923</v>
      </c>
      <c r="B5814" s="2" t="s">
        <v>955</v>
      </c>
      <c r="C5814" s="5" t="s">
        <v>956</v>
      </c>
      <c r="D5814" s="2" t="s">
        <v>1025</v>
      </c>
    </row>
    <row r="5815" spans="1:4" ht="13.05" customHeight="1" x14ac:dyDescent="0.3">
      <c r="A5815" s="2" t="s">
        <v>923</v>
      </c>
      <c r="B5815" s="2" t="s">
        <v>955</v>
      </c>
      <c r="C5815" s="5" t="s">
        <v>958</v>
      </c>
      <c r="D5815" s="2" t="s">
        <v>1019</v>
      </c>
    </row>
    <row r="5816" spans="1:4" ht="13.05" customHeight="1" x14ac:dyDescent="0.3">
      <c r="A5816" s="2" t="s">
        <v>923</v>
      </c>
      <c r="B5816" s="2" t="s">
        <v>955</v>
      </c>
      <c r="C5816" s="5" t="s">
        <v>960</v>
      </c>
      <c r="D5816" s="2" t="s">
        <v>961</v>
      </c>
    </row>
    <row r="5817" spans="1:4" ht="13.05" customHeight="1" x14ac:dyDescent="0.3">
      <c r="A5817" s="2" t="s">
        <v>926</v>
      </c>
      <c r="B5817" s="2" t="s">
        <v>955</v>
      </c>
      <c r="C5817" s="5" t="s">
        <v>974</v>
      </c>
      <c r="D5817" s="2" t="s">
        <v>975</v>
      </c>
    </row>
    <row r="5818" spans="1:4" ht="13.05" customHeight="1" x14ac:dyDescent="0.3">
      <c r="A5818" s="2" t="s">
        <v>926</v>
      </c>
      <c r="B5818" s="2" t="s">
        <v>955</v>
      </c>
      <c r="C5818" s="5" t="s">
        <v>956</v>
      </c>
      <c r="D5818" s="2" t="s">
        <v>957</v>
      </c>
    </row>
    <row r="5819" spans="1:4" ht="13.05" customHeight="1" x14ac:dyDescent="0.3">
      <c r="A5819" s="2" t="s">
        <v>926</v>
      </c>
      <c r="B5819" s="2" t="s">
        <v>955</v>
      </c>
      <c r="C5819" s="5" t="s">
        <v>958</v>
      </c>
      <c r="D5819" s="2" t="s">
        <v>959</v>
      </c>
    </row>
    <row r="5820" spans="1:4" ht="13.05" customHeight="1" x14ac:dyDescent="0.3">
      <c r="A5820" s="2" t="s">
        <v>926</v>
      </c>
      <c r="B5820" s="2" t="s">
        <v>955</v>
      </c>
      <c r="C5820" s="5" t="s">
        <v>960</v>
      </c>
      <c r="D5820" s="2" t="s">
        <v>961</v>
      </c>
    </row>
    <row r="5821" spans="1:4" ht="13.05" customHeight="1" x14ac:dyDescent="0.3">
      <c r="A5821" s="2" t="s">
        <v>926</v>
      </c>
      <c r="B5821" s="2" t="s">
        <v>955</v>
      </c>
      <c r="C5821" s="5" t="s">
        <v>962</v>
      </c>
      <c r="D5821" s="2" t="s">
        <v>827</v>
      </c>
    </row>
    <row r="5822" spans="1:4" ht="13.05" customHeight="1" x14ac:dyDescent="0.3">
      <c r="A5822" s="2" t="s">
        <v>926</v>
      </c>
      <c r="B5822" s="2" t="s">
        <v>955</v>
      </c>
      <c r="C5822" s="5" t="s">
        <v>964</v>
      </c>
      <c r="D5822" s="2" t="s">
        <v>979</v>
      </c>
    </row>
    <row r="5823" spans="1:4" ht="13.05" customHeight="1" x14ac:dyDescent="0.3">
      <c r="A5823" s="2" t="s">
        <v>926</v>
      </c>
      <c r="B5823" s="2" t="s">
        <v>955</v>
      </c>
      <c r="C5823" s="5" t="s">
        <v>966</v>
      </c>
      <c r="D5823" s="2" t="s">
        <v>6020</v>
      </c>
    </row>
    <row r="5824" spans="1:4" ht="13.05" customHeight="1" x14ac:dyDescent="0.3">
      <c r="A5824" s="2" t="s">
        <v>926</v>
      </c>
      <c r="B5824" s="2" t="s">
        <v>955</v>
      </c>
      <c r="C5824" s="5" t="s">
        <v>968</v>
      </c>
      <c r="D5824" s="2" t="s">
        <v>6021</v>
      </c>
    </row>
    <row r="5825" spans="1:4" ht="13.05" customHeight="1" x14ac:dyDescent="0.3">
      <c r="A5825" s="2" t="s">
        <v>926</v>
      </c>
      <c r="B5825" s="2" t="s">
        <v>955</v>
      </c>
      <c r="C5825" s="5" t="s">
        <v>970</v>
      </c>
      <c r="D5825" s="2" t="s">
        <v>6042</v>
      </c>
    </row>
    <row r="5826" spans="1:4" ht="13.05" customHeight="1" x14ac:dyDescent="0.3">
      <c r="A5826" s="2" t="s">
        <v>926</v>
      </c>
      <c r="B5826" s="2" t="s">
        <v>955</v>
      </c>
      <c r="C5826" s="5" t="s">
        <v>972</v>
      </c>
      <c r="D5826" s="2" t="s">
        <v>6022</v>
      </c>
    </row>
    <row r="5827" spans="1:4" ht="13.05" customHeight="1" x14ac:dyDescent="0.3">
      <c r="A5827" s="2" t="s">
        <v>926</v>
      </c>
      <c r="B5827" s="2" t="s">
        <v>955</v>
      </c>
      <c r="C5827" s="5" t="s">
        <v>981</v>
      </c>
      <c r="D5827" s="2" t="s">
        <v>6023</v>
      </c>
    </row>
    <row r="5828" spans="1:4" ht="13.05" customHeight="1" x14ac:dyDescent="0.3">
      <c r="A5828" s="2" t="s">
        <v>926</v>
      </c>
      <c r="B5828" s="2" t="s">
        <v>955</v>
      </c>
      <c r="C5828" s="5" t="s">
        <v>991</v>
      </c>
      <c r="D5828" s="2" t="s">
        <v>6024</v>
      </c>
    </row>
    <row r="5829" spans="1:4" ht="13.05" customHeight="1" x14ac:dyDescent="0.3">
      <c r="A5829" s="2" t="s">
        <v>926</v>
      </c>
      <c r="B5829" s="2" t="s">
        <v>955</v>
      </c>
      <c r="C5829" s="5" t="s">
        <v>993</v>
      </c>
      <c r="D5829" s="2" t="s">
        <v>6046</v>
      </c>
    </row>
    <row r="5830" spans="1:4" ht="13.05" customHeight="1" x14ac:dyDescent="0.3">
      <c r="A5830" s="2" t="s">
        <v>926</v>
      </c>
      <c r="B5830" s="2" t="s">
        <v>955</v>
      </c>
      <c r="C5830" s="5" t="s">
        <v>995</v>
      </c>
      <c r="D5830" s="2" t="s">
        <v>6026</v>
      </c>
    </row>
    <row r="5831" spans="1:4" ht="13.05" customHeight="1" x14ac:dyDescent="0.3">
      <c r="A5831" s="2" t="s">
        <v>926</v>
      </c>
      <c r="B5831" s="2" t="s">
        <v>955</v>
      </c>
      <c r="C5831" s="5" t="s">
        <v>997</v>
      </c>
      <c r="D5831" s="2" t="s">
        <v>6048</v>
      </c>
    </row>
    <row r="5832" spans="1:4" ht="13.05" customHeight="1" x14ac:dyDescent="0.3">
      <c r="A5832" s="2" t="s">
        <v>926</v>
      </c>
      <c r="B5832" s="2" t="s">
        <v>955</v>
      </c>
      <c r="C5832" s="5" t="s">
        <v>999</v>
      </c>
      <c r="D5832" s="2" t="s">
        <v>6028</v>
      </c>
    </row>
    <row r="5833" spans="1:4" ht="13.05" customHeight="1" x14ac:dyDescent="0.3">
      <c r="A5833" s="2" t="s">
        <v>926</v>
      </c>
      <c r="B5833" s="2" t="s">
        <v>955</v>
      </c>
      <c r="C5833" s="5" t="s">
        <v>1001</v>
      </c>
      <c r="D5833" s="2" t="s">
        <v>6049</v>
      </c>
    </row>
    <row r="5834" spans="1:4" ht="13.05" customHeight="1" x14ac:dyDescent="0.3">
      <c r="A5834" s="2" t="s">
        <v>926</v>
      </c>
      <c r="B5834" s="2" t="s">
        <v>955</v>
      </c>
      <c r="C5834" s="5" t="s">
        <v>1003</v>
      </c>
      <c r="D5834" s="2" t="s">
        <v>6166</v>
      </c>
    </row>
    <row r="5835" spans="1:4" ht="13.05" customHeight="1" x14ac:dyDescent="0.3">
      <c r="A5835" s="2" t="s">
        <v>926</v>
      </c>
      <c r="B5835" s="2" t="s">
        <v>955</v>
      </c>
      <c r="C5835" s="5" t="s">
        <v>1005</v>
      </c>
      <c r="D5835" s="2" t="s">
        <v>6031</v>
      </c>
    </row>
    <row r="5836" spans="1:4" ht="13.05" customHeight="1" x14ac:dyDescent="0.3">
      <c r="A5836" s="2" t="s">
        <v>926</v>
      </c>
      <c r="B5836" s="2" t="s">
        <v>955</v>
      </c>
      <c r="C5836" s="5" t="s">
        <v>1007</v>
      </c>
      <c r="D5836" s="2" t="s">
        <v>6050</v>
      </c>
    </row>
    <row r="5837" spans="1:4" ht="13.05" customHeight="1" x14ac:dyDescent="0.3">
      <c r="A5837" s="2" t="s">
        <v>926</v>
      </c>
      <c r="B5837" s="2" t="s">
        <v>955</v>
      </c>
      <c r="C5837" s="5" t="s">
        <v>1009</v>
      </c>
      <c r="D5837" s="2" t="s">
        <v>6033</v>
      </c>
    </row>
    <row r="5838" spans="1:4" ht="13.05" customHeight="1" x14ac:dyDescent="0.3">
      <c r="A5838" s="2" t="s">
        <v>926</v>
      </c>
      <c r="B5838" s="2" t="s">
        <v>955</v>
      </c>
      <c r="C5838" s="5" t="s">
        <v>1011</v>
      </c>
      <c r="D5838" s="2" t="s">
        <v>978</v>
      </c>
    </row>
    <row r="5839" spans="1:4" ht="13.05" customHeight="1" x14ac:dyDescent="0.3">
      <c r="A5839" s="2" t="s">
        <v>926</v>
      </c>
      <c r="B5839" s="2" t="s">
        <v>955</v>
      </c>
      <c r="C5839" s="5" t="s">
        <v>1013</v>
      </c>
      <c r="D5839" s="2" t="s">
        <v>6035</v>
      </c>
    </row>
    <row r="5840" spans="1:4" ht="13.05" customHeight="1" x14ac:dyDescent="0.3">
      <c r="A5840" s="2" t="s">
        <v>926</v>
      </c>
      <c r="B5840" s="2" t="s">
        <v>955</v>
      </c>
      <c r="C5840" s="5" t="s">
        <v>1155</v>
      </c>
      <c r="D5840" s="2" t="s">
        <v>6036</v>
      </c>
    </row>
    <row r="5841" spans="1:4" ht="13.05" customHeight="1" x14ac:dyDescent="0.3">
      <c r="A5841" s="2" t="s">
        <v>926</v>
      </c>
      <c r="B5841" s="2" t="s">
        <v>955</v>
      </c>
      <c r="C5841" s="5" t="s">
        <v>983</v>
      </c>
      <c r="D5841" s="2" t="s">
        <v>984</v>
      </c>
    </row>
    <row r="5842" spans="1:4" ht="13.05" customHeight="1" x14ac:dyDescent="0.3">
      <c r="A5842" s="2" t="s">
        <v>929</v>
      </c>
      <c r="B5842" s="2" t="s">
        <v>955</v>
      </c>
      <c r="C5842" s="5" t="s">
        <v>960</v>
      </c>
      <c r="D5842" s="2" t="s">
        <v>961</v>
      </c>
    </row>
    <row r="5843" spans="1:4" ht="13.05" customHeight="1" x14ac:dyDescent="0.3">
      <c r="A5843" s="2" t="s">
        <v>932</v>
      </c>
      <c r="B5843" s="2" t="s">
        <v>955</v>
      </c>
      <c r="C5843" s="5" t="s">
        <v>974</v>
      </c>
      <c r="D5843" s="2" t="s">
        <v>975</v>
      </c>
    </row>
    <row r="5844" spans="1:4" ht="13.05" customHeight="1" x14ac:dyDescent="0.3">
      <c r="A5844" s="2" t="s">
        <v>932</v>
      </c>
      <c r="B5844" s="2" t="s">
        <v>955</v>
      </c>
      <c r="C5844" s="5" t="s">
        <v>956</v>
      </c>
      <c r="D5844" s="2" t="s">
        <v>957</v>
      </c>
    </row>
    <row r="5845" spans="1:4" ht="13.05" customHeight="1" x14ac:dyDescent="0.3">
      <c r="A5845" s="2" t="s">
        <v>932</v>
      </c>
      <c r="B5845" s="2" t="s">
        <v>955</v>
      </c>
      <c r="C5845" s="5" t="s">
        <v>958</v>
      </c>
      <c r="D5845" s="2" t="s">
        <v>959</v>
      </c>
    </row>
    <row r="5846" spans="1:4" ht="13.05" customHeight="1" x14ac:dyDescent="0.3">
      <c r="A5846" s="2" t="s">
        <v>932</v>
      </c>
      <c r="B5846" s="2" t="s">
        <v>955</v>
      </c>
      <c r="C5846" s="5" t="s">
        <v>960</v>
      </c>
      <c r="D5846" s="2" t="s">
        <v>961</v>
      </c>
    </row>
    <row r="5847" spans="1:4" ht="13.05" customHeight="1" x14ac:dyDescent="0.3">
      <c r="A5847" s="2" t="s">
        <v>932</v>
      </c>
      <c r="B5847" s="2" t="s">
        <v>955</v>
      </c>
      <c r="C5847" s="5" t="s">
        <v>1152</v>
      </c>
      <c r="D5847" s="2" t="s">
        <v>1037</v>
      </c>
    </row>
    <row r="5848" spans="1:4" ht="13.05" customHeight="1" x14ac:dyDescent="0.3">
      <c r="A5848" s="2" t="s">
        <v>932</v>
      </c>
      <c r="B5848" s="2" t="s">
        <v>955</v>
      </c>
      <c r="C5848" s="5" t="s">
        <v>962</v>
      </c>
      <c r="D5848" s="2" t="s">
        <v>3213</v>
      </c>
    </row>
    <row r="5849" spans="1:4" ht="13.05" customHeight="1" x14ac:dyDescent="0.3">
      <c r="A5849" s="2" t="s">
        <v>932</v>
      </c>
      <c r="B5849" s="2" t="s">
        <v>955</v>
      </c>
      <c r="C5849" s="5" t="s">
        <v>964</v>
      </c>
      <c r="D5849" s="2" t="s">
        <v>3214</v>
      </c>
    </row>
    <row r="5850" spans="1:4" ht="13.05" customHeight="1" x14ac:dyDescent="0.3">
      <c r="A5850" s="2" t="s">
        <v>932</v>
      </c>
      <c r="B5850" s="2" t="s">
        <v>955</v>
      </c>
      <c r="C5850" s="5" t="s">
        <v>966</v>
      </c>
      <c r="D5850" s="2" t="s">
        <v>3215</v>
      </c>
    </row>
    <row r="5851" spans="1:4" ht="13.05" customHeight="1" x14ac:dyDescent="0.3">
      <c r="A5851" s="2" t="s">
        <v>932</v>
      </c>
      <c r="B5851" s="2" t="s">
        <v>955</v>
      </c>
      <c r="C5851" s="5" t="s">
        <v>968</v>
      </c>
      <c r="D5851" s="2" t="s">
        <v>3216</v>
      </c>
    </row>
    <row r="5852" spans="1:4" ht="13.05" customHeight="1" x14ac:dyDescent="0.3">
      <c r="A5852" s="2" t="s">
        <v>932</v>
      </c>
      <c r="B5852" s="2" t="s">
        <v>955</v>
      </c>
      <c r="C5852" s="5" t="s">
        <v>970</v>
      </c>
      <c r="D5852" s="2" t="s">
        <v>3217</v>
      </c>
    </row>
    <row r="5853" spans="1:4" ht="13.05" customHeight="1" x14ac:dyDescent="0.3">
      <c r="A5853" s="2" t="s">
        <v>932</v>
      </c>
      <c r="B5853" s="2" t="s">
        <v>955</v>
      </c>
      <c r="C5853" s="5" t="s">
        <v>972</v>
      </c>
      <c r="D5853" s="2" t="s">
        <v>3218</v>
      </c>
    </row>
    <row r="5854" spans="1:4" ht="13.05" customHeight="1" x14ac:dyDescent="0.3">
      <c r="A5854" s="2" t="s">
        <v>932</v>
      </c>
      <c r="B5854" s="2" t="s">
        <v>955</v>
      </c>
      <c r="C5854" s="5" t="s">
        <v>981</v>
      </c>
      <c r="D5854" s="2" t="s">
        <v>3219</v>
      </c>
    </row>
    <row r="5855" spans="1:4" ht="13.05" customHeight="1" x14ac:dyDescent="0.3">
      <c r="A5855" s="2" t="s">
        <v>932</v>
      </c>
      <c r="B5855" s="2" t="s">
        <v>955</v>
      </c>
      <c r="C5855" s="5" t="s">
        <v>991</v>
      </c>
      <c r="D5855" s="2" t="s">
        <v>3220</v>
      </c>
    </row>
    <row r="5856" spans="1:4" ht="13.05" customHeight="1" x14ac:dyDescent="0.3">
      <c r="A5856" s="2" t="s">
        <v>932</v>
      </c>
      <c r="B5856" s="2" t="s">
        <v>955</v>
      </c>
      <c r="C5856" s="5" t="s">
        <v>983</v>
      </c>
      <c r="D5856" s="2" t="s">
        <v>1015</v>
      </c>
    </row>
    <row r="5857" spans="1:4" ht="13.05" customHeight="1" x14ac:dyDescent="0.3">
      <c r="A5857" s="2" t="s">
        <v>934</v>
      </c>
      <c r="B5857" s="2" t="s">
        <v>955</v>
      </c>
      <c r="C5857" s="5" t="s">
        <v>974</v>
      </c>
      <c r="D5857" s="2" t="s">
        <v>975</v>
      </c>
    </row>
    <row r="5858" spans="1:4" ht="13.05" customHeight="1" x14ac:dyDescent="0.3">
      <c r="A5858" s="2" t="s">
        <v>934</v>
      </c>
      <c r="B5858" s="2" t="s">
        <v>955</v>
      </c>
      <c r="C5858" s="5" t="s">
        <v>956</v>
      </c>
      <c r="D5858" s="2" t="s">
        <v>957</v>
      </c>
    </row>
    <row r="5859" spans="1:4" ht="13.05" customHeight="1" x14ac:dyDescent="0.3">
      <c r="A5859" s="2" t="s">
        <v>934</v>
      </c>
      <c r="B5859" s="2" t="s">
        <v>955</v>
      </c>
      <c r="C5859" s="5" t="s">
        <v>958</v>
      </c>
      <c r="D5859" s="2" t="s">
        <v>959</v>
      </c>
    </row>
    <row r="5860" spans="1:4" ht="13.05" customHeight="1" x14ac:dyDescent="0.3">
      <c r="A5860" s="2" t="s">
        <v>934</v>
      </c>
      <c r="B5860" s="2" t="s">
        <v>955</v>
      </c>
      <c r="C5860" s="5" t="s">
        <v>960</v>
      </c>
      <c r="D5860" s="2" t="s">
        <v>961</v>
      </c>
    </row>
    <row r="5861" spans="1:4" ht="13.05" customHeight="1" x14ac:dyDescent="0.3">
      <c r="A5861" s="2" t="s">
        <v>934</v>
      </c>
      <c r="B5861" s="2" t="s">
        <v>955</v>
      </c>
      <c r="C5861" s="5" t="s">
        <v>1152</v>
      </c>
      <c r="D5861" s="2" t="s">
        <v>1037</v>
      </c>
    </row>
    <row r="5862" spans="1:4" ht="13.05" customHeight="1" x14ac:dyDescent="0.3">
      <c r="A5862" s="2" t="s">
        <v>934</v>
      </c>
      <c r="B5862" s="2" t="s">
        <v>955</v>
      </c>
      <c r="C5862" s="5" t="s">
        <v>962</v>
      </c>
      <c r="D5862" s="2" t="s">
        <v>3213</v>
      </c>
    </row>
    <row r="5863" spans="1:4" ht="13.05" customHeight="1" x14ac:dyDescent="0.3">
      <c r="A5863" s="2" t="s">
        <v>934</v>
      </c>
      <c r="B5863" s="2" t="s">
        <v>955</v>
      </c>
      <c r="C5863" s="5" t="s">
        <v>964</v>
      </c>
      <c r="D5863" s="2" t="s">
        <v>3214</v>
      </c>
    </row>
    <row r="5864" spans="1:4" ht="13.05" customHeight="1" x14ac:dyDescent="0.3">
      <c r="A5864" s="2" t="s">
        <v>934</v>
      </c>
      <c r="B5864" s="2" t="s">
        <v>955</v>
      </c>
      <c r="C5864" s="5" t="s">
        <v>966</v>
      </c>
      <c r="D5864" s="2" t="s">
        <v>3215</v>
      </c>
    </row>
    <row r="5865" spans="1:4" ht="13.05" customHeight="1" x14ac:dyDescent="0.3">
      <c r="A5865" s="2" t="s">
        <v>934</v>
      </c>
      <c r="B5865" s="2" t="s">
        <v>955</v>
      </c>
      <c r="C5865" s="5" t="s">
        <v>968</v>
      </c>
      <c r="D5865" s="2" t="s">
        <v>3216</v>
      </c>
    </row>
    <row r="5866" spans="1:4" ht="13.05" customHeight="1" x14ac:dyDescent="0.3">
      <c r="A5866" s="2" t="s">
        <v>934</v>
      </c>
      <c r="B5866" s="2" t="s">
        <v>955</v>
      </c>
      <c r="C5866" s="5" t="s">
        <v>970</v>
      </c>
      <c r="D5866" s="2" t="s">
        <v>3217</v>
      </c>
    </row>
    <row r="5867" spans="1:4" ht="13.05" customHeight="1" x14ac:dyDescent="0.3">
      <c r="A5867" s="2" t="s">
        <v>934</v>
      </c>
      <c r="B5867" s="2" t="s">
        <v>955</v>
      </c>
      <c r="C5867" s="5" t="s">
        <v>972</v>
      </c>
      <c r="D5867" s="2" t="s">
        <v>3218</v>
      </c>
    </row>
    <row r="5868" spans="1:4" ht="13.05" customHeight="1" x14ac:dyDescent="0.3">
      <c r="A5868" s="2" t="s">
        <v>934</v>
      </c>
      <c r="B5868" s="2" t="s">
        <v>955</v>
      </c>
      <c r="C5868" s="5" t="s">
        <v>981</v>
      </c>
      <c r="D5868" s="2" t="s">
        <v>3219</v>
      </c>
    </row>
    <row r="5869" spans="1:4" ht="13.05" customHeight="1" x14ac:dyDescent="0.3">
      <c r="A5869" s="2" t="s">
        <v>934</v>
      </c>
      <c r="B5869" s="2" t="s">
        <v>955</v>
      </c>
      <c r="C5869" s="5" t="s">
        <v>991</v>
      </c>
      <c r="D5869" s="2" t="s">
        <v>3220</v>
      </c>
    </row>
    <row r="5870" spans="1:4" ht="13.05" customHeight="1" x14ac:dyDescent="0.3">
      <c r="A5870" s="2" t="s">
        <v>934</v>
      </c>
      <c r="B5870" s="2" t="s">
        <v>955</v>
      </c>
      <c r="C5870" s="5" t="s">
        <v>983</v>
      </c>
      <c r="D5870" s="2" t="s">
        <v>1015</v>
      </c>
    </row>
    <row r="5871" spans="1:4" ht="13.05" customHeight="1" x14ac:dyDescent="0.3">
      <c r="A5871" s="2" t="s">
        <v>936</v>
      </c>
      <c r="B5871" s="2" t="s">
        <v>955</v>
      </c>
      <c r="C5871" s="5" t="s">
        <v>974</v>
      </c>
      <c r="D5871" s="2" t="s">
        <v>975</v>
      </c>
    </row>
    <row r="5872" spans="1:4" ht="13.05" customHeight="1" x14ac:dyDescent="0.3">
      <c r="A5872" s="2" t="s">
        <v>936</v>
      </c>
      <c r="B5872" s="2" t="s">
        <v>955</v>
      </c>
      <c r="C5872" s="5" t="s">
        <v>956</v>
      </c>
      <c r="D5872" s="2" t="s">
        <v>957</v>
      </c>
    </row>
    <row r="5873" spans="1:4" ht="13.05" customHeight="1" x14ac:dyDescent="0.3">
      <c r="A5873" s="2" t="s">
        <v>936</v>
      </c>
      <c r="B5873" s="2" t="s">
        <v>955</v>
      </c>
      <c r="C5873" s="5" t="s">
        <v>958</v>
      </c>
      <c r="D5873" s="2" t="s">
        <v>959</v>
      </c>
    </row>
    <row r="5874" spans="1:4" ht="13.05" customHeight="1" x14ac:dyDescent="0.3">
      <c r="A5874" s="2" t="s">
        <v>936</v>
      </c>
      <c r="B5874" s="2" t="s">
        <v>955</v>
      </c>
      <c r="C5874" s="5" t="s">
        <v>960</v>
      </c>
      <c r="D5874" s="2" t="s">
        <v>961</v>
      </c>
    </row>
    <row r="5875" spans="1:4" ht="13.05" customHeight="1" x14ac:dyDescent="0.3">
      <c r="A5875" s="2" t="s">
        <v>936</v>
      </c>
      <c r="B5875" s="2" t="s">
        <v>955</v>
      </c>
      <c r="C5875" s="5" t="s">
        <v>1152</v>
      </c>
      <c r="D5875" s="2" t="s">
        <v>1037</v>
      </c>
    </row>
    <row r="5876" spans="1:4" ht="13.05" customHeight="1" x14ac:dyDescent="0.3">
      <c r="A5876" s="2" t="s">
        <v>936</v>
      </c>
      <c r="B5876" s="2" t="s">
        <v>955</v>
      </c>
      <c r="C5876" s="5" t="s">
        <v>962</v>
      </c>
      <c r="D5876" s="2" t="s">
        <v>3213</v>
      </c>
    </row>
    <row r="5877" spans="1:4" ht="13.05" customHeight="1" x14ac:dyDescent="0.3">
      <c r="A5877" s="2" t="s">
        <v>936</v>
      </c>
      <c r="B5877" s="2" t="s">
        <v>955</v>
      </c>
      <c r="C5877" s="5" t="s">
        <v>964</v>
      </c>
      <c r="D5877" s="2" t="s">
        <v>3214</v>
      </c>
    </row>
    <row r="5878" spans="1:4" ht="13.05" customHeight="1" x14ac:dyDescent="0.3">
      <c r="A5878" s="2" t="s">
        <v>936</v>
      </c>
      <c r="B5878" s="2" t="s">
        <v>955</v>
      </c>
      <c r="C5878" s="5" t="s">
        <v>966</v>
      </c>
      <c r="D5878" s="2" t="s">
        <v>3215</v>
      </c>
    </row>
    <row r="5879" spans="1:4" ht="13.05" customHeight="1" x14ac:dyDescent="0.3">
      <c r="A5879" s="2" t="s">
        <v>936</v>
      </c>
      <c r="B5879" s="2" t="s">
        <v>955</v>
      </c>
      <c r="C5879" s="5" t="s">
        <v>968</v>
      </c>
      <c r="D5879" s="2" t="s">
        <v>3216</v>
      </c>
    </row>
    <row r="5880" spans="1:4" ht="13.05" customHeight="1" x14ac:dyDescent="0.3">
      <c r="A5880" s="2" t="s">
        <v>936</v>
      </c>
      <c r="B5880" s="2" t="s">
        <v>955</v>
      </c>
      <c r="C5880" s="5" t="s">
        <v>970</v>
      </c>
      <c r="D5880" s="2" t="s">
        <v>3217</v>
      </c>
    </row>
    <row r="5881" spans="1:4" ht="13.05" customHeight="1" x14ac:dyDescent="0.3">
      <c r="A5881" s="2" t="s">
        <v>936</v>
      </c>
      <c r="B5881" s="2" t="s">
        <v>955</v>
      </c>
      <c r="C5881" s="5" t="s">
        <v>972</v>
      </c>
      <c r="D5881" s="2" t="s">
        <v>3218</v>
      </c>
    </row>
    <row r="5882" spans="1:4" ht="13.05" customHeight="1" x14ac:dyDescent="0.3">
      <c r="A5882" s="2" t="s">
        <v>936</v>
      </c>
      <c r="B5882" s="2" t="s">
        <v>955</v>
      </c>
      <c r="C5882" s="5" t="s">
        <v>981</v>
      </c>
      <c r="D5882" s="2" t="s">
        <v>3219</v>
      </c>
    </row>
    <row r="5883" spans="1:4" ht="13.05" customHeight="1" x14ac:dyDescent="0.3">
      <c r="A5883" s="2" t="s">
        <v>936</v>
      </c>
      <c r="B5883" s="2" t="s">
        <v>955</v>
      </c>
      <c r="C5883" s="5" t="s">
        <v>991</v>
      </c>
      <c r="D5883" s="2" t="s">
        <v>3220</v>
      </c>
    </row>
    <row r="5884" spans="1:4" ht="13.05" customHeight="1" x14ac:dyDescent="0.3">
      <c r="A5884" s="2" t="s">
        <v>936</v>
      </c>
      <c r="B5884" s="2" t="s">
        <v>955</v>
      </c>
      <c r="C5884" s="5" t="s">
        <v>983</v>
      </c>
      <c r="D5884" s="2" t="s">
        <v>1015</v>
      </c>
    </row>
    <row r="5885" spans="1:4" ht="13.05" customHeight="1" x14ac:dyDescent="0.3">
      <c r="A5885" s="2" t="s">
        <v>938</v>
      </c>
      <c r="B5885" s="2" t="s">
        <v>955</v>
      </c>
      <c r="C5885" s="5" t="s">
        <v>974</v>
      </c>
      <c r="D5885" s="2" t="s">
        <v>975</v>
      </c>
    </row>
    <row r="5886" spans="1:4" ht="13.05" customHeight="1" x14ac:dyDescent="0.3">
      <c r="A5886" s="2" t="s">
        <v>938</v>
      </c>
      <c r="B5886" s="2" t="s">
        <v>955</v>
      </c>
      <c r="C5886" s="5" t="s">
        <v>956</v>
      </c>
      <c r="D5886" s="2" t="s">
        <v>957</v>
      </c>
    </row>
    <row r="5887" spans="1:4" ht="13.05" customHeight="1" x14ac:dyDescent="0.3">
      <c r="A5887" s="2" t="s">
        <v>938</v>
      </c>
      <c r="B5887" s="2" t="s">
        <v>955</v>
      </c>
      <c r="C5887" s="5" t="s">
        <v>958</v>
      </c>
      <c r="D5887" s="2" t="s">
        <v>959</v>
      </c>
    </row>
    <row r="5888" spans="1:4" ht="13.05" customHeight="1" x14ac:dyDescent="0.3">
      <c r="A5888" s="2" t="s">
        <v>938</v>
      </c>
      <c r="B5888" s="2" t="s">
        <v>955</v>
      </c>
      <c r="C5888" s="5" t="s">
        <v>960</v>
      </c>
      <c r="D5888" s="2" t="s">
        <v>961</v>
      </c>
    </row>
    <row r="5889" spans="1:4" ht="13.05" customHeight="1" x14ac:dyDescent="0.3">
      <c r="A5889" s="2" t="s">
        <v>938</v>
      </c>
      <c r="B5889" s="2" t="s">
        <v>955</v>
      </c>
      <c r="C5889" s="5" t="s">
        <v>962</v>
      </c>
      <c r="D5889" s="2" t="s">
        <v>1141</v>
      </c>
    </row>
    <row r="5890" spans="1:4" ht="13.05" customHeight="1" x14ac:dyDescent="0.3">
      <c r="A5890" s="2" t="s">
        <v>938</v>
      </c>
      <c r="B5890" s="2" t="s">
        <v>955</v>
      </c>
      <c r="C5890" s="5" t="s">
        <v>964</v>
      </c>
      <c r="D5890" s="2" t="s">
        <v>1142</v>
      </c>
    </row>
    <row r="5891" spans="1:4" ht="13.05" customHeight="1" x14ac:dyDescent="0.3">
      <c r="A5891" s="2" t="s">
        <v>938</v>
      </c>
      <c r="B5891" s="2" t="s">
        <v>955</v>
      </c>
      <c r="C5891" s="5" t="s">
        <v>966</v>
      </c>
      <c r="D5891" s="2" t="s">
        <v>1143</v>
      </c>
    </row>
    <row r="5892" spans="1:4" ht="13.05" customHeight="1" x14ac:dyDescent="0.3">
      <c r="A5892" s="2" t="s">
        <v>938</v>
      </c>
      <c r="B5892" s="2" t="s">
        <v>955</v>
      </c>
      <c r="C5892" s="5" t="s">
        <v>968</v>
      </c>
      <c r="D5892" s="2" t="s">
        <v>1144</v>
      </c>
    </row>
    <row r="5893" spans="1:4" ht="13.05" customHeight="1" x14ac:dyDescent="0.3">
      <c r="A5893" s="2" t="s">
        <v>938</v>
      </c>
      <c r="B5893" s="2" t="s">
        <v>955</v>
      </c>
      <c r="C5893" s="5" t="s">
        <v>970</v>
      </c>
      <c r="D5893" s="2" t="s">
        <v>6109</v>
      </c>
    </row>
    <row r="5894" spans="1:4" ht="13.05" customHeight="1" x14ac:dyDescent="0.3">
      <c r="A5894" s="2" t="s">
        <v>940</v>
      </c>
      <c r="B5894" s="2" t="s">
        <v>955</v>
      </c>
      <c r="C5894" s="5" t="s">
        <v>1146</v>
      </c>
      <c r="D5894" s="2" t="s">
        <v>957</v>
      </c>
    </row>
    <row r="5895" spans="1:4" ht="13.05" customHeight="1" x14ac:dyDescent="0.3">
      <c r="A5895" s="2" t="s">
        <v>940</v>
      </c>
      <c r="B5895" s="2" t="s">
        <v>955</v>
      </c>
      <c r="C5895" s="5" t="s">
        <v>1147</v>
      </c>
      <c r="D5895" s="2" t="s">
        <v>1019</v>
      </c>
    </row>
    <row r="5896" spans="1:4" ht="13.05" customHeight="1" x14ac:dyDescent="0.3">
      <c r="A5896" s="2" t="s">
        <v>940</v>
      </c>
      <c r="B5896" s="2" t="s">
        <v>955</v>
      </c>
      <c r="C5896" s="5" t="s">
        <v>974</v>
      </c>
      <c r="D5896" s="2" t="s">
        <v>975</v>
      </c>
    </row>
    <row r="5897" spans="1:4" ht="13.05" customHeight="1" x14ac:dyDescent="0.3">
      <c r="A5897" s="2" t="s">
        <v>940</v>
      </c>
      <c r="B5897" s="2" t="s">
        <v>955</v>
      </c>
      <c r="C5897" s="5" t="s">
        <v>956</v>
      </c>
      <c r="D5897" s="2" t="s">
        <v>1025</v>
      </c>
    </row>
    <row r="5898" spans="1:4" ht="13.05" customHeight="1" x14ac:dyDescent="0.3">
      <c r="A5898" s="2" t="s">
        <v>940</v>
      </c>
      <c r="B5898" s="2" t="s">
        <v>955</v>
      </c>
      <c r="C5898" s="5" t="s">
        <v>958</v>
      </c>
      <c r="D5898" s="2" t="s">
        <v>1019</v>
      </c>
    </row>
    <row r="5899" spans="1:4" ht="13.05" customHeight="1" x14ac:dyDescent="0.3">
      <c r="A5899" s="2" t="s">
        <v>940</v>
      </c>
      <c r="B5899" s="2" t="s">
        <v>955</v>
      </c>
      <c r="C5899" s="5" t="s">
        <v>960</v>
      </c>
      <c r="D5899" s="2" t="s">
        <v>961</v>
      </c>
    </row>
    <row r="5900" spans="1:4" ht="13.05" customHeight="1" x14ac:dyDescent="0.3">
      <c r="A5900" s="2" t="s">
        <v>945</v>
      </c>
      <c r="B5900" s="2" t="s">
        <v>955</v>
      </c>
      <c r="C5900" s="5" t="s">
        <v>974</v>
      </c>
      <c r="D5900" s="2" t="s">
        <v>975</v>
      </c>
    </row>
    <row r="5901" spans="1:4" ht="13.05" customHeight="1" x14ac:dyDescent="0.3">
      <c r="A5901" s="2" t="s">
        <v>945</v>
      </c>
      <c r="B5901" s="2" t="s">
        <v>955</v>
      </c>
      <c r="C5901" s="5" t="s">
        <v>956</v>
      </c>
      <c r="D5901" s="2" t="s">
        <v>957</v>
      </c>
    </row>
    <row r="5902" spans="1:4" ht="13.05" customHeight="1" x14ac:dyDescent="0.3">
      <c r="A5902" s="2" t="s">
        <v>945</v>
      </c>
      <c r="B5902" s="2" t="s">
        <v>955</v>
      </c>
      <c r="C5902" s="5" t="s">
        <v>958</v>
      </c>
      <c r="D5902" s="2" t="s">
        <v>959</v>
      </c>
    </row>
    <row r="5903" spans="1:4" ht="13.05" customHeight="1" x14ac:dyDescent="0.3">
      <c r="A5903" s="2" t="s">
        <v>945</v>
      </c>
      <c r="B5903" s="2" t="s">
        <v>955</v>
      </c>
      <c r="C5903" s="5" t="s">
        <v>960</v>
      </c>
      <c r="D5903" s="2" t="s">
        <v>961</v>
      </c>
    </row>
    <row r="5904" spans="1:4" ht="13.05" customHeight="1" x14ac:dyDescent="0.3">
      <c r="A5904" s="2" t="s">
        <v>948</v>
      </c>
      <c r="B5904" s="2" t="s">
        <v>955</v>
      </c>
      <c r="C5904" s="5" t="s">
        <v>956</v>
      </c>
      <c r="D5904" s="2" t="s">
        <v>957</v>
      </c>
    </row>
    <row r="5905" spans="1:4" ht="13.05" customHeight="1" x14ac:dyDescent="0.3">
      <c r="A5905" s="2" t="s">
        <v>948</v>
      </c>
      <c r="B5905" s="2" t="s">
        <v>955</v>
      </c>
      <c r="C5905" s="5" t="s">
        <v>958</v>
      </c>
      <c r="D5905" s="2" t="s">
        <v>959</v>
      </c>
    </row>
    <row r="5906" spans="1:4" ht="13.05" customHeight="1" x14ac:dyDescent="0.3">
      <c r="A5906" s="2" t="s">
        <v>948</v>
      </c>
      <c r="B5906" s="2" t="s">
        <v>955</v>
      </c>
      <c r="C5906" s="5" t="s">
        <v>960</v>
      </c>
      <c r="D5906" s="2" t="s">
        <v>961</v>
      </c>
    </row>
    <row r="5907" spans="1:4" ht="13.05" customHeight="1" x14ac:dyDescent="0.3">
      <c r="A5907" s="2" t="s">
        <v>948</v>
      </c>
      <c r="B5907" s="2" t="s">
        <v>955</v>
      </c>
      <c r="C5907" s="5" t="s">
        <v>962</v>
      </c>
      <c r="D5907" s="2" t="s">
        <v>6167</v>
      </c>
    </row>
    <row r="5908" spans="1:4" ht="13.05" customHeight="1" x14ac:dyDescent="0.3">
      <c r="A5908" s="2" t="s">
        <v>948</v>
      </c>
      <c r="B5908" s="2" t="s">
        <v>955</v>
      </c>
      <c r="C5908" s="5" t="s">
        <v>964</v>
      </c>
      <c r="D5908" s="2" t="s">
        <v>6168</v>
      </c>
    </row>
    <row r="5909" spans="1:4" ht="13.05" customHeight="1" x14ac:dyDescent="0.3">
      <c r="A5909" s="2" t="s">
        <v>948</v>
      </c>
      <c r="B5909" s="2" t="s">
        <v>955</v>
      </c>
      <c r="C5909" s="5" t="s">
        <v>966</v>
      </c>
      <c r="D5909" s="2" t="s">
        <v>6169</v>
      </c>
    </row>
    <row r="5910" spans="1:4" ht="13.05" customHeight="1" x14ac:dyDescent="0.3">
      <c r="A5910" s="2" t="s">
        <v>951</v>
      </c>
      <c r="B5910" s="2" t="s">
        <v>1038</v>
      </c>
      <c r="C5910" s="5" t="s">
        <v>974</v>
      </c>
      <c r="D5910" s="2" t="s">
        <v>975</v>
      </c>
    </row>
    <row r="5911" spans="1:4" ht="13.05" customHeight="1" x14ac:dyDescent="0.3">
      <c r="A5911" s="2" t="s">
        <v>951</v>
      </c>
      <c r="B5911" s="2" t="s">
        <v>1038</v>
      </c>
      <c r="C5911" s="5" t="s">
        <v>960</v>
      </c>
      <c r="D5911" s="2" t="s">
        <v>961</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heetViews>
  <sheetFormatPr defaultRowHeight="14.4" x14ac:dyDescent="0.3"/>
  <cols>
    <col min="1" max="1" width="13.6640625" customWidth="1"/>
    <col min="2" max="2" width="60.6640625" customWidth="1"/>
    <col min="3" max="3" width="25.6640625" customWidth="1"/>
    <col min="4" max="4" width="40.6640625" customWidth="1"/>
  </cols>
  <sheetData>
    <row r="1" spans="1:4" ht="30" customHeight="1" x14ac:dyDescent="0.3">
      <c r="A1" s="1" t="s">
        <v>0</v>
      </c>
      <c r="B1" s="1" t="s">
        <v>6170</v>
      </c>
      <c r="C1" s="1" t="s">
        <v>6171</v>
      </c>
      <c r="D1" s="1" t="s">
        <v>6172</v>
      </c>
    </row>
    <row r="2" spans="1:4" ht="76.05" customHeight="1" x14ac:dyDescent="0.3">
      <c r="A2" s="3" t="s">
        <v>1018</v>
      </c>
      <c r="B2" s="2" t="s">
        <v>6173</v>
      </c>
      <c r="C2" s="2" t="s">
        <v>273</v>
      </c>
      <c r="D2" s="2" t="s">
        <v>6174</v>
      </c>
    </row>
    <row r="3" spans="1:4" ht="76.05" customHeight="1" x14ac:dyDescent="0.3">
      <c r="A3" s="3" t="s">
        <v>955</v>
      </c>
      <c r="B3" s="2" t="s">
        <v>6175</v>
      </c>
      <c r="C3" s="2" t="s">
        <v>6176</v>
      </c>
      <c r="D3" s="2" t="s">
        <v>6177</v>
      </c>
    </row>
    <row r="4" spans="1:4" ht="76.05" customHeight="1" x14ac:dyDescent="0.3">
      <c r="A4" s="3" t="s">
        <v>985</v>
      </c>
      <c r="B4" s="2" t="s">
        <v>6178</v>
      </c>
      <c r="C4" s="2" t="s">
        <v>6179</v>
      </c>
      <c r="D4" s="2" t="s">
        <v>6180</v>
      </c>
    </row>
    <row r="5" spans="1:4" ht="76.05" customHeight="1" x14ac:dyDescent="0.3">
      <c r="A5" s="3" t="s">
        <v>1132</v>
      </c>
      <c r="B5" s="2" t="s">
        <v>6181</v>
      </c>
      <c r="C5" s="2" t="s">
        <v>6182</v>
      </c>
      <c r="D5" s="2" t="s">
        <v>6183</v>
      </c>
    </row>
    <row r="6" spans="1:4" ht="76.05" customHeight="1" x14ac:dyDescent="0.3">
      <c r="A6" s="3" t="s">
        <v>1038</v>
      </c>
      <c r="B6" s="2" t="s">
        <v>6184</v>
      </c>
      <c r="C6" s="2" t="s">
        <v>6185</v>
      </c>
      <c r="D6" s="2" t="s">
        <v>6186</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4"/>
  <sheetViews>
    <sheetView workbookViewId="0"/>
  </sheetViews>
  <sheetFormatPr defaultRowHeight="14.4" x14ac:dyDescent="0.3"/>
  <cols>
    <col min="1" max="1" width="25.6640625" customWidth="1"/>
    <col min="2" max="2" width="60.6640625" customWidth="1"/>
    <col min="3" max="4" width="25.6640625" customWidth="1"/>
  </cols>
  <sheetData>
    <row r="1" spans="1:4" x14ac:dyDescent="0.3">
      <c r="A1" s="3296" t="s">
        <v>6197</v>
      </c>
      <c r="B1" s="3296"/>
      <c r="C1" s="3296"/>
      <c r="D1" s="3296"/>
    </row>
    <row r="2" spans="1:4" ht="30" customHeight="1" x14ac:dyDescent="0.3">
      <c r="A2" s="1" t="s">
        <v>0</v>
      </c>
      <c r="B2" s="1" t="s">
        <v>6170</v>
      </c>
      <c r="C2" s="1" t="s">
        <v>6171</v>
      </c>
      <c r="D2" s="1" t="s">
        <v>6172</v>
      </c>
    </row>
    <row r="3" spans="1:4" ht="24" x14ac:dyDescent="0.3">
      <c r="A3" s="3" t="s">
        <v>6187</v>
      </c>
      <c r="B3" s="2" t="s">
        <v>6188</v>
      </c>
      <c r="C3" s="2" t="s">
        <v>273</v>
      </c>
      <c r="D3" s="2" t="s">
        <v>6189</v>
      </c>
    </row>
    <row r="4" spans="1:4" ht="24" x14ac:dyDescent="0.3">
      <c r="A4" s="3" t="s">
        <v>6190</v>
      </c>
      <c r="B4" s="2" t="s">
        <v>6191</v>
      </c>
      <c r="C4" s="2" t="s">
        <v>6176</v>
      </c>
      <c r="D4" s="2" t="s">
        <v>6192</v>
      </c>
    </row>
    <row r="5" spans="1:4" ht="24" x14ac:dyDescent="0.3">
      <c r="A5" s="3" t="s">
        <v>6193</v>
      </c>
      <c r="B5" s="2" t="s">
        <v>6194</v>
      </c>
      <c r="C5" s="2" t="s">
        <v>273</v>
      </c>
      <c r="D5" s="2" t="s">
        <v>6189</v>
      </c>
    </row>
    <row r="6" spans="1:4" ht="24" x14ac:dyDescent="0.3">
      <c r="A6" s="3" t="s">
        <v>6195</v>
      </c>
      <c r="B6" s="2" t="s">
        <v>6196</v>
      </c>
      <c r="C6" s="2" t="s">
        <v>6176</v>
      </c>
      <c r="D6" s="2" t="s">
        <v>6192</v>
      </c>
    </row>
    <row r="8" spans="1:4" x14ac:dyDescent="0.3">
      <c r="A8" s="3296" t="s">
        <v>6263</v>
      </c>
      <c r="B8" s="3296"/>
      <c r="C8" s="3296"/>
    </row>
    <row r="9" spans="1:4" ht="30" customHeight="1" x14ac:dyDescent="0.3">
      <c r="A9" s="1" t="s">
        <v>0</v>
      </c>
      <c r="B9" s="1" t="s">
        <v>6170</v>
      </c>
      <c r="C9" s="1" t="s">
        <v>6198</v>
      </c>
    </row>
    <row r="10" spans="1:4" x14ac:dyDescent="0.3">
      <c r="A10" s="3" t="s">
        <v>6199</v>
      </c>
      <c r="B10" s="2" t="s">
        <v>6200</v>
      </c>
      <c r="C10" s="2" t="s">
        <v>6193</v>
      </c>
    </row>
    <row r="11" spans="1:4" x14ac:dyDescent="0.3">
      <c r="A11" s="3" t="s">
        <v>6201</v>
      </c>
      <c r="B11" s="2" t="s">
        <v>6202</v>
      </c>
      <c r="C11" s="2" t="s">
        <v>6193</v>
      </c>
    </row>
    <row r="12" spans="1:4" x14ac:dyDescent="0.3">
      <c r="A12" s="3" t="s">
        <v>6203</v>
      </c>
      <c r="B12" s="2" t="s">
        <v>6204</v>
      </c>
      <c r="C12" s="2" t="s">
        <v>6193</v>
      </c>
    </row>
    <row r="13" spans="1:4" x14ac:dyDescent="0.3">
      <c r="A13" s="3" t="s">
        <v>273</v>
      </c>
      <c r="B13" s="2" t="s">
        <v>6205</v>
      </c>
      <c r="C13" s="2" t="s">
        <v>6193</v>
      </c>
    </row>
    <row r="14" spans="1:4" x14ac:dyDescent="0.3">
      <c r="A14" s="3" t="s">
        <v>6206</v>
      </c>
      <c r="B14" s="2" t="s">
        <v>6207</v>
      </c>
      <c r="C14" s="2" t="s">
        <v>6193</v>
      </c>
    </row>
    <row r="15" spans="1:4" x14ac:dyDescent="0.3">
      <c r="A15" s="3" t="s">
        <v>6208</v>
      </c>
      <c r="B15" s="2" t="s">
        <v>6209</v>
      </c>
      <c r="C15" s="2" t="s">
        <v>6193</v>
      </c>
    </row>
    <row r="16" spans="1:4" x14ac:dyDescent="0.3">
      <c r="A16" s="3" t="s">
        <v>6210</v>
      </c>
      <c r="B16" s="2" t="s">
        <v>6211</v>
      </c>
      <c r="C16" s="2" t="s">
        <v>6193</v>
      </c>
    </row>
    <row r="17" spans="1:3" x14ac:dyDescent="0.3">
      <c r="A17" s="3" t="s">
        <v>6212</v>
      </c>
      <c r="B17" s="2" t="s">
        <v>6213</v>
      </c>
      <c r="C17" s="2" t="s">
        <v>6193</v>
      </c>
    </row>
    <row r="18" spans="1:3" x14ac:dyDescent="0.3">
      <c r="A18" s="3" t="s">
        <v>6214</v>
      </c>
      <c r="B18" s="2" t="s">
        <v>6215</v>
      </c>
      <c r="C18" s="2" t="s">
        <v>6193</v>
      </c>
    </row>
    <row r="19" spans="1:3" x14ac:dyDescent="0.3">
      <c r="A19" s="3" t="s">
        <v>6216</v>
      </c>
      <c r="B19" s="2" t="s">
        <v>6217</v>
      </c>
      <c r="C19" s="2" t="s">
        <v>6193</v>
      </c>
    </row>
    <row r="20" spans="1:3" x14ac:dyDescent="0.3">
      <c r="A20" s="3" t="s">
        <v>6218</v>
      </c>
      <c r="B20" s="2" t="s">
        <v>6219</v>
      </c>
      <c r="C20" s="2" t="s">
        <v>6193</v>
      </c>
    </row>
    <row r="21" spans="1:3" x14ac:dyDescent="0.3">
      <c r="A21" s="3" t="s">
        <v>545</v>
      </c>
      <c r="B21" s="2" t="s">
        <v>546</v>
      </c>
      <c r="C21" s="2" t="s">
        <v>6193</v>
      </c>
    </row>
    <row r="22" spans="1:3" x14ac:dyDescent="0.3">
      <c r="A22" s="3" t="s">
        <v>6220</v>
      </c>
      <c r="B22" s="2" t="s">
        <v>6221</v>
      </c>
      <c r="C22" s="2" t="s">
        <v>6193</v>
      </c>
    </row>
    <row r="23" spans="1:3" x14ac:dyDescent="0.3">
      <c r="A23" s="3" t="s">
        <v>6222</v>
      </c>
      <c r="B23" s="2" t="s">
        <v>6223</v>
      </c>
      <c r="C23" s="2" t="s">
        <v>6193</v>
      </c>
    </row>
    <row r="24" spans="1:3" x14ac:dyDescent="0.3">
      <c r="A24" s="3" t="s">
        <v>6224</v>
      </c>
      <c r="B24" s="2" t="s">
        <v>6225</v>
      </c>
      <c r="C24" s="2" t="s">
        <v>6193</v>
      </c>
    </row>
    <row r="25" spans="1:3" x14ac:dyDescent="0.3">
      <c r="A25" s="3" t="s">
        <v>6226</v>
      </c>
      <c r="B25" s="2" t="s">
        <v>6227</v>
      </c>
      <c r="C25" s="2" t="s">
        <v>6193</v>
      </c>
    </row>
    <row r="26" spans="1:3" x14ac:dyDescent="0.3">
      <c r="A26" s="3" t="s">
        <v>6228</v>
      </c>
      <c r="B26" s="2" t="s">
        <v>6229</v>
      </c>
      <c r="C26" s="2" t="s">
        <v>6193</v>
      </c>
    </row>
    <row r="27" spans="1:3" x14ac:dyDescent="0.3">
      <c r="A27" s="3" t="s">
        <v>6199</v>
      </c>
      <c r="B27" s="2" t="s">
        <v>6200</v>
      </c>
      <c r="C27" s="2" t="s">
        <v>6187</v>
      </c>
    </row>
    <row r="28" spans="1:3" x14ac:dyDescent="0.3">
      <c r="A28" s="3" t="s">
        <v>6230</v>
      </c>
      <c r="B28" s="2" t="s">
        <v>6202</v>
      </c>
      <c r="C28" s="2" t="s">
        <v>6187</v>
      </c>
    </row>
    <row r="29" spans="1:3" x14ac:dyDescent="0.3">
      <c r="A29" s="3" t="s">
        <v>273</v>
      </c>
      <c r="B29" s="2" t="s">
        <v>6205</v>
      </c>
      <c r="C29" s="2" t="s">
        <v>6187</v>
      </c>
    </row>
    <row r="30" spans="1:3" x14ac:dyDescent="0.3">
      <c r="A30" s="3" t="s">
        <v>6206</v>
      </c>
      <c r="B30" s="2" t="s">
        <v>6207</v>
      </c>
      <c r="C30" s="2" t="s">
        <v>6187</v>
      </c>
    </row>
    <row r="31" spans="1:3" x14ac:dyDescent="0.3">
      <c r="A31" s="3" t="s">
        <v>6208</v>
      </c>
      <c r="B31" s="2" t="s">
        <v>6209</v>
      </c>
      <c r="C31" s="2" t="s">
        <v>6187</v>
      </c>
    </row>
    <row r="32" spans="1:3" x14ac:dyDescent="0.3">
      <c r="A32" s="3" t="s">
        <v>6231</v>
      </c>
      <c r="B32" s="2" t="s">
        <v>6211</v>
      </c>
      <c r="C32" s="2" t="s">
        <v>6187</v>
      </c>
    </row>
    <row r="33" spans="1:3" x14ac:dyDescent="0.3">
      <c r="A33" s="3" t="s">
        <v>6232</v>
      </c>
      <c r="B33" s="2" t="s">
        <v>6213</v>
      </c>
      <c r="C33" s="2" t="s">
        <v>6187</v>
      </c>
    </row>
    <row r="34" spans="1:3" x14ac:dyDescent="0.3">
      <c r="A34" s="3" t="s">
        <v>6233</v>
      </c>
      <c r="B34" s="2" t="s">
        <v>6215</v>
      </c>
      <c r="C34" s="2" t="s">
        <v>6187</v>
      </c>
    </row>
    <row r="35" spans="1:3" x14ac:dyDescent="0.3">
      <c r="A35" s="3" t="s">
        <v>6216</v>
      </c>
      <c r="B35" s="2" t="s">
        <v>6217</v>
      </c>
      <c r="C35" s="2" t="s">
        <v>6187</v>
      </c>
    </row>
    <row r="36" spans="1:3" x14ac:dyDescent="0.3">
      <c r="A36" s="3" t="s">
        <v>6218</v>
      </c>
      <c r="B36" s="2" t="s">
        <v>6219</v>
      </c>
      <c r="C36" s="2" t="s">
        <v>6187</v>
      </c>
    </row>
    <row r="37" spans="1:3" x14ac:dyDescent="0.3">
      <c r="A37" s="3" t="s">
        <v>545</v>
      </c>
      <c r="B37" s="2" t="s">
        <v>546</v>
      </c>
      <c r="C37" s="2" t="s">
        <v>6187</v>
      </c>
    </row>
    <row r="38" spans="1:3" x14ac:dyDescent="0.3">
      <c r="A38" s="3" t="s">
        <v>6220</v>
      </c>
      <c r="B38" s="2" t="s">
        <v>6221</v>
      </c>
      <c r="C38" s="2" t="s">
        <v>6187</v>
      </c>
    </row>
    <row r="39" spans="1:3" x14ac:dyDescent="0.3">
      <c r="A39" s="3" t="s">
        <v>6222</v>
      </c>
      <c r="B39" s="2" t="s">
        <v>6223</v>
      </c>
      <c r="C39" s="2" t="s">
        <v>6187</v>
      </c>
    </row>
    <row r="40" spans="1:3" x14ac:dyDescent="0.3">
      <c r="A40" s="3" t="s">
        <v>6224</v>
      </c>
      <c r="B40" s="2" t="s">
        <v>6225</v>
      </c>
      <c r="C40" s="2" t="s">
        <v>6187</v>
      </c>
    </row>
    <row r="41" spans="1:3" x14ac:dyDescent="0.3">
      <c r="A41" s="3" t="s">
        <v>6234</v>
      </c>
      <c r="B41" s="2" t="s">
        <v>6235</v>
      </c>
      <c r="C41" s="2" t="s">
        <v>6187</v>
      </c>
    </row>
    <row r="42" spans="1:3" x14ac:dyDescent="0.3">
      <c r="A42" s="3" t="s">
        <v>6236</v>
      </c>
      <c r="B42" s="2" t="s">
        <v>6237</v>
      </c>
      <c r="C42" s="2" t="s">
        <v>6187</v>
      </c>
    </row>
    <row r="43" spans="1:3" x14ac:dyDescent="0.3">
      <c r="A43" s="3" t="s">
        <v>6199</v>
      </c>
      <c r="B43" s="2" t="s">
        <v>6200</v>
      </c>
      <c r="C43" s="2" t="s">
        <v>6195</v>
      </c>
    </row>
    <row r="44" spans="1:3" x14ac:dyDescent="0.3">
      <c r="A44" s="3" t="s">
        <v>6203</v>
      </c>
      <c r="B44" s="2" t="s">
        <v>6204</v>
      </c>
      <c r="C44" s="2" t="s">
        <v>6195</v>
      </c>
    </row>
    <row r="45" spans="1:3" x14ac:dyDescent="0.3">
      <c r="A45" s="3" t="s">
        <v>273</v>
      </c>
      <c r="B45" s="2" t="s">
        <v>6205</v>
      </c>
      <c r="C45" s="2" t="s">
        <v>6195</v>
      </c>
    </row>
    <row r="46" spans="1:3" x14ac:dyDescent="0.3">
      <c r="A46" s="3" t="s">
        <v>6206</v>
      </c>
      <c r="B46" s="2" t="s">
        <v>6207</v>
      </c>
      <c r="C46" s="2" t="s">
        <v>6195</v>
      </c>
    </row>
    <row r="47" spans="1:3" x14ac:dyDescent="0.3">
      <c r="A47" s="3" t="s">
        <v>447</v>
      </c>
      <c r="B47" s="2" t="s">
        <v>6238</v>
      </c>
      <c r="C47" s="2" t="s">
        <v>6195</v>
      </c>
    </row>
    <row r="48" spans="1:3" x14ac:dyDescent="0.3">
      <c r="A48" s="3" t="s">
        <v>6239</v>
      </c>
      <c r="B48" s="2" t="s">
        <v>6211</v>
      </c>
      <c r="C48" s="2" t="s">
        <v>6195</v>
      </c>
    </row>
    <row r="49" spans="1:3" x14ac:dyDescent="0.3">
      <c r="A49" s="3" t="s">
        <v>6240</v>
      </c>
      <c r="B49" s="2" t="s">
        <v>6213</v>
      </c>
      <c r="C49" s="2" t="s">
        <v>6195</v>
      </c>
    </row>
    <row r="50" spans="1:3" x14ac:dyDescent="0.3">
      <c r="A50" s="3" t="s">
        <v>6241</v>
      </c>
      <c r="B50" s="2" t="s">
        <v>6215</v>
      </c>
      <c r="C50" s="2" t="s">
        <v>6195</v>
      </c>
    </row>
    <row r="51" spans="1:3" x14ac:dyDescent="0.3">
      <c r="A51" s="3" t="s">
        <v>6242</v>
      </c>
      <c r="B51" s="2" t="s">
        <v>6202</v>
      </c>
      <c r="C51" s="2" t="s">
        <v>6195</v>
      </c>
    </row>
    <row r="52" spans="1:3" x14ac:dyDescent="0.3">
      <c r="A52" s="3" t="s">
        <v>545</v>
      </c>
      <c r="B52" s="2" t="s">
        <v>546</v>
      </c>
      <c r="C52" s="2" t="s">
        <v>6195</v>
      </c>
    </row>
    <row r="53" spans="1:3" x14ac:dyDescent="0.3">
      <c r="A53" s="3" t="s">
        <v>6222</v>
      </c>
      <c r="B53" s="2" t="s">
        <v>6223</v>
      </c>
      <c r="C53" s="2" t="s">
        <v>6195</v>
      </c>
    </row>
    <row r="54" spans="1:3" x14ac:dyDescent="0.3">
      <c r="A54" s="3" t="s">
        <v>6224</v>
      </c>
      <c r="B54" s="2" t="s">
        <v>6225</v>
      </c>
      <c r="C54" s="2" t="s">
        <v>6195</v>
      </c>
    </row>
    <row r="55" spans="1:3" x14ac:dyDescent="0.3">
      <c r="A55" s="3" t="s">
        <v>6243</v>
      </c>
      <c r="B55" s="2" t="s">
        <v>6244</v>
      </c>
      <c r="C55" s="2" t="s">
        <v>6195</v>
      </c>
    </row>
    <row r="56" spans="1:3" x14ac:dyDescent="0.3">
      <c r="A56" s="3" t="s">
        <v>6245</v>
      </c>
      <c r="B56" s="2" t="s">
        <v>6246</v>
      </c>
      <c r="C56" s="2" t="s">
        <v>6195</v>
      </c>
    </row>
    <row r="57" spans="1:3" x14ac:dyDescent="0.3">
      <c r="A57" s="3" t="s">
        <v>6247</v>
      </c>
      <c r="B57" s="2" t="s">
        <v>6248</v>
      </c>
      <c r="C57" s="2" t="s">
        <v>6195</v>
      </c>
    </row>
    <row r="58" spans="1:3" x14ac:dyDescent="0.3">
      <c r="A58" s="3" t="s">
        <v>6249</v>
      </c>
      <c r="B58" s="2" t="s">
        <v>6250</v>
      </c>
      <c r="C58" s="2" t="s">
        <v>6195</v>
      </c>
    </row>
    <row r="59" spans="1:3" x14ac:dyDescent="0.3">
      <c r="A59" s="3" t="s">
        <v>6199</v>
      </c>
      <c r="B59" s="2" t="s">
        <v>6200</v>
      </c>
      <c r="C59" s="2" t="s">
        <v>6190</v>
      </c>
    </row>
    <row r="60" spans="1:3" x14ac:dyDescent="0.3">
      <c r="A60" s="3" t="s">
        <v>273</v>
      </c>
      <c r="B60" s="2" t="s">
        <v>6205</v>
      </c>
      <c r="C60" s="2" t="s">
        <v>6190</v>
      </c>
    </row>
    <row r="61" spans="1:3" x14ac:dyDescent="0.3">
      <c r="A61" s="3" t="s">
        <v>6206</v>
      </c>
      <c r="B61" s="2" t="s">
        <v>6207</v>
      </c>
      <c r="C61" s="2" t="s">
        <v>6190</v>
      </c>
    </row>
    <row r="62" spans="1:3" x14ac:dyDescent="0.3">
      <c r="A62" s="3" t="s">
        <v>447</v>
      </c>
      <c r="B62" s="2" t="s">
        <v>6238</v>
      </c>
      <c r="C62" s="2" t="s">
        <v>6190</v>
      </c>
    </row>
    <row r="63" spans="1:3" x14ac:dyDescent="0.3">
      <c r="A63" s="3" t="s">
        <v>6251</v>
      </c>
      <c r="B63" s="2" t="s">
        <v>6211</v>
      </c>
      <c r="C63" s="2" t="s">
        <v>6190</v>
      </c>
    </row>
    <row r="64" spans="1:3" x14ac:dyDescent="0.3">
      <c r="A64" s="3" t="s">
        <v>6252</v>
      </c>
      <c r="B64" s="2" t="s">
        <v>6213</v>
      </c>
      <c r="C64" s="2" t="s">
        <v>6190</v>
      </c>
    </row>
    <row r="65" spans="1:3" x14ac:dyDescent="0.3">
      <c r="A65" s="3" t="s">
        <v>6253</v>
      </c>
      <c r="B65" s="2" t="s">
        <v>6215</v>
      </c>
      <c r="C65" s="2" t="s">
        <v>6190</v>
      </c>
    </row>
    <row r="66" spans="1:3" x14ac:dyDescent="0.3">
      <c r="A66" s="3" t="s">
        <v>6254</v>
      </c>
      <c r="B66" s="2" t="s">
        <v>6202</v>
      </c>
      <c r="C66" s="2" t="s">
        <v>6190</v>
      </c>
    </row>
    <row r="67" spans="1:3" x14ac:dyDescent="0.3">
      <c r="A67" s="3" t="s">
        <v>545</v>
      </c>
      <c r="B67" s="2" t="s">
        <v>546</v>
      </c>
      <c r="C67" s="2" t="s">
        <v>6190</v>
      </c>
    </row>
    <row r="68" spans="1:3" x14ac:dyDescent="0.3">
      <c r="A68" s="3" t="s">
        <v>6222</v>
      </c>
      <c r="B68" s="2" t="s">
        <v>6223</v>
      </c>
      <c r="C68" s="2" t="s">
        <v>6190</v>
      </c>
    </row>
    <row r="69" spans="1:3" x14ac:dyDescent="0.3">
      <c r="A69" s="3" t="s">
        <v>6224</v>
      </c>
      <c r="B69" s="2" t="s">
        <v>6225</v>
      </c>
      <c r="C69" s="2" t="s">
        <v>6190</v>
      </c>
    </row>
    <row r="70" spans="1:3" x14ac:dyDescent="0.3">
      <c r="A70" s="3" t="s">
        <v>6255</v>
      </c>
      <c r="B70" s="2" t="s">
        <v>6256</v>
      </c>
      <c r="C70" s="2" t="s">
        <v>6190</v>
      </c>
    </row>
    <row r="71" spans="1:3" x14ac:dyDescent="0.3">
      <c r="A71" s="3" t="s">
        <v>6257</v>
      </c>
      <c r="B71" s="2" t="s">
        <v>6258</v>
      </c>
      <c r="C71" s="2" t="s">
        <v>6190</v>
      </c>
    </row>
    <row r="72" spans="1:3" x14ac:dyDescent="0.3">
      <c r="A72" s="3" t="s">
        <v>6259</v>
      </c>
      <c r="B72" s="2" t="s">
        <v>6260</v>
      </c>
      <c r="C72" s="2" t="s">
        <v>6190</v>
      </c>
    </row>
    <row r="73" spans="1:3" x14ac:dyDescent="0.3">
      <c r="A73" s="3" t="s">
        <v>6261</v>
      </c>
      <c r="B73" s="2" t="s">
        <v>6262</v>
      </c>
      <c r="C73" s="2" t="s">
        <v>6190</v>
      </c>
    </row>
    <row r="74" spans="1:3" x14ac:dyDescent="0.3">
      <c r="A74" s="3"/>
      <c r="B74" s="2"/>
      <c r="C74" s="2"/>
    </row>
  </sheetData>
  <mergeCells count="2">
    <mergeCell ref="A1:D1"/>
    <mergeCell ref="A8:C8"/>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124"/>
  <sheetViews>
    <sheetView workbookViewId="0">
      <pane ySplit="1" topLeftCell="A2" activePane="bottomLeft" state="frozen"/>
      <selection pane="bottomLeft"/>
    </sheetView>
  </sheetViews>
  <sheetFormatPr defaultRowHeight="14.4" x14ac:dyDescent="0.3"/>
  <cols>
    <col min="1" max="1" width="15.6640625" customWidth="1"/>
    <col min="2" max="2" width="50.6640625" customWidth="1"/>
    <col min="3" max="4" width="11.6640625" customWidth="1"/>
    <col min="5" max="5" width="10.6640625" customWidth="1"/>
    <col min="6" max="6" width="11.6640625" customWidth="1"/>
    <col min="7" max="7" width="10.6640625" customWidth="1"/>
  </cols>
  <sheetData>
    <row r="1" spans="1:7" x14ac:dyDescent="0.3">
      <c r="A1" s="1" t="s">
        <v>954</v>
      </c>
      <c r="B1" s="1" t="s">
        <v>1</v>
      </c>
      <c r="C1" s="1" t="s">
        <v>6264</v>
      </c>
      <c r="D1" s="1" t="s">
        <v>6265</v>
      </c>
      <c r="E1" s="1" t="s">
        <v>6266</v>
      </c>
      <c r="F1" s="1" t="s">
        <v>6267</v>
      </c>
      <c r="G1" s="1" t="s">
        <v>6268</v>
      </c>
    </row>
    <row r="2" spans="1:7" x14ac:dyDescent="0.3">
      <c r="A2" s="3297" t="s">
        <v>1018</v>
      </c>
      <c r="B2" s="3298"/>
      <c r="C2" s="3298"/>
      <c r="D2" s="3298"/>
      <c r="E2" s="3298"/>
      <c r="F2" s="3298"/>
      <c r="G2" s="3298"/>
    </row>
    <row r="3" spans="1:7" x14ac:dyDescent="0.3">
      <c r="A3" s="3299" t="s">
        <v>273</v>
      </c>
      <c r="B3" s="3298"/>
      <c r="C3" s="3298"/>
      <c r="D3" s="3298"/>
      <c r="E3" s="3298"/>
      <c r="F3" s="3298"/>
      <c r="G3" s="3298"/>
    </row>
    <row r="4" spans="1:7" x14ac:dyDescent="0.3">
      <c r="A4" s="11" t="s">
        <v>6269</v>
      </c>
      <c r="B4" s="11" t="s">
        <v>6270</v>
      </c>
      <c r="C4" s="12">
        <v>7075</v>
      </c>
      <c r="D4" s="12">
        <v>3656407</v>
      </c>
      <c r="E4" s="13">
        <v>1.31896922965068E-8</v>
      </c>
      <c r="F4" s="14">
        <v>100</v>
      </c>
      <c r="G4" s="15">
        <v>1.02786679142825E-14</v>
      </c>
    </row>
    <row r="5" spans="1:7" x14ac:dyDescent="0.3">
      <c r="A5" s="6" t="s">
        <v>6269</v>
      </c>
      <c r="B5" s="6" t="s">
        <v>6271</v>
      </c>
      <c r="C5" s="7">
        <v>7075</v>
      </c>
      <c r="D5" s="7">
        <v>3656407</v>
      </c>
      <c r="E5" s="8">
        <v>0</v>
      </c>
      <c r="F5" s="9">
        <v>100</v>
      </c>
      <c r="G5" s="10">
        <v>0</v>
      </c>
    </row>
    <row r="6" spans="1:7" x14ac:dyDescent="0.3">
      <c r="A6" s="3299" t="s">
        <v>596</v>
      </c>
      <c r="B6" s="3298"/>
      <c r="C6" s="3298"/>
      <c r="D6" s="3298"/>
      <c r="E6" s="3298"/>
      <c r="F6" s="3298"/>
      <c r="G6" s="3298"/>
    </row>
    <row r="7" spans="1:7" x14ac:dyDescent="0.3">
      <c r="A7" s="11" t="s">
        <v>6269</v>
      </c>
      <c r="B7" s="11" t="s">
        <v>6270</v>
      </c>
      <c r="C7" s="20">
        <v>7075</v>
      </c>
      <c r="D7" s="20">
        <v>3656407</v>
      </c>
      <c r="E7" s="21">
        <v>9.7836375253790894E-9</v>
      </c>
      <c r="F7" s="22">
        <v>100</v>
      </c>
      <c r="G7" s="23">
        <v>0</v>
      </c>
    </row>
    <row r="8" spans="1:7" x14ac:dyDescent="0.3">
      <c r="A8" s="6" t="s">
        <v>6269</v>
      </c>
      <c r="B8" s="6" t="s">
        <v>6271</v>
      </c>
      <c r="C8" s="16">
        <v>7075</v>
      </c>
      <c r="D8" s="16">
        <v>3656407</v>
      </c>
      <c r="E8" s="17">
        <v>0</v>
      </c>
      <c r="F8" s="18">
        <v>100</v>
      </c>
      <c r="G8" s="19">
        <v>0</v>
      </c>
    </row>
    <row r="9" spans="1:7" x14ac:dyDescent="0.3">
      <c r="A9" s="3299" t="s">
        <v>146</v>
      </c>
      <c r="B9" s="3298"/>
      <c r="C9" s="3298"/>
      <c r="D9" s="3298"/>
      <c r="E9" s="3298"/>
      <c r="F9" s="3298"/>
      <c r="G9" s="3298"/>
    </row>
    <row r="10" spans="1:7" x14ac:dyDescent="0.3">
      <c r="A10" s="11" t="s">
        <v>6272</v>
      </c>
      <c r="B10" s="11"/>
      <c r="C10" s="28">
        <v>2937</v>
      </c>
      <c r="D10" s="28">
        <v>1193051.0599443601</v>
      </c>
      <c r="E10" s="29">
        <v>34783.500508787598</v>
      </c>
      <c r="F10" s="30">
        <v>32.629055243148798</v>
      </c>
      <c r="G10" s="31">
        <v>0.95130275455623303</v>
      </c>
    </row>
    <row r="11" spans="1:7" x14ac:dyDescent="0.3">
      <c r="A11" s="6" t="s">
        <v>6273</v>
      </c>
      <c r="B11" s="6"/>
      <c r="C11" s="24">
        <v>1418</v>
      </c>
      <c r="D11" s="24">
        <v>573896.01769697701</v>
      </c>
      <c r="E11" s="25">
        <v>27046.5069556163</v>
      </c>
      <c r="F11" s="26">
        <v>15.6956273657986</v>
      </c>
      <c r="G11" s="27">
        <v>0.73970176065237303</v>
      </c>
    </row>
    <row r="12" spans="1:7" x14ac:dyDescent="0.3">
      <c r="A12" s="11" t="s">
        <v>6274</v>
      </c>
      <c r="B12" s="11"/>
      <c r="C12" s="28">
        <v>1026</v>
      </c>
      <c r="D12" s="28">
        <v>401716.24196236598</v>
      </c>
      <c r="E12" s="29">
        <v>17939.076485862501</v>
      </c>
      <c r="F12" s="30">
        <v>10.986639123116399</v>
      </c>
      <c r="G12" s="31">
        <v>0.49062034083904799</v>
      </c>
    </row>
    <row r="13" spans="1:7" x14ac:dyDescent="0.3">
      <c r="A13" s="6" t="s">
        <v>6275</v>
      </c>
      <c r="B13" s="6"/>
      <c r="C13" s="24">
        <v>712</v>
      </c>
      <c r="D13" s="24">
        <v>341137.32632174698</v>
      </c>
      <c r="E13" s="25">
        <v>23125.9897624474</v>
      </c>
      <c r="F13" s="26">
        <v>9.3298510346836796</v>
      </c>
      <c r="G13" s="27">
        <v>0.63247854416774596</v>
      </c>
    </row>
    <row r="14" spans="1:7" x14ac:dyDescent="0.3">
      <c r="A14" s="11" t="s">
        <v>6276</v>
      </c>
      <c r="B14" s="11"/>
      <c r="C14" s="28">
        <v>794</v>
      </c>
      <c r="D14" s="28">
        <v>333228.82585476403</v>
      </c>
      <c r="E14" s="29">
        <v>20448.744563453201</v>
      </c>
      <c r="F14" s="30">
        <v>9.1135594548080494</v>
      </c>
      <c r="G14" s="31">
        <v>0.55925788796086795</v>
      </c>
    </row>
    <row r="15" spans="1:7" x14ac:dyDescent="0.3">
      <c r="A15" s="6" t="s">
        <v>6277</v>
      </c>
      <c r="B15" s="6"/>
      <c r="C15" s="24">
        <v>457</v>
      </c>
      <c r="D15" s="24">
        <v>230060.42892223099</v>
      </c>
      <c r="E15" s="25">
        <v>21960.839134583501</v>
      </c>
      <c r="F15" s="26">
        <v>6.2919808687115797</v>
      </c>
      <c r="G15" s="27">
        <v>0.600612544899499</v>
      </c>
    </row>
    <row r="16" spans="1:7" x14ac:dyDescent="0.3">
      <c r="A16" s="11" t="s">
        <v>6278</v>
      </c>
      <c r="B16" s="11"/>
      <c r="C16" s="28">
        <v>474</v>
      </c>
      <c r="D16" s="28">
        <v>216567.78774472899</v>
      </c>
      <c r="E16" s="29">
        <v>14851.790466774801</v>
      </c>
      <c r="F16" s="30">
        <v>5.9229672119304198</v>
      </c>
      <c r="G16" s="31">
        <v>0.406185374515876</v>
      </c>
    </row>
    <row r="17" spans="1:7" x14ac:dyDescent="0.3">
      <c r="A17" s="6" t="s">
        <v>995</v>
      </c>
      <c r="B17" s="6"/>
      <c r="C17" s="24">
        <v>148</v>
      </c>
      <c r="D17" s="24">
        <v>60703.8422399927</v>
      </c>
      <c r="E17" s="25">
        <v>7360.0910700529503</v>
      </c>
      <c r="F17" s="26">
        <v>1.6602047376014899</v>
      </c>
      <c r="G17" s="27">
        <v>0.201292992548503</v>
      </c>
    </row>
    <row r="18" spans="1:7" x14ac:dyDescent="0.3">
      <c r="A18" s="11" t="s">
        <v>6279</v>
      </c>
      <c r="B18" s="11"/>
      <c r="C18" s="28">
        <v>115</v>
      </c>
      <c r="D18" s="28">
        <v>52358.995464174601</v>
      </c>
      <c r="E18" s="29">
        <v>5405.2548594714999</v>
      </c>
      <c r="F18" s="30">
        <v>1.4319794121435201</v>
      </c>
      <c r="G18" s="31">
        <v>0.147829682512682</v>
      </c>
    </row>
    <row r="19" spans="1:7" x14ac:dyDescent="0.3">
      <c r="A19" s="6" t="s">
        <v>6280</v>
      </c>
      <c r="B19" s="6"/>
      <c r="C19" s="24">
        <v>75</v>
      </c>
      <c r="D19" s="24">
        <v>35866.196804206498</v>
      </c>
      <c r="E19" s="25">
        <v>4671.6809304585204</v>
      </c>
      <c r="F19" s="26">
        <v>0.980913689428077</v>
      </c>
      <c r="G19" s="27">
        <v>0.12776698355676699</v>
      </c>
    </row>
    <row r="20" spans="1:7" x14ac:dyDescent="0.3">
      <c r="A20" s="11" t="s">
        <v>997</v>
      </c>
      <c r="B20" s="11"/>
      <c r="C20" s="28">
        <v>72</v>
      </c>
      <c r="D20" s="28">
        <v>35229.591699749297</v>
      </c>
      <c r="E20" s="29">
        <v>2917.3942008679201</v>
      </c>
      <c r="F20" s="30">
        <v>0.96350301538502803</v>
      </c>
      <c r="G20" s="31">
        <v>7.9788552009333699E-2</v>
      </c>
    </row>
    <row r="21" spans="1:7" x14ac:dyDescent="0.3">
      <c r="A21" s="6" t="s">
        <v>999</v>
      </c>
      <c r="B21" s="6"/>
      <c r="C21" s="24">
        <v>55</v>
      </c>
      <c r="D21" s="24">
        <v>22781.335128009301</v>
      </c>
      <c r="E21" s="25">
        <v>4931.1320206750197</v>
      </c>
      <c r="F21" s="26">
        <v>0.62305249738361401</v>
      </c>
      <c r="G21" s="27">
        <v>0.134862777056138</v>
      </c>
    </row>
    <row r="22" spans="1:7" x14ac:dyDescent="0.3">
      <c r="A22" s="11" t="s">
        <v>1001</v>
      </c>
      <c r="B22" s="11"/>
      <c r="C22" s="28">
        <v>43</v>
      </c>
      <c r="D22" s="28">
        <v>22198.5485911998</v>
      </c>
      <c r="E22" s="29">
        <v>4931.7822929789199</v>
      </c>
      <c r="F22" s="30">
        <v>0.607113720961583</v>
      </c>
      <c r="G22" s="31">
        <v>0.134880561517876</v>
      </c>
    </row>
    <row r="23" spans="1:7" x14ac:dyDescent="0.3">
      <c r="A23" s="6" t="s">
        <v>1003</v>
      </c>
      <c r="B23" s="6"/>
      <c r="C23" s="24">
        <v>29</v>
      </c>
      <c r="D23" s="24">
        <v>19174.733429552201</v>
      </c>
      <c r="E23" s="25">
        <v>4185.6393440572901</v>
      </c>
      <c r="F23" s="26">
        <v>0.524414635174699</v>
      </c>
      <c r="G23" s="27">
        <v>0.114474109256909</v>
      </c>
    </row>
    <row r="24" spans="1:7" x14ac:dyDescent="0.3">
      <c r="A24" s="11" t="s">
        <v>1007</v>
      </c>
      <c r="B24" s="11"/>
      <c r="C24" s="28">
        <v>21</v>
      </c>
      <c r="D24" s="28">
        <v>12664.884298619199</v>
      </c>
      <c r="E24" s="29">
        <v>4570.6421014390198</v>
      </c>
      <c r="F24" s="30">
        <v>0.34637512450389701</v>
      </c>
      <c r="G24" s="31">
        <v>0.12500364706223999</v>
      </c>
    </row>
    <row r="25" spans="1:7" x14ac:dyDescent="0.3">
      <c r="A25" s="6" t="s">
        <v>1005</v>
      </c>
      <c r="B25" s="6"/>
      <c r="C25" s="24">
        <v>26</v>
      </c>
      <c r="D25" s="24">
        <v>10824.212606032601</v>
      </c>
      <c r="E25" s="25">
        <v>3434.2473058773098</v>
      </c>
      <c r="F25" s="26">
        <v>0.296034128750782</v>
      </c>
      <c r="G25" s="27">
        <v>9.3924098325960603E-2</v>
      </c>
    </row>
    <row r="26" spans="1:7" x14ac:dyDescent="0.3">
      <c r="A26" s="11" t="s">
        <v>1011</v>
      </c>
      <c r="B26" s="11"/>
      <c r="C26" s="28">
        <v>14</v>
      </c>
      <c r="D26" s="28">
        <v>7567.7871480716803</v>
      </c>
      <c r="E26" s="29">
        <v>3214.9786397728999</v>
      </c>
      <c r="F26" s="30">
        <v>0.206973325126871</v>
      </c>
      <c r="G26" s="31">
        <v>8.7927264108533201E-2</v>
      </c>
    </row>
    <row r="27" spans="1:7" x14ac:dyDescent="0.3">
      <c r="A27" s="6" t="s">
        <v>1051</v>
      </c>
      <c r="B27" s="6"/>
      <c r="C27" s="24">
        <v>10</v>
      </c>
      <c r="D27" s="24">
        <v>7203.1552057993604</v>
      </c>
      <c r="E27" s="25">
        <v>2063.84465835533</v>
      </c>
      <c r="F27" s="26">
        <v>0.19700091389714999</v>
      </c>
      <c r="G27" s="27">
        <v>5.6444609649727903E-2</v>
      </c>
    </row>
    <row r="28" spans="1:7" x14ac:dyDescent="0.3">
      <c r="A28" s="11" t="s">
        <v>3047</v>
      </c>
      <c r="B28" s="11"/>
      <c r="C28" s="28">
        <v>9</v>
      </c>
      <c r="D28" s="28">
        <v>6009.6174468844001</v>
      </c>
      <c r="E28" s="29">
        <v>1939.5897170624501</v>
      </c>
      <c r="F28" s="30">
        <v>0.164358547800734</v>
      </c>
      <c r="G28" s="31">
        <v>5.3046329827681801E-2</v>
      </c>
    </row>
    <row r="29" spans="1:7" x14ac:dyDescent="0.3">
      <c r="A29" s="6" t="s">
        <v>1013</v>
      </c>
      <c r="B29" s="6"/>
      <c r="C29" s="24">
        <v>12</v>
      </c>
      <c r="D29" s="24">
        <v>5460.0516176737901</v>
      </c>
      <c r="E29" s="25">
        <v>2126.5618517193402</v>
      </c>
      <c r="F29" s="26">
        <v>0.14932833291462899</v>
      </c>
      <c r="G29" s="27">
        <v>5.8159878036535301E-2</v>
      </c>
    </row>
    <row r="30" spans="1:7" x14ac:dyDescent="0.3">
      <c r="A30" s="11" t="s">
        <v>1157</v>
      </c>
      <c r="B30" s="11"/>
      <c r="C30" s="28">
        <v>4</v>
      </c>
      <c r="D30" s="28">
        <v>4405.5776336693098</v>
      </c>
      <c r="E30" s="29">
        <v>2380.12271492125</v>
      </c>
      <c r="F30" s="30">
        <v>0.12048925717704</v>
      </c>
      <c r="G30" s="31">
        <v>6.50945782272392E-2</v>
      </c>
    </row>
    <row r="31" spans="1:7" x14ac:dyDescent="0.3">
      <c r="A31" s="6" t="s">
        <v>3036</v>
      </c>
      <c r="B31" s="6"/>
      <c r="C31" s="24">
        <v>5</v>
      </c>
      <c r="D31" s="24">
        <v>4308.27870701539</v>
      </c>
      <c r="E31" s="25">
        <v>2498.1725589553798</v>
      </c>
      <c r="F31" s="26">
        <v>0.11782820421838699</v>
      </c>
      <c r="G31" s="27">
        <v>6.8323153274659598E-2</v>
      </c>
    </row>
    <row r="32" spans="1:7" x14ac:dyDescent="0.3">
      <c r="A32" s="11" t="s">
        <v>3040</v>
      </c>
      <c r="B32" s="11"/>
      <c r="C32" s="28">
        <v>8</v>
      </c>
      <c r="D32" s="28">
        <v>3856.82220120487</v>
      </c>
      <c r="E32" s="29">
        <v>2086.7814326682101</v>
      </c>
      <c r="F32" s="30">
        <v>0.10548120603655101</v>
      </c>
      <c r="G32" s="31">
        <v>5.7071913292699901E-2</v>
      </c>
    </row>
    <row r="33" spans="1:7" x14ac:dyDescent="0.3">
      <c r="A33" s="6" t="s">
        <v>3038</v>
      </c>
      <c r="B33" s="6"/>
      <c r="C33" s="24">
        <v>4</v>
      </c>
      <c r="D33" s="24">
        <v>3404.7959436454898</v>
      </c>
      <c r="E33" s="25">
        <v>2161.43305312742</v>
      </c>
      <c r="F33" s="26">
        <v>9.3118625570005997E-2</v>
      </c>
      <c r="G33" s="27">
        <v>5.9113579345172002E-2</v>
      </c>
    </row>
    <row r="34" spans="1:7" x14ac:dyDescent="0.3">
      <c r="A34" s="11" t="s">
        <v>1049</v>
      </c>
      <c r="B34" s="11"/>
      <c r="C34" s="28">
        <v>15</v>
      </c>
      <c r="D34" s="28">
        <v>3160.4726282716501</v>
      </c>
      <c r="E34" s="29">
        <v>1048.68211575838</v>
      </c>
      <c r="F34" s="30">
        <v>8.6436565411663696E-2</v>
      </c>
      <c r="G34" s="31">
        <v>2.8680672467763499E-2</v>
      </c>
    </row>
    <row r="35" spans="1:7" x14ac:dyDescent="0.3">
      <c r="A35" s="6" t="s">
        <v>1053</v>
      </c>
      <c r="B35" s="6"/>
      <c r="C35" s="24">
        <v>7</v>
      </c>
      <c r="D35" s="24">
        <v>3085.45533783881</v>
      </c>
      <c r="E35" s="25">
        <v>2415.8435942175001</v>
      </c>
      <c r="F35" s="26">
        <v>8.4384898558579793E-2</v>
      </c>
      <c r="G35" s="27">
        <v>6.6071517591381301E-2</v>
      </c>
    </row>
    <row r="36" spans="1:7" x14ac:dyDescent="0.3">
      <c r="A36" s="11" t="s">
        <v>1047</v>
      </c>
      <c r="B36" s="11"/>
      <c r="C36" s="28">
        <v>8</v>
      </c>
      <c r="D36" s="28">
        <v>2904.3330704018599</v>
      </c>
      <c r="E36" s="29">
        <v>1320.8027925357601</v>
      </c>
      <c r="F36" s="30">
        <v>7.9431339848158505E-2</v>
      </c>
      <c r="G36" s="31">
        <v>3.6122969694997203E-2</v>
      </c>
    </row>
    <row r="37" spans="1:7" x14ac:dyDescent="0.3">
      <c r="A37" s="6" t="s">
        <v>1055</v>
      </c>
      <c r="B37" s="6"/>
      <c r="C37" s="24">
        <v>6</v>
      </c>
      <c r="D37" s="24">
        <v>2894.0890976659998</v>
      </c>
      <c r="E37" s="25">
        <v>2177.7325441394701</v>
      </c>
      <c r="F37" s="26">
        <v>7.9151174846399802E-2</v>
      </c>
      <c r="G37" s="27">
        <v>5.9559358248123501E-2</v>
      </c>
    </row>
    <row r="38" spans="1:7" x14ac:dyDescent="0.3">
      <c r="A38" s="11" t="s">
        <v>1063</v>
      </c>
      <c r="B38" s="11"/>
      <c r="C38" s="28">
        <v>3</v>
      </c>
      <c r="D38" s="28">
        <v>2866.2819422233201</v>
      </c>
      <c r="E38" s="29">
        <v>2292.9198947702498</v>
      </c>
      <c r="F38" s="30">
        <v>7.8390669917854303E-2</v>
      </c>
      <c r="G38" s="31">
        <v>6.2709646239334199E-2</v>
      </c>
    </row>
    <row r="39" spans="1:7" x14ac:dyDescent="0.3">
      <c r="A39" s="6" t="s">
        <v>3083</v>
      </c>
      <c r="B39" s="6"/>
      <c r="C39" s="24">
        <v>4</v>
      </c>
      <c r="D39" s="24">
        <v>2789.6038340170298</v>
      </c>
      <c r="E39" s="25">
        <v>2468.3881697398101</v>
      </c>
      <c r="F39" s="26">
        <v>7.6293580939349195E-2</v>
      </c>
      <c r="G39" s="27">
        <v>6.7508572479480805E-2</v>
      </c>
    </row>
    <row r="40" spans="1:7" x14ac:dyDescent="0.3">
      <c r="A40" s="11" t="s">
        <v>3065</v>
      </c>
      <c r="B40" s="11"/>
      <c r="C40" s="28">
        <v>4</v>
      </c>
      <c r="D40" s="28">
        <v>2698.72724311416</v>
      </c>
      <c r="E40" s="29">
        <v>1790.495188782</v>
      </c>
      <c r="F40" s="30">
        <v>7.3808174065801604E-2</v>
      </c>
      <c r="G40" s="31">
        <v>4.8968705857471699E-2</v>
      </c>
    </row>
    <row r="41" spans="1:7" x14ac:dyDescent="0.3">
      <c r="A41" s="6" t="s">
        <v>3049</v>
      </c>
      <c r="B41" s="6"/>
      <c r="C41" s="24">
        <v>4</v>
      </c>
      <c r="D41" s="24">
        <v>2591.4340162373501</v>
      </c>
      <c r="E41" s="25">
        <v>1757.0498660789999</v>
      </c>
      <c r="F41" s="26">
        <v>7.0873784462105904E-2</v>
      </c>
      <c r="G41" s="27">
        <v>4.8054001266242902E-2</v>
      </c>
    </row>
    <row r="42" spans="1:7" x14ac:dyDescent="0.3">
      <c r="A42" s="11" t="s">
        <v>1059</v>
      </c>
      <c r="B42" s="11"/>
      <c r="C42" s="28">
        <v>4</v>
      </c>
      <c r="D42" s="28">
        <v>2378.7859475145401</v>
      </c>
      <c r="E42" s="29">
        <v>2012.8515750932199</v>
      </c>
      <c r="F42" s="30">
        <v>6.5058018637272397E-2</v>
      </c>
      <c r="G42" s="31">
        <v>5.5049986915931902E-2</v>
      </c>
    </row>
    <row r="43" spans="1:7" x14ac:dyDescent="0.3">
      <c r="A43" s="6" t="s">
        <v>6281</v>
      </c>
      <c r="B43" s="6"/>
      <c r="C43" s="24">
        <v>1</v>
      </c>
      <c r="D43" s="24">
        <v>2320.8014801561999</v>
      </c>
      <c r="E43" s="25">
        <v>2333.4881254034899</v>
      </c>
      <c r="F43" s="26">
        <v>6.3472186771226499E-2</v>
      </c>
      <c r="G43" s="27">
        <v>6.3819157041420396E-2</v>
      </c>
    </row>
    <row r="44" spans="1:7" x14ac:dyDescent="0.3">
      <c r="A44" s="11" t="s">
        <v>1009</v>
      </c>
      <c r="B44" s="11"/>
      <c r="C44" s="28">
        <v>13</v>
      </c>
      <c r="D44" s="28">
        <v>2110.7873497668002</v>
      </c>
      <c r="E44" s="29">
        <v>530.85107522658302</v>
      </c>
      <c r="F44" s="30">
        <v>5.7728457192178E-2</v>
      </c>
      <c r="G44" s="31">
        <v>1.4518380345147099E-2</v>
      </c>
    </row>
    <row r="45" spans="1:7" x14ac:dyDescent="0.3">
      <c r="A45" s="6" t="s">
        <v>1155</v>
      </c>
      <c r="B45" s="6"/>
      <c r="C45" s="24">
        <v>6</v>
      </c>
      <c r="D45" s="24">
        <v>1861.63194122513</v>
      </c>
      <c r="E45" s="25">
        <v>895.48799775496695</v>
      </c>
      <c r="F45" s="26">
        <v>5.0914242895419598E-2</v>
      </c>
      <c r="G45" s="27">
        <v>2.44909277811515E-2</v>
      </c>
    </row>
    <row r="46" spans="1:7" x14ac:dyDescent="0.3">
      <c r="A46" s="11" t="s">
        <v>1061</v>
      </c>
      <c r="B46" s="11"/>
      <c r="C46" s="28">
        <v>7</v>
      </c>
      <c r="D46" s="28">
        <v>1830.03818843199</v>
      </c>
      <c r="E46" s="29">
        <v>1000.85363036664</v>
      </c>
      <c r="F46" s="30">
        <v>5.0050177358045303E-2</v>
      </c>
      <c r="G46" s="31">
        <v>2.7372599121668902E-2</v>
      </c>
    </row>
    <row r="47" spans="1:7" x14ac:dyDescent="0.3">
      <c r="A47" s="6" t="s">
        <v>3053</v>
      </c>
      <c r="B47" s="6"/>
      <c r="C47" s="24">
        <v>4</v>
      </c>
      <c r="D47" s="24">
        <v>1541.7463845555501</v>
      </c>
      <c r="E47" s="25">
        <v>908.29148632226998</v>
      </c>
      <c r="F47" s="26">
        <v>4.2165611884988401E-2</v>
      </c>
      <c r="G47" s="27">
        <v>2.48410936288622E-2</v>
      </c>
    </row>
    <row r="48" spans="1:7" x14ac:dyDescent="0.3">
      <c r="A48" s="11" t="s">
        <v>3051</v>
      </c>
      <c r="B48" s="11"/>
      <c r="C48" s="28">
        <v>2</v>
      </c>
      <c r="D48" s="28">
        <v>1529.3461845925899</v>
      </c>
      <c r="E48" s="29">
        <v>1070.3218708873701</v>
      </c>
      <c r="F48" s="30">
        <v>4.1826475679337498E-2</v>
      </c>
      <c r="G48" s="31">
        <v>2.9272503604969899E-2</v>
      </c>
    </row>
    <row r="49" spans="1:7" x14ac:dyDescent="0.3">
      <c r="A49" s="6" t="s">
        <v>1065</v>
      </c>
      <c r="B49" s="6"/>
      <c r="C49" s="24">
        <v>3</v>
      </c>
      <c r="D49" s="24">
        <v>1415.77787070571</v>
      </c>
      <c r="E49" s="25">
        <v>893.47859532656196</v>
      </c>
      <c r="F49" s="26">
        <v>3.8720467133601499E-2</v>
      </c>
      <c r="G49" s="27">
        <v>2.4435972125820798E-2</v>
      </c>
    </row>
    <row r="50" spans="1:7" x14ac:dyDescent="0.3">
      <c r="A50" s="11" t="s">
        <v>3184</v>
      </c>
      <c r="B50" s="11"/>
      <c r="C50" s="28">
        <v>3</v>
      </c>
      <c r="D50" s="28">
        <v>1387.1883679446</v>
      </c>
      <c r="E50" s="29">
        <v>1206.4335207065601</v>
      </c>
      <c r="F50" s="30">
        <v>3.7938565590335101E-2</v>
      </c>
      <c r="G50" s="31">
        <v>3.2995055547879501E-2</v>
      </c>
    </row>
    <row r="51" spans="1:7" x14ac:dyDescent="0.3">
      <c r="A51" s="6" t="s">
        <v>1101</v>
      </c>
      <c r="B51" s="6"/>
      <c r="C51" s="24">
        <v>3</v>
      </c>
      <c r="D51" s="24">
        <v>1253.0004722321</v>
      </c>
      <c r="E51" s="25">
        <v>668.98331326234904</v>
      </c>
      <c r="F51" s="26">
        <v>3.4268626885138702E-2</v>
      </c>
      <c r="G51" s="27">
        <v>1.82961938663379E-2</v>
      </c>
    </row>
    <row r="52" spans="1:7" x14ac:dyDescent="0.3">
      <c r="A52" s="11" t="s">
        <v>3032</v>
      </c>
      <c r="B52" s="11"/>
      <c r="C52" s="28">
        <v>6</v>
      </c>
      <c r="D52" s="28">
        <v>931.31303015524998</v>
      </c>
      <c r="E52" s="29">
        <v>633.50767224438596</v>
      </c>
      <c r="F52" s="30">
        <v>2.5470715654883298E-2</v>
      </c>
      <c r="G52" s="31">
        <v>1.7325961585906199E-2</v>
      </c>
    </row>
    <row r="53" spans="1:7" x14ac:dyDescent="0.3">
      <c r="A53" s="6" t="s">
        <v>1057</v>
      </c>
      <c r="B53" s="6"/>
      <c r="C53" s="24">
        <v>4</v>
      </c>
      <c r="D53" s="24">
        <v>903.68914016831195</v>
      </c>
      <c r="E53" s="25">
        <v>392.12186411676697</v>
      </c>
      <c r="F53" s="26">
        <v>2.47152228996474E-2</v>
      </c>
      <c r="G53" s="27">
        <v>1.07242400563386E-2</v>
      </c>
    </row>
    <row r="54" spans="1:7" x14ac:dyDescent="0.3">
      <c r="A54" s="11" t="s">
        <v>3172</v>
      </c>
      <c r="B54" s="11"/>
      <c r="C54" s="28">
        <v>2</v>
      </c>
      <c r="D54" s="28">
        <v>754.87009382300801</v>
      </c>
      <c r="E54" s="29">
        <v>757.46508489094902</v>
      </c>
      <c r="F54" s="30">
        <v>2.06451331545697E-2</v>
      </c>
      <c r="G54" s="31">
        <v>2.0716104221738699E-2</v>
      </c>
    </row>
    <row r="55" spans="1:7" x14ac:dyDescent="0.3">
      <c r="A55" s="6" t="s">
        <v>6282</v>
      </c>
      <c r="B55" s="6"/>
      <c r="C55" s="24">
        <v>2</v>
      </c>
      <c r="D55" s="24">
        <v>685.14708176803902</v>
      </c>
      <c r="E55" s="25">
        <v>616.97042416633599</v>
      </c>
      <c r="F55" s="26">
        <v>1.8738260860129599E-2</v>
      </c>
      <c r="G55" s="27">
        <v>1.6873680204811399E-2</v>
      </c>
    </row>
    <row r="56" spans="1:7" x14ac:dyDescent="0.3">
      <c r="A56" s="11" t="s">
        <v>3034</v>
      </c>
      <c r="B56" s="11"/>
      <c r="C56" s="28">
        <v>1</v>
      </c>
      <c r="D56" s="28">
        <v>677.79301894632397</v>
      </c>
      <c r="E56" s="29">
        <v>692.89219527461603</v>
      </c>
      <c r="F56" s="30">
        <v>1.8537132735669801E-2</v>
      </c>
      <c r="G56" s="31">
        <v>1.8950083928693299E-2</v>
      </c>
    </row>
    <row r="57" spans="1:7" x14ac:dyDescent="0.3">
      <c r="A57" s="6" t="s">
        <v>6283</v>
      </c>
      <c r="B57" s="6"/>
      <c r="C57" s="24">
        <v>1</v>
      </c>
      <c r="D57" s="24">
        <v>627.92389457380796</v>
      </c>
      <c r="E57" s="25">
        <v>637.74395692221196</v>
      </c>
      <c r="F57" s="26">
        <v>1.71732494378719E-2</v>
      </c>
      <c r="G57" s="27">
        <v>1.7441820807208099E-2</v>
      </c>
    </row>
    <row r="58" spans="1:7" x14ac:dyDescent="0.3">
      <c r="A58" s="11" t="s">
        <v>1069</v>
      </c>
      <c r="B58" s="11"/>
      <c r="C58" s="28">
        <v>3</v>
      </c>
      <c r="D58" s="28">
        <v>537.75590303322895</v>
      </c>
      <c r="E58" s="29">
        <v>456.75113892708902</v>
      </c>
      <c r="F58" s="30">
        <v>1.47072222275373E-2</v>
      </c>
      <c r="G58" s="31">
        <v>1.24918024423181E-2</v>
      </c>
    </row>
    <row r="59" spans="1:7" x14ac:dyDescent="0.3">
      <c r="A59" s="6" t="s">
        <v>1079</v>
      </c>
      <c r="B59" s="6"/>
      <c r="C59" s="24">
        <v>2</v>
      </c>
      <c r="D59" s="24">
        <v>497.53603240184202</v>
      </c>
      <c r="E59" s="25">
        <v>343.58271601993999</v>
      </c>
      <c r="F59" s="26">
        <v>1.3607238811265901E-2</v>
      </c>
      <c r="G59" s="27">
        <v>9.3967306161469501E-3</v>
      </c>
    </row>
    <row r="60" spans="1:7" x14ac:dyDescent="0.3">
      <c r="A60" s="11" t="s">
        <v>1085</v>
      </c>
      <c r="B60" s="11"/>
      <c r="C60" s="28">
        <v>1</v>
      </c>
      <c r="D60" s="28">
        <v>484.35339918457902</v>
      </c>
      <c r="E60" s="29">
        <v>489.94479854809703</v>
      </c>
      <c r="F60" s="30">
        <v>1.3246703640611601E-2</v>
      </c>
      <c r="G60" s="31">
        <v>1.3399624236254201E-2</v>
      </c>
    </row>
    <row r="61" spans="1:7" x14ac:dyDescent="0.3">
      <c r="A61" s="6" t="s">
        <v>1099</v>
      </c>
      <c r="B61" s="6"/>
      <c r="C61" s="24">
        <v>1</v>
      </c>
      <c r="D61" s="24">
        <v>455.83013564696302</v>
      </c>
      <c r="E61" s="25">
        <v>455.79037803406101</v>
      </c>
      <c r="F61" s="26">
        <v>1.24666136906248E-2</v>
      </c>
      <c r="G61" s="27">
        <v>1.2465526349612101E-2</v>
      </c>
    </row>
    <row r="62" spans="1:7" x14ac:dyDescent="0.3">
      <c r="A62" s="11" t="s">
        <v>1087</v>
      </c>
      <c r="B62" s="11"/>
      <c r="C62" s="28">
        <v>2</v>
      </c>
      <c r="D62" s="28">
        <v>423.74948770088997</v>
      </c>
      <c r="E62" s="29">
        <v>329.98767045875297</v>
      </c>
      <c r="F62" s="30">
        <v>1.1589231934543601E-2</v>
      </c>
      <c r="G62" s="31">
        <v>9.0249162759712901E-3</v>
      </c>
    </row>
    <row r="63" spans="1:7" x14ac:dyDescent="0.3">
      <c r="A63" s="6" t="s">
        <v>6284</v>
      </c>
      <c r="B63" s="6"/>
      <c r="C63" s="24">
        <v>3</v>
      </c>
      <c r="D63" s="24">
        <v>393.31201502550999</v>
      </c>
      <c r="E63" s="25">
        <v>393.68652038629699</v>
      </c>
      <c r="F63" s="26">
        <v>1.07567897946128E-2</v>
      </c>
      <c r="G63" s="27">
        <v>1.0767032236463201E-2</v>
      </c>
    </row>
    <row r="64" spans="1:7" x14ac:dyDescent="0.3">
      <c r="A64" s="11" t="s">
        <v>1073</v>
      </c>
      <c r="B64" s="11"/>
      <c r="C64" s="28">
        <v>1</v>
      </c>
      <c r="D64" s="28">
        <v>372.98587109141903</v>
      </c>
      <c r="E64" s="29">
        <v>377.215428123425</v>
      </c>
      <c r="F64" s="30">
        <v>1.02008849422785E-2</v>
      </c>
      <c r="G64" s="31">
        <v>1.0316560167492999E-2</v>
      </c>
    </row>
    <row r="65" spans="1:7" x14ac:dyDescent="0.3">
      <c r="A65" s="6" t="s">
        <v>1081</v>
      </c>
      <c r="B65" s="6"/>
      <c r="C65" s="24">
        <v>3</v>
      </c>
      <c r="D65" s="24">
        <v>350.01751986942202</v>
      </c>
      <c r="E65" s="25">
        <v>236.838952445649</v>
      </c>
      <c r="F65" s="26">
        <v>9.5727176944312101E-3</v>
      </c>
      <c r="G65" s="27">
        <v>6.4773684233087204E-3</v>
      </c>
    </row>
    <row r="66" spans="1:7" x14ac:dyDescent="0.3">
      <c r="A66" s="11" t="s">
        <v>1083</v>
      </c>
      <c r="B66" s="11"/>
      <c r="C66" s="28">
        <v>1</v>
      </c>
      <c r="D66" s="28">
        <v>338.72815649737998</v>
      </c>
      <c r="E66" s="29">
        <v>342.05712901249899</v>
      </c>
      <c r="F66" s="30">
        <v>9.2639620397121994E-3</v>
      </c>
      <c r="G66" s="31">
        <v>9.3550069511544702E-3</v>
      </c>
    </row>
    <row r="67" spans="1:7" x14ac:dyDescent="0.3">
      <c r="A67" s="6" t="s">
        <v>3067</v>
      </c>
      <c r="B67" s="6"/>
      <c r="C67" s="24">
        <v>1</v>
      </c>
      <c r="D67" s="24">
        <v>333.85019699092402</v>
      </c>
      <c r="E67" s="25">
        <v>336.22117699705001</v>
      </c>
      <c r="F67" s="26">
        <v>9.1305534911984305E-3</v>
      </c>
      <c r="G67" s="27">
        <v>9.1953980231700098E-3</v>
      </c>
    </row>
    <row r="68" spans="1:7" x14ac:dyDescent="0.3">
      <c r="A68" s="11" t="s">
        <v>3201</v>
      </c>
      <c r="B68" s="11"/>
      <c r="C68" s="28">
        <v>1</v>
      </c>
      <c r="D68" s="28">
        <v>331.09315959181203</v>
      </c>
      <c r="E68" s="29">
        <v>338.61294330038902</v>
      </c>
      <c r="F68" s="30">
        <v>9.0551505779255907E-3</v>
      </c>
      <c r="G68" s="31">
        <v>9.2608110448423701E-3</v>
      </c>
    </row>
    <row r="69" spans="1:7" x14ac:dyDescent="0.3">
      <c r="A69" s="6" t="s">
        <v>6285</v>
      </c>
      <c r="B69" s="6"/>
      <c r="C69" s="24">
        <v>1</v>
      </c>
      <c r="D69" s="24">
        <v>319.399872258958</v>
      </c>
      <c r="E69" s="25">
        <v>320.74879731970498</v>
      </c>
      <c r="F69" s="26">
        <v>8.7353479046221507E-3</v>
      </c>
      <c r="G69" s="27">
        <v>8.7722399973445102E-3</v>
      </c>
    </row>
    <row r="70" spans="1:7" x14ac:dyDescent="0.3">
      <c r="A70" s="11" t="s">
        <v>1077</v>
      </c>
      <c r="B70" s="11"/>
      <c r="C70" s="28">
        <v>1</v>
      </c>
      <c r="D70" s="28">
        <v>312.66589789641301</v>
      </c>
      <c r="E70" s="29">
        <v>313.61891535742501</v>
      </c>
      <c r="F70" s="30">
        <v>8.5511787362953003E-3</v>
      </c>
      <c r="G70" s="31">
        <v>8.5772430519202407E-3</v>
      </c>
    </row>
    <row r="71" spans="1:7" x14ac:dyDescent="0.3">
      <c r="A71" s="6" t="s">
        <v>3077</v>
      </c>
      <c r="B71" s="6"/>
      <c r="C71" s="24">
        <v>2</v>
      </c>
      <c r="D71" s="24">
        <v>265.03103369910298</v>
      </c>
      <c r="E71" s="25">
        <v>194.508259932389</v>
      </c>
      <c r="F71" s="26">
        <v>7.24840078522721E-3</v>
      </c>
      <c r="G71" s="27">
        <v>5.3196556054177996E-3</v>
      </c>
    </row>
    <row r="72" spans="1:7" x14ac:dyDescent="0.3">
      <c r="A72" s="11" t="s">
        <v>3176</v>
      </c>
      <c r="B72" s="11"/>
      <c r="C72" s="28">
        <v>1</v>
      </c>
      <c r="D72" s="28">
        <v>255.65903160888601</v>
      </c>
      <c r="E72" s="29">
        <v>258.44426613696902</v>
      </c>
      <c r="F72" s="30">
        <v>6.9920835292374703E-3</v>
      </c>
      <c r="G72" s="31">
        <v>7.0682576129235397E-3</v>
      </c>
    </row>
    <row r="73" spans="1:7" x14ac:dyDescent="0.3">
      <c r="A73" s="6" t="s">
        <v>3069</v>
      </c>
      <c r="B73" s="6"/>
      <c r="C73" s="24">
        <v>2</v>
      </c>
      <c r="D73" s="24">
        <v>228.62502974610501</v>
      </c>
      <c r="E73" s="25">
        <v>170.33476864316199</v>
      </c>
      <c r="F73" s="26">
        <v>6.2527237735324499E-3</v>
      </c>
      <c r="G73" s="27">
        <v>4.6585286770089397E-3</v>
      </c>
    </row>
    <row r="74" spans="1:7" x14ac:dyDescent="0.3">
      <c r="A74" s="11" t="s">
        <v>6286</v>
      </c>
      <c r="B74" s="11"/>
      <c r="C74" s="28">
        <v>1</v>
      </c>
      <c r="D74" s="28">
        <v>193.61807304310901</v>
      </c>
      <c r="E74" s="29">
        <v>195.260130748889</v>
      </c>
      <c r="F74" s="30">
        <v>5.2953096589933501E-3</v>
      </c>
      <c r="G74" s="31">
        <v>5.3402187105781396E-3</v>
      </c>
    </row>
    <row r="75" spans="1:7" x14ac:dyDescent="0.3">
      <c r="A75" s="6" t="s">
        <v>6287</v>
      </c>
      <c r="B75" s="6"/>
      <c r="C75" s="24">
        <v>1</v>
      </c>
      <c r="D75" s="24">
        <v>162.24958152643501</v>
      </c>
      <c r="E75" s="25">
        <v>162.73799147090099</v>
      </c>
      <c r="F75" s="26">
        <v>4.4374048492532396E-3</v>
      </c>
      <c r="G75" s="27">
        <v>4.4507624963769296E-3</v>
      </c>
    </row>
    <row r="76" spans="1:7" x14ac:dyDescent="0.3">
      <c r="A76" s="11" t="s">
        <v>3193</v>
      </c>
      <c r="B76" s="11"/>
      <c r="C76" s="28">
        <v>1</v>
      </c>
      <c r="D76" s="28">
        <v>132.55772837831199</v>
      </c>
      <c r="E76" s="29">
        <v>134.19751712498299</v>
      </c>
      <c r="F76" s="30">
        <v>3.6253548463918801E-3</v>
      </c>
      <c r="G76" s="31">
        <v>3.6702018436400299E-3</v>
      </c>
    </row>
    <row r="77" spans="1:7" x14ac:dyDescent="0.3">
      <c r="A77" s="6" t="s">
        <v>3163</v>
      </c>
      <c r="B77" s="6"/>
      <c r="C77" s="24">
        <v>1</v>
      </c>
      <c r="D77" s="24">
        <v>131.03373350099901</v>
      </c>
      <c r="E77" s="25">
        <v>132.62072499386599</v>
      </c>
      <c r="F77" s="26">
        <v>3.5836747249690499E-3</v>
      </c>
      <c r="G77" s="27">
        <v>3.62707775676684E-3</v>
      </c>
    </row>
    <row r="78" spans="1:7" x14ac:dyDescent="0.3">
      <c r="A78" s="11" t="s">
        <v>3174</v>
      </c>
      <c r="B78" s="11"/>
      <c r="C78" s="28">
        <v>1</v>
      </c>
      <c r="D78" s="28">
        <v>126.696022777953</v>
      </c>
      <c r="E78" s="29">
        <v>127.400437126965</v>
      </c>
      <c r="F78" s="30">
        <v>3.4650415770988499E-3</v>
      </c>
      <c r="G78" s="31">
        <v>3.4843067833248598E-3</v>
      </c>
    </row>
    <row r="79" spans="1:7" x14ac:dyDescent="0.3">
      <c r="A79" s="6" t="s">
        <v>3075</v>
      </c>
      <c r="B79" s="6"/>
      <c r="C79" s="24">
        <v>1</v>
      </c>
      <c r="D79" s="24">
        <v>108.742071565944</v>
      </c>
      <c r="E79" s="25">
        <v>109.514224008592</v>
      </c>
      <c r="F79" s="26">
        <v>2.9740144236115899E-3</v>
      </c>
      <c r="G79" s="27">
        <v>2.99513221609607E-3</v>
      </c>
    </row>
    <row r="80" spans="1:7" x14ac:dyDescent="0.3">
      <c r="A80" s="11" t="s">
        <v>1163</v>
      </c>
      <c r="B80" s="11"/>
      <c r="C80" s="28">
        <v>1</v>
      </c>
      <c r="D80" s="28">
        <v>107.637470566644</v>
      </c>
      <c r="E80" s="29">
        <v>108.195850345438</v>
      </c>
      <c r="F80" s="30">
        <v>2.9438044114521102E-3</v>
      </c>
      <c r="G80" s="31">
        <v>2.9590756812750401E-3</v>
      </c>
    </row>
    <row r="81" spans="1:7" x14ac:dyDescent="0.3">
      <c r="A81" s="6" t="s">
        <v>1159</v>
      </c>
      <c r="B81" s="6"/>
      <c r="C81" s="24">
        <v>1</v>
      </c>
      <c r="D81" s="24">
        <v>96.795422914845005</v>
      </c>
      <c r="E81" s="25">
        <v>97.023353212809297</v>
      </c>
      <c r="F81" s="26">
        <v>2.6472825075229598E-3</v>
      </c>
      <c r="G81" s="27">
        <v>2.6535162309012498E-3</v>
      </c>
    </row>
    <row r="82" spans="1:7" x14ac:dyDescent="0.3">
      <c r="A82" s="11" t="s">
        <v>1165</v>
      </c>
      <c r="B82" s="11"/>
      <c r="C82" s="28">
        <v>1</v>
      </c>
      <c r="D82" s="28">
        <v>96.065604765751601</v>
      </c>
      <c r="E82" s="29">
        <v>96.070051335387404</v>
      </c>
      <c r="F82" s="30">
        <v>2.62732252634216E-3</v>
      </c>
      <c r="G82" s="31">
        <v>2.62744413669997E-3</v>
      </c>
    </row>
    <row r="83" spans="1:7" x14ac:dyDescent="0.3">
      <c r="A83" s="6" t="s">
        <v>6288</v>
      </c>
      <c r="B83" s="6"/>
      <c r="C83" s="24">
        <v>1</v>
      </c>
      <c r="D83" s="24">
        <v>94.293721189255706</v>
      </c>
      <c r="E83" s="25">
        <v>95.081576463855797</v>
      </c>
      <c r="F83" s="26">
        <v>2.5788628341772602E-3</v>
      </c>
      <c r="G83" s="27">
        <v>2.60041008738512E-3</v>
      </c>
    </row>
    <row r="84" spans="1:7" x14ac:dyDescent="0.3">
      <c r="A84" s="11" t="s">
        <v>1091</v>
      </c>
      <c r="B84" s="11"/>
      <c r="C84" s="28">
        <v>1</v>
      </c>
      <c r="D84" s="28">
        <v>86.048263068540507</v>
      </c>
      <c r="E84" s="29">
        <v>86.667497051274594</v>
      </c>
      <c r="F84" s="30">
        <v>2.35335571418993E-3</v>
      </c>
      <c r="G84" s="31">
        <v>2.3702913010306202E-3</v>
      </c>
    </row>
    <row r="85" spans="1:7" x14ac:dyDescent="0.3">
      <c r="A85" s="6" t="s">
        <v>1167</v>
      </c>
      <c r="B85" s="6"/>
      <c r="C85" s="24">
        <v>1</v>
      </c>
      <c r="D85" s="24">
        <v>80.021071125141304</v>
      </c>
      <c r="E85" s="25">
        <v>79.869729716628399</v>
      </c>
      <c r="F85" s="26">
        <v>2.1885165170382101E-3</v>
      </c>
      <c r="G85" s="27">
        <v>2.1843774425721299E-3</v>
      </c>
    </row>
    <row r="86" spans="1:7" x14ac:dyDescent="0.3">
      <c r="A86" s="11" t="s">
        <v>3165</v>
      </c>
      <c r="B86" s="11"/>
      <c r="C86" s="28">
        <v>1</v>
      </c>
      <c r="D86" s="28">
        <v>74.9850415303668</v>
      </c>
      <c r="E86" s="29">
        <v>76.143036864230695</v>
      </c>
      <c r="F86" s="30">
        <v>2.0507848696922101E-3</v>
      </c>
      <c r="G86" s="31">
        <v>2.08245517701478E-3</v>
      </c>
    </row>
    <row r="87" spans="1:7" x14ac:dyDescent="0.3">
      <c r="A87" s="6" t="s">
        <v>3063</v>
      </c>
      <c r="B87" s="6"/>
      <c r="C87" s="24">
        <v>1</v>
      </c>
      <c r="D87" s="24">
        <v>74.476347883910094</v>
      </c>
      <c r="E87" s="25">
        <v>74.720710440884204</v>
      </c>
      <c r="F87" s="26">
        <v>2.0368724784716298E-3</v>
      </c>
      <c r="G87" s="27">
        <v>2.0435556118584201E-3</v>
      </c>
    </row>
    <row r="88" spans="1:7" x14ac:dyDescent="0.3">
      <c r="A88" s="11" t="s">
        <v>1067</v>
      </c>
      <c r="B88" s="11"/>
      <c r="C88" s="28">
        <v>1</v>
      </c>
      <c r="D88" s="28">
        <v>64.834874916192106</v>
      </c>
      <c r="E88" s="29">
        <v>65.492220506539397</v>
      </c>
      <c r="F88" s="30">
        <v>1.77318539528537E-3</v>
      </c>
      <c r="G88" s="31">
        <v>1.79116330612373E-3</v>
      </c>
    </row>
    <row r="89" spans="1:7" x14ac:dyDescent="0.3">
      <c r="A89" s="6" t="s">
        <v>6269</v>
      </c>
      <c r="B89" s="6" t="s">
        <v>6270</v>
      </c>
      <c r="C89" s="24">
        <v>8622</v>
      </c>
      <c r="D89" s="24">
        <v>3656407</v>
      </c>
      <c r="E89" s="25">
        <v>5.0245201235888801E-8</v>
      </c>
      <c r="F89" s="26">
        <v>100</v>
      </c>
      <c r="G89" s="27">
        <v>1.01233138679652E-13</v>
      </c>
    </row>
    <row r="90" spans="1:7" x14ac:dyDescent="0.3">
      <c r="A90" s="11" t="s">
        <v>6269</v>
      </c>
      <c r="B90" s="11" t="s">
        <v>6271</v>
      </c>
      <c r="C90" s="28">
        <v>8622</v>
      </c>
      <c r="D90" s="28">
        <v>3656407</v>
      </c>
      <c r="E90" s="29">
        <v>0</v>
      </c>
      <c r="F90" s="30">
        <v>100</v>
      </c>
      <c r="G90" s="31">
        <v>0</v>
      </c>
    </row>
    <row r="91" spans="1:7" x14ac:dyDescent="0.3">
      <c r="A91" s="3299" t="s">
        <v>691</v>
      </c>
      <c r="B91" s="3298"/>
      <c r="C91" s="3298"/>
      <c r="D91" s="3298"/>
      <c r="E91" s="3298"/>
      <c r="F91" s="3298"/>
      <c r="G91" s="3298"/>
    </row>
    <row r="92" spans="1:7" x14ac:dyDescent="0.3">
      <c r="A92" s="11" t="s">
        <v>966</v>
      </c>
      <c r="B92" s="11" t="s">
        <v>6064</v>
      </c>
      <c r="C92" s="36">
        <v>1435</v>
      </c>
      <c r="D92" s="36">
        <v>751458.01807689399</v>
      </c>
      <c r="E92" s="37">
        <v>0.108554250354712</v>
      </c>
      <c r="F92" s="38">
        <v>20.551815431840399</v>
      </c>
      <c r="G92" s="39">
        <v>2.96887768585922E-6</v>
      </c>
    </row>
    <row r="93" spans="1:7" x14ac:dyDescent="0.3">
      <c r="A93" s="6" t="s">
        <v>968</v>
      </c>
      <c r="B93" s="6" t="s">
        <v>6065</v>
      </c>
      <c r="C93" s="32">
        <v>1526</v>
      </c>
      <c r="D93" s="32">
        <v>751457.994776109</v>
      </c>
      <c r="E93" s="33">
        <v>3.3720646944204902E-2</v>
      </c>
      <c r="F93" s="34">
        <v>20.5518147945814</v>
      </c>
      <c r="G93" s="35">
        <v>9.2223444433943802E-7</v>
      </c>
    </row>
    <row r="94" spans="1:7" x14ac:dyDescent="0.3">
      <c r="A94" s="11" t="s">
        <v>972</v>
      </c>
      <c r="B94" s="11" t="s">
        <v>6067</v>
      </c>
      <c r="C94" s="36">
        <v>1470</v>
      </c>
      <c r="D94" s="36">
        <v>751457.00087397196</v>
      </c>
      <c r="E94" s="37">
        <v>1.0847719189455599E-2</v>
      </c>
      <c r="F94" s="38">
        <v>20.551787612100402</v>
      </c>
      <c r="G94" s="39">
        <v>2.9667703973841499E-7</v>
      </c>
    </row>
    <row r="95" spans="1:7" x14ac:dyDescent="0.3">
      <c r="A95" s="6" t="s">
        <v>970</v>
      </c>
      <c r="B95" s="6" t="s">
        <v>6066</v>
      </c>
      <c r="C95" s="32">
        <v>1498</v>
      </c>
      <c r="D95" s="32">
        <v>737045.99702212901</v>
      </c>
      <c r="E95" s="33">
        <v>1.8573777160915898E-2</v>
      </c>
      <c r="F95" s="34">
        <v>20.1576574222216</v>
      </c>
      <c r="G95" s="35">
        <v>5.0797890508922505E-7</v>
      </c>
    </row>
    <row r="96" spans="1:7" x14ac:dyDescent="0.3">
      <c r="A96" s="11" t="s">
        <v>964</v>
      </c>
      <c r="B96" s="11" t="s">
        <v>6063</v>
      </c>
      <c r="C96" s="36">
        <v>1360</v>
      </c>
      <c r="D96" s="36">
        <v>664987.98925089405</v>
      </c>
      <c r="E96" s="37">
        <v>6.5965751913147394E-2</v>
      </c>
      <c r="F96" s="38">
        <v>18.186924739256199</v>
      </c>
      <c r="G96" s="39">
        <v>1.80411398476157E-6</v>
      </c>
    </row>
    <row r="97" spans="1:7" x14ac:dyDescent="0.3">
      <c r="A97" s="6" t="s">
        <v>6269</v>
      </c>
      <c r="B97" s="6" t="s">
        <v>6270</v>
      </c>
      <c r="C97" s="32">
        <v>7289</v>
      </c>
      <c r="D97" s="32">
        <v>3656407</v>
      </c>
      <c r="E97" s="33">
        <v>1.44086511314734E-8</v>
      </c>
      <c r="F97" s="34">
        <v>100</v>
      </c>
      <c r="G97" s="35">
        <v>0</v>
      </c>
    </row>
    <row r="98" spans="1:7" x14ac:dyDescent="0.3">
      <c r="A98" s="11" t="s">
        <v>6269</v>
      </c>
      <c r="B98" s="11" t="s">
        <v>6271</v>
      </c>
      <c r="C98" s="36">
        <v>7289</v>
      </c>
      <c r="D98" s="36">
        <v>3656407</v>
      </c>
      <c r="E98" s="37">
        <v>0</v>
      </c>
      <c r="F98" s="38">
        <v>100</v>
      </c>
      <c r="G98" s="39">
        <v>0</v>
      </c>
    </row>
    <row r="99" spans="1:7" x14ac:dyDescent="0.3">
      <c r="A99" s="3299" t="s">
        <v>611</v>
      </c>
      <c r="B99" s="3298"/>
      <c r="C99" s="3298"/>
      <c r="D99" s="3298"/>
      <c r="E99" s="3298"/>
      <c r="F99" s="3298"/>
      <c r="G99" s="3298"/>
    </row>
    <row r="100" spans="1:7" x14ac:dyDescent="0.3">
      <c r="A100" s="11" t="s">
        <v>6289</v>
      </c>
      <c r="B100" s="11"/>
      <c r="C100" s="44">
        <v>8631</v>
      </c>
      <c r="D100" s="44">
        <v>3656407</v>
      </c>
      <c r="E100" s="45">
        <v>9.4030312632811204E-8</v>
      </c>
      <c r="F100" s="46">
        <v>100</v>
      </c>
      <c r="G100" s="47">
        <v>0</v>
      </c>
    </row>
    <row r="101" spans="1:7" x14ac:dyDescent="0.3">
      <c r="A101" s="6" t="s">
        <v>6269</v>
      </c>
      <c r="B101" s="6" t="s">
        <v>6270</v>
      </c>
      <c r="C101" s="40">
        <v>8631</v>
      </c>
      <c r="D101" s="40">
        <v>3656407</v>
      </c>
      <c r="E101" s="41">
        <v>9.4030312632811204E-8</v>
      </c>
      <c r="F101" s="42">
        <v>100</v>
      </c>
      <c r="G101" s="43">
        <v>0</v>
      </c>
    </row>
    <row r="102" spans="1:7" x14ac:dyDescent="0.3">
      <c r="A102" s="11" t="s">
        <v>6269</v>
      </c>
      <c r="B102" s="11" t="s">
        <v>6271</v>
      </c>
      <c r="C102" s="44">
        <v>8631</v>
      </c>
      <c r="D102" s="44">
        <v>3656407</v>
      </c>
      <c r="E102" s="45">
        <v>0</v>
      </c>
      <c r="F102" s="46">
        <v>100</v>
      </c>
      <c r="G102" s="47">
        <v>0</v>
      </c>
    </row>
    <row r="103" spans="1:7" x14ac:dyDescent="0.3">
      <c r="A103" s="3299" t="s">
        <v>305</v>
      </c>
      <c r="B103" s="3298"/>
      <c r="C103" s="3298"/>
      <c r="D103" s="3298"/>
      <c r="E103" s="3298"/>
      <c r="F103" s="3298"/>
      <c r="G103" s="3298"/>
    </row>
    <row r="104" spans="1:7" x14ac:dyDescent="0.3">
      <c r="A104" s="11" t="s">
        <v>962</v>
      </c>
      <c r="B104" s="11" t="s">
        <v>3092</v>
      </c>
      <c r="C104" s="52">
        <v>8599</v>
      </c>
      <c r="D104" s="52">
        <v>3618013.37037866</v>
      </c>
      <c r="E104" s="53">
        <v>8885.3865540676907</v>
      </c>
      <c r="F104" s="54">
        <v>98.949962911094204</v>
      </c>
      <c r="G104" s="55">
        <v>0.24300868459317301</v>
      </c>
    </row>
    <row r="105" spans="1:7" x14ac:dyDescent="0.3">
      <c r="A105" s="6" t="s">
        <v>964</v>
      </c>
      <c r="B105" s="6" t="s">
        <v>3093</v>
      </c>
      <c r="C105" s="48">
        <v>32</v>
      </c>
      <c r="D105" s="48">
        <v>38393.629621346001</v>
      </c>
      <c r="E105" s="49">
        <v>8885.3865540726201</v>
      </c>
      <c r="F105" s="50">
        <v>1.05003708890575</v>
      </c>
      <c r="G105" s="51">
        <v>0.24300868459316899</v>
      </c>
    </row>
    <row r="106" spans="1:7" x14ac:dyDescent="0.3">
      <c r="A106" s="11" t="s">
        <v>6269</v>
      </c>
      <c r="B106" s="11" t="s">
        <v>6270</v>
      </c>
      <c r="C106" s="52">
        <v>8631</v>
      </c>
      <c r="D106" s="52">
        <v>3656407</v>
      </c>
      <c r="E106" s="53">
        <v>8.5910586345238904E-8</v>
      </c>
      <c r="F106" s="54">
        <v>100</v>
      </c>
      <c r="G106" s="55">
        <v>1.01233138679652E-13</v>
      </c>
    </row>
    <row r="107" spans="1:7" x14ac:dyDescent="0.3">
      <c r="A107" s="6" t="s">
        <v>6269</v>
      </c>
      <c r="B107" s="6" t="s">
        <v>6271</v>
      </c>
      <c r="C107" s="48">
        <v>8631</v>
      </c>
      <c r="D107" s="48">
        <v>3656407</v>
      </c>
      <c r="E107" s="49">
        <v>0</v>
      </c>
      <c r="F107" s="50">
        <v>100</v>
      </c>
      <c r="G107" s="51">
        <v>0</v>
      </c>
    </row>
    <row r="108" spans="1:7" x14ac:dyDescent="0.3">
      <c r="A108" s="3299" t="s">
        <v>545</v>
      </c>
      <c r="B108" s="3298"/>
      <c r="C108" s="3298"/>
      <c r="D108" s="3298"/>
      <c r="E108" s="3298"/>
      <c r="F108" s="3298"/>
      <c r="G108" s="3298"/>
    </row>
    <row r="109" spans="1:7" x14ac:dyDescent="0.3">
      <c r="A109" s="11" t="s">
        <v>968</v>
      </c>
      <c r="B109" s="11" t="s">
        <v>922</v>
      </c>
      <c r="C109" s="60">
        <v>8023</v>
      </c>
      <c r="D109" s="60">
        <v>3301252.24494986</v>
      </c>
      <c r="E109" s="61">
        <v>24987.4872214549</v>
      </c>
      <c r="F109" s="62">
        <v>90.286782761051001</v>
      </c>
      <c r="G109" s="63">
        <v>0.68338910907463901</v>
      </c>
    </row>
    <row r="110" spans="1:7" x14ac:dyDescent="0.3">
      <c r="A110" s="6" t="s">
        <v>1152</v>
      </c>
      <c r="B110" s="6" t="s">
        <v>6003</v>
      </c>
      <c r="C110" s="56">
        <v>608</v>
      </c>
      <c r="D110" s="56">
        <v>355154.75505013898</v>
      </c>
      <c r="E110" s="57">
        <v>24987.487221441399</v>
      </c>
      <c r="F110" s="58">
        <v>9.7132172389490208</v>
      </c>
      <c r="G110" s="59">
        <v>0.68338910907463601</v>
      </c>
    </row>
    <row r="111" spans="1:7" x14ac:dyDescent="0.3">
      <c r="A111" s="11" t="s">
        <v>6269</v>
      </c>
      <c r="B111" s="11" t="s">
        <v>6270</v>
      </c>
      <c r="C111" s="60">
        <v>8631</v>
      </c>
      <c r="D111" s="60">
        <v>3656407</v>
      </c>
      <c r="E111" s="61">
        <v>7.56806532899695E-8</v>
      </c>
      <c r="F111" s="62">
        <v>100</v>
      </c>
      <c r="G111" s="63">
        <v>1.78031750616652E-14</v>
      </c>
    </row>
    <row r="112" spans="1:7" x14ac:dyDescent="0.3">
      <c r="A112" s="6" t="s">
        <v>6269</v>
      </c>
      <c r="B112" s="6" t="s">
        <v>6271</v>
      </c>
      <c r="C112" s="56">
        <v>8631</v>
      </c>
      <c r="D112" s="56">
        <v>3656407</v>
      </c>
      <c r="E112" s="57">
        <v>0</v>
      </c>
      <c r="F112" s="58">
        <v>100</v>
      </c>
      <c r="G112" s="59">
        <v>0</v>
      </c>
    </row>
    <row r="113" spans="1:7" x14ac:dyDescent="0.3">
      <c r="A113" s="3299" t="s">
        <v>547</v>
      </c>
      <c r="B113" s="3298"/>
      <c r="C113" s="3298"/>
      <c r="D113" s="3298"/>
      <c r="E113" s="3298"/>
      <c r="F113" s="3298"/>
      <c r="G113" s="3298"/>
    </row>
    <row r="114" spans="1:7" x14ac:dyDescent="0.3">
      <c r="A114" s="11" t="s">
        <v>962</v>
      </c>
      <c r="B114" s="11" t="s">
        <v>6016</v>
      </c>
      <c r="C114" s="68">
        <v>2783</v>
      </c>
      <c r="D114" s="68">
        <v>2029648.0831971201</v>
      </c>
      <c r="E114" s="69">
        <v>0.429651288332493</v>
      </c>
      <c r="F114" s="70">
        <v>55.509358865058502</v>
      </c>
      <c r="G114" s="71">
        <v>1.17506419592818E-5</v>
      </c>
    </row>
    <row r="115" spans="1:7" x14ac:dyDescent="0.3">
      <c r="A115" s="6" t="s">
        <v>966</v>
      </c>
      <c r="B115" s="6" t="s">
        <v>6018</v>
      </c>
      <c r="C115" s="64">
        <v>5029</v>
      </c>
      <c r="D115" s="64">
        <v>983315.95880371798</v>
      </c>
      <c r="E115" s="65">
        <v>0.22944026112486801</v>
      </c>
      <c r="F115" s="66">
        <v>26.892956905610301</v>
      </c>
      <c r="G115" s="67">
        <v>6.27501967243562E-6</v>
      </c>
    </row>
    <row r="116" spans="1:7" x14ac:dyDescent="0.3">
      <c r="A116" s="11" t="s">
        <v>968</v>
      </c>
      <c r="B116" s="11" t="s">
        <v>6019</v>
      </c>
      <c r="C116" s="68">
        <v>819</v>
      </c>
      <c r="D116" s="68">
        <v>643442.95799916296</v>
      </c>
      <c r="E116" s="69">
        <v>0.201384760378952</v>
      </c>
      <c r="F116" s="70">
        <v>17.5976842293312</v>
      </c>
      <c r="G116" s="71">
        <v>5.5077227133879203E-6</v>
      </c>
    </row>
    <row r="117" spans="1:7" x14ac:dyDescent="0.3">
      <c r="A117" s="6" t="s">
        <v>6269</v>
      </c>
      <c r="B117" s="6" t="s">
        <v>6270</v>
      </c>
      <c r="C117" s="64">
        <v>8631</v>
      </c>
      <c r="D117" s="64">
        <v>3656407</v>
      </c>
      <c r="E117" s="65">
        <v>1.5752060546942399E-8</v>
      </c>
      <c r="F117" s="66">
        <v>100</v>
      </c>
      <c r="G117" s="67">
        <v>1.02786679142825E-14</v>
      </c>
    </row>
    <row r="118" spans="1:7" x14ac:dyDescent="0.3">
      <c r="A118" s="11" t="s">
        <v>6269</v>
      </c>
      <c r="B118" s="11" t="s">
        <v>6271</v>
      </c>
      <c r="C118" s="68">
        <v>8631</v>
      </c>
      <c r="D118" s="68">
        <v>3656407</v>
      </c>
      <c r="E118" s="69">
        <v>0</v>
      </c>
      <c r="F118" s="70">
        <v>100</v>
      </c>
      <c r="G118" s="71">
        <v>0</v>
      </c>
    </row>
    <row r="119" spans="1:7" x14ac:dyDescent="0.3">
      <c r="A119" s="3299" t="s">
        <v>513</v>
      </c>
      <c r="B119" s="3298"/>
      <c r="C119" s="3298"/>
      <c r="D119" s="3298"/>
      <c r="E119" s="3298"/>
      <c r="F119" s="3298"/>
      <c r="G119" s="3298"/>
    </row>
    <row r="120" spans="1:7" x14ac:dyDescent="0.3">
      <c r="A120" s="11" t="s">
        <v>962</v>
      </c>
      <c r="B120" s="11" t="s">
        <v>5978</v>
      </c>
      <c r="C120" s="76">
        <v>8003</v>
      </c>
      <c r="D120" s="76">
        <v>3371503.19844783</v>
      </c>
      <c r="E120" s="77">
        <v>25804.036485872199</v>
      </c>
      <c r="F120" s="78">
        <v>92.208093859568507</v>
      </c>
      <c r="G120" s="79">
        <v>0.70572112146905097</v>
      </c>
    </row>
    <row r="121" spans="1:7" x14ac:dyDescent="0.3">
      <c r="A121" s="6" t="s">
        <v>966</v>
      </c>
      <c r="B121" s="6" t="s">
        <v>5980</v>
      </c>
      <c r="C121" s="72">
        <v>556</v>
      </c>
      <c r="D121" s="72">
        <v>255715.95867368401</v>
      </c>
      <c r="E121" s="73">
        <v>23484.529292536099</v>
      </c>
      <c r="F121" s="74">
        <v>6.9936404419334099</v>
      </c>
      <c r="G121" s="75">
        <v>0.64228433247546002</v>
      </c>
    </row>
    <row r="122" spans="1:7" x14ac:dyDescent="0.3">
      <c r="A122" s="11" t="s">
        <v>964</v>
      </c>
      <c r="B122" s="11" t="s">
        <v>5979</v>
      </c>
      <c r="C122" s="76">
        <v>72</v>
      </c>
      <c r="D122" s="76">
        <v>29187.842878483301</v>
      </c>
      <c r="E122" s="77">
        <v>6024.24457754368</v>
      </c>
      <c r="F122" s="78">
        <v>0.79826569849809603</v>
      </c>
      <c r="G122" s="79">
        <v>0.16475858889734399</v>
      </c>
    </row>
    <row r="123" spans="1:7" x14ac:dyDescent="0.3">
      <c r="A123" s="6" t="s">
        <v>6269</v>
      </c>
      <c r="B123" s="6" t="s">
        <v>6270</v>
      </c>
      <c r="C123" s="72">
        <v>8631</v>
      </c>
      <c r="D123" s="72">
        <v>3656407</v>
      </c>
      <c r="E123" s="73">
        <v>1.10633797367862E-7</v>
      </c>
      <c r="F123" s="74">
        <v>100</v>
      </c>
      <c r="G123" s="75">
        <v>1.78031750616652E-14</v>
      </c>
    </row>
    <row r="124" spans="1:7" x14ac:dyDescent="0.3">
      <c r="A124" s="11" t="s">
        <v>6269</v>
      </c>
      <c r="B124" s="11" t="s">
        <v>6271</v>
      </c>
      <c r="C124" s="76">
        <v>8631</v>
      </c>
      <c r="D124" s="76">
        <v>3656407</v>
      </c>
      <c r="E124" s="77">
        <v>0</v>
      </c>
      <c r="F124" s="78">
        <v>100</v>
      </c>
      <c r="G124" s="79">
        <v>0</v>
      </c>
    </row>
    <row r="125" spans="1:7" x14ac:dyDescent="0.3">
      <c r="A125" s="3299" t="s">
        <v>517</v>
      </c>
      <c r="B125" s="3298"/>
      <c r="C125" s="3298"/>
      <c r="D125" s="3298"/>
      <c r="E125" s="3298"/>
      <c r="F125" s="3298"/>
      <c r="G125" s="3298"/>
    </row>
    <row r="126" spans="1:7" x14ac:dyDescent="0.3">
      <c r="A126" s="11" t="s">
        <v>966</v>
      </c>
      <c r="B126" s="11" t="s">
        <v>5980</v>
      </c>
      <c r="C126" s="84">
        <v>5437</v>
      </c>
      <c r="D126" s="84">
        <v>2381356.3587333201</v>
      </c>
      <c r="E126" s="85">
        <v>13166.933764315399</v>
      </c>
      <c r="F126" s="86">
        <v>65.128317463928894</v>
      </c>
      <c r="G126" s="87">
        <v>0.36010580234413803</v>
      </c>
    </row>
    <row r="127" spans="1:7" x14ac:dyDescent="0.3">
      <c r="A127" s="6" t="s">
        <v>964</v>
      </c>
      <c r="B127" s="6" t="s">
        <v>5979</v>
      </c>
      <c r="C127" s="80">
        <v>3194</v>
      </c>
      <c r="D127" s="80">
        <v>1275050.6412666801</v>
      </c>
      <c r="E127" s="81">
        <v>13166.933764318001</v>
      </c>
      <c r="F127" s="82">
        <v>34.871682536071098</v>
      </c>
      <c r="G127" s="83">
        <v>0.36010580234413497</v>
      </c>
    </row>
    <row r="128" spans="1:7" x14ac:dyDescent="0.3">
      <c r="A128" s="11" t="s">
        <v>6269</v>
      </c>
      <c r="B128" s="11" t="s">
        <v>6270</v>
      </c>
      <c r="C128" s="84">
        <v>8631</v>
      </c>
      <c r="D128" s="84">
        <v>3656407</v>
      </c>
      <c r="E128" s="85">
        <v>1.9906290599732202E-8</v>
      </c>
      <c r="F128" s="86">
        <v>100</v>
      </c>
      <c r="G128" s="87">
        <v>1.45362315675074E-14</v>
      </c>
    </row>
    <row r="129" spans="1:7" x14ac:dyDescent="0.3">
      <c r="A129" s="6" t="s">
        <v>6269</v>
      </c>
      <c r="B129" s="6" t="s">
        <v>6271</v>
      </c>
      <c r="C129" s="80">
        <v>8631</v>
      </c>
      <c r="D129" s="80">
        <v>3656407</v>
      </c>
      <c r="E129" s="81">
        <v>0</v>
      </c>
      <c r="F129" s="82">
        <v>100</v>
      </c>
      <c r="G129" s="83">
        <v>0</v>
      </c>
    </row>
    <row r="130" spans="1:7" x14ac:dyDescent="0.3">
      <c r="A130" s="3299" t="s">
        <v>265</v>
      </c>
      <c r="B130" s="3298"/>
      <c r="C130" s="3298"/>
      <c r="D130" s="3298"/>
      <c r="E130" s="3298"/>
      <c r="F130" s="3298"/>
      <c r="G130" s="3298"/>
    </row>
    <row r="131" spans="1:7" x14ac:dyDescent="0.3">
      <c r="A131" s="11" t="s">
        <v>962</v>
      </c>
      <c r="B131" s="11" t="s">
        <v>3079</v>
      </c>
      <c r="C131" s="92">
        <v>6388</v>
      </c>
      <c r="D131" s="92">
        <v>2261049.01815945</v>
      </c>
      <c r="E131" s="93">
        <v>116.610601023515</v>
      </c>
      <c r="F131" s="94">
        <v>61.839965920052599</v>
      </c>
      <c r="G131" s="95">
        <v>1.2222872964710999E-3</v>
      </c>
    </row>
    <row r="132" spans="1:7" x14ac:dyDescent="0.3">
      <c r="A132" s="6" t="s">
        <v>964</v>
      </c>
      <c r="B132" s="6" t="s">
        <v>3080</v>
      </c>
      <c r="C132" s="88">
        <v>2172</v>
      </c>
      <c r="D132" s="88">
        <v>1357190.0053401601</v>
      </c>
      <c r="E132" s="89">
        <v>10072.617129234</v>
      </c>
      <c r="F132" s="90">
        <v>37.119311878338401</v>
      </c>
      <c r="G132" s="91">
        <v>0.27615467963144502</v>
      </c>
    </row>
    <row r="133" spans="1:7" x14ac:dyDescent="0.3">
      <c r="A133" s="11" t="s">
        <v>983</v>
      </c>
      <c r="B133" s="11" t="s">
        <v>3081</v>
      </c>
      <c r="C133" s="92">
        <v>69</v>
      </c>
      <c r="D133" s="92">
        <v>38051.830674793397</v>
      </c>
      <c r="E133" s="93">
        <v>10072.6629002429</v>
      </c>
      <c r="F133" s="94">
        <v>1.0407222016090301</v>
      </c>
      <c r="G133" s="95">
        <v>0.27546908263715703</v>
      </c>
    </row>
    <row r="134" spans="1:7" x14ac:dyDescent="0.3">
      <c r="A134" s="6" t="s">
        <v>958</v>
      </c>
      <c r="B134" s="6" t="s">
        <v>959</v>
      </c>
      <c r="C134" s="88">
        <v>2</v>
      </c>
      <c r="D134" s="88">
        <v>116.145825602163</v>
      </c>
      <c r="E134" s="89">
        <v>116.583066150568</v>
      </c>
      <c r="F134" s="90">
        <v>100</v>
      </c>
      <c r="G134" s="91" t="e">
        <v>#NUM!</v>
      </c>
    </row>
    <row r="135" spans="1:7" x14ac:dyDescent="0.3">
      <c r="A135" s="11" t="s">
        <v>6269</v>
      </c>
      <c r="B135" s="11" t="s">
        <v>6270</v>
      </c>
      <c r="C135" s="92">
        <v>8629</v>
      </c>
      <c r="D135" s="92">
        <v>3656290.8541744002</v>
      </c>
      <c r="E135" s="93">
        <v>116.583066154619</v>
      </c>
      <c r="F135" s="94">
        <v>99.996823498434296</v>
      </c>
      <c r="G135" s="95">
        <v>3.1884597680248801E-3</v>
      </c>
    </row>
    <row r="136" spans="1:7" x14ac:dyDescent="0.3">
      <c r="A136" s="6" t="s">
        <v>6269</v>
      </c>
      <c r="B136" s="6" t="s">
        <v>6271</v>
      </c>
      <c r="C136" s="88">
        <v>8631</v>
      </c>
      <c r="D136" s="88">
        <v>3656407</v>
      </c>
      <c r="E136" s="89">
        <v>0</v>
      </c>
      <c r="F136" s="90">
        <v>100</v>
      </c>
      <c r="G136" s="91">
        <v>0</v>
      </c>
    </row>
    <row r="137" spans="1:7" x14ac:dyDescent="0.3">
      <c r="A137" s="3299" t="s">
        <v>270</v>
      </c>
      <c r="B137" s="3298"/>
      <c r="C137" s="3298"/>
      <c r="D137" s="3298"/>
      <c r="E137" s="3298"/>
      <c r="F137" s="3298"/>
      <c r="G137" s="3298"/>
    </row>
    <row r="138" spans="1:7" x14ac:dyDescent="0.3">
      <c r="A138" s="11" t="s">
        <v>6290</v>
      </c>
      <c r="B138" s="11"/>
      <c r="C138" s="100">
        <v>44</v>
      </c>
      <c r="D138" s="100">
        <v>22495.916289255601</v>
      </c>
      <c r="E138" s="101">
        <v>5896.2822942816001</v>
      </c>
      <c r="F138" s="102">
        <v>75.4952827182628</v>
      </c>
      <c r="G138" s="103">
        <v>7.36722843508407</v>
      </c>
    </row>
    <row r="139" spans="1:7" x14ac:dyDescent="0.3">
      <c r="A139" s="6" t="s">
        <v>6291</v>
      </c>
      <c r="B139" s="6"/>
      <c r="C139" s="96">
        <v>10</v>
      </c>
      <c r="D139" s="96">
        <v>4437.3401400201201</v>
      </c>
      <c r="E139" s="97">
        <v>2530.2035236848801</v>
      </c>
      <c r="F139" s="98">
        <v>14.8915138232407</v>
      </c>
      <c r="G139" s="99">
        <v>7.8691104768600697</v>
      </c>
    </row>
    <row r="140" spans="1:7" x14ac:dyDescent="0.3">
      <c r="A140" s="11" t="s">
        <v>6292</v>
      </c>
      <c r="B140" s="11"/>
      <c r="C140" s="100">
        <v>2</v>
      </c>
      <c r="D140" s="100">
        <v>1726.6441383634201</v>
      </c>
      <c r="E140" s="101">
        <v>1226.2844537671399</v>
      </c>
      <c r="F140" s="102">
        <v>5.7945400268864304</v>
      </c>
      <c r="G140" s="103">
        <v>4.5124123746911398</v>
      </c>
    </row>
    <row r="141" spans="1:7" x14ac:dyDescent="0.3">
      <c r="A141" s="6" t="s">
        <v>6293</v>
      </c>
      <c r="B141" s="6"/>
      <c r="C141" s="96">
        <v>3</v>
      </c>
      <c r="D141" s="96">
        <v>1137.8768288731801</v>
      </c>
      <c r="E141" s="97">
        <v>1027.3313238298001</v>
      </c>
      <c r="F141" s="98">
        <v>3.8186634316100498</v>
      </c>
      <c r="G141" s="99">
        <v>3.5674919008542099</v>
      </c>
    </row>
    <row r="142" spans="1:7" x14ac:dyDescent="0.3">
      <c r="A142" s="11" t="s">
        <v>960</v>
      </c>
      <c r="B142" s="11" t="s">
        <v>961</v>
      </c>
      <c r="C142" s="100">
        <v>8562</v>
      </c>
      <c r="D142" s="100">
        <v>3618355.1693252102</v>
      </c>
      <c r="E142" s="101">
        <v>10072.6629002383</v>
      </c>
      <c r="F142" s="102">
        <v>99.772403014175495</v>
      </c>
      <c r="G142" s="103">
        <v>0.121435649931617</v>
      </c>
    </row>
    <row r="143" spans="1:7" x14ac:dyDescent="0.3">
      <c r="A143" s="6" t="s">
        <v>974</v>
      </c>
      <c r="B143" s="6" t="s">
        <v>975</v>
      </c>
      <c r="C143" s="96">
        <v>10</v>
      </c>
      <c r="D143" s="96">
        <v>8254.0532782810897</v>
      </c>
      <c r="E143" s="97">
        <v>4400.8397426625297</v>
      </c>
      <c r="F143" s="98">
        <v>0.227596985824561</v>
      </c>
      <c r="G143" s="99">
        <v>0.12143564993162199</v>
      </c>
    </row>
    <row r="144" spans="1:7" x14ac:dyDescent="0.3">
      <c r="A144" s="11" t="s">
        <v>6269</v>
      </c>
      <c r="B144" s="11" t="s">
        <v>6270</v>
      </c>
      <c r="C144" s="100">
        <v>59</v>
      </c>
      <c r="D144" s="100">
        <v>29797.777396512301</v>
      </c>
      <c r="E144" s="101">
        <v>7308.0040842425697</v>
      </c>
      <c r="F144" s="102">
        <v>0.81494695192609301</v>
      </c>
      <c r="G144" s="103">
        <v>0.19986845239718901</v>
      </c>
    </row>
    <row r="145" spans="1:7" x14ac:dyDescent="0.3">
      <c r="A145" s="6" t="s">
        <v>6269</v>
      </c>
      <c r="B145" s="6" t="s">
        <v>6271</v>
      </c>
      <c r="C145" s="96">
        <v>8631</v>
      </c>
      <c r="D145" s="96">
        <v>3656407</v>
      </c>
      <c r="E145" s="97">
        <v>0</v>
      </c>
      <c r="F145" s="98">
        <v>100</v>
      </c>
      <c r="G145" s="99">
        <v>0</v>
      </c>
    </row>
    <row r="146" spans="1:7" x14ac:dyDescent="0.3">
      <c r="A146" s="3299" t="s">
        <v>255</v>
      </c>
      <c r="B146" s="3298"/>
      <c r="C146" s="3298"/>
      <c r="D146" s="3298"/>
      <c r="E146" s="3298"/>
      <c r="F146" s="3298"/>
      <c r="G146" s="3298"/>
    </row>
    <row r="147" spans="1:7" x14ac:dyDescent="0.3">
      <c r="A147" s="11" t="s">
        <v>6274</v>
      </c>
      <c r="B147" s="11"/>
      <c r="C147" s="108">
        <v>3585</v>
      </c>
      <c r="D147" s="108">
        <v>1206497</v>
      </c>
      <c r="E147" s="109">
        <v>1.71108460450814E-8</v>
      </c>
      <c r="F147" s="110">
        <v>32.996791659134303</v>
      </c>
      <c r="G147" s="111">
        <v>4.6116753069507897E-13</v>
      </c>
    </row>
    <row r="148" spans="1:7" x14ac:dyDescent="0.3">
      <c r="A148" s="6" t="s">
        <v>6272</v>
      </c>
      <c r="B148" s="6"/>
      <c r="C148" s="104">
        <v>2769</v>
      </c>
      <c r="D148" s="104">
        <v>983495.99999999802</v>
      </c>
      <c r="E148" s="105">
        <v>1.7831261972536399E-8</v>
      </c>
      <c r="F148" s="106">
        <v>26.897880897832199</v>
      </c>
      <c r="G148" s="107">
        <v>4.6866668144586002E-13</v>
      </c>
    </row>
    <row r="149" spans="1:7" x14ac:dyDescent="0.3">
      <c r="A149" s="11" t="s">
        <v>6273</v>
      </c>
      <c r="B149" s="11"/>
      <c r="C149" s="108">
        <v>1065</v>
      </c>
      <c r="D149" s="108">
        <v>615797.99999999895</v>
      </c>
      <c r="E149" s="109">
        <v>9.5139577884325093E-9</v>
      </c>
      <c r="F149" s="110">
        <v>16.841615279699401</v>
      </c>
      <c r="G149" s="111">
        <v>2.50631464637092E-13</v>
      </c>
    </row>
    <row r="150" spans="1:7" x14ac:dyDescent="0.3">
      <c r="A150" s="6" t="s">
        <v>6276</v>
      </c>
      <c r="B150" s="6"/>
      <c r="C150" s="104">
        <v>797</v>
      </c>
      <c r="D150" s="104">
        <v>548215.82926808205</v>
      </c>
      <c r="E150" s="105">
        <v>16181.7402267302</v>
      </c>
      <c r="F150" s="106">
        <v>14.9932933961696</v>
      </c>
      <c r="G150" s="107">
        <v>0.44255850693675902</v>
      </c>
    </row>
    <row r="151" spans="1:7" x14ac:dyDescent="0.3">
      <c r="A151" s="11" t="s">
        <v>6275</v>
      </c>
      <c r="B151" s="11"/>
      <c r="C151" s="108">
        <v>298</v>
      </c>
      <c r="D151" s="108">
        <v>196844.962201082</v>
      </c>
      <c r="E151" s="109">
        <v>16192.6764730059</v>
      </c>
      <c r="F151" s="110">
        <v>5.3835626668771299</v>
      </c>
      <c r="G151" s="111">
        <v>0.44285760510264999</v>
      </c>
    </row>
    <row r="152" spans="1:7" x14ac:dyDescent="0.3">
      <c r="A152" s="6" t="s">
        <v>6278</v>
      </c>
      <c r="B152" s="6"/>
      <c r="C152" s="104">
        <v>78</v>
      </c>
      <c r="D152" s="104">
        <v>71823.724550589293</v>
      </c>
      <c r="E152" s="105">
        <v>6227.84838909668</v>
      </c>
      <c r="F152" s="106">
        <v>1.96432521189762</v>
      </c>
      <c r="G152" s="107">
        <v>0.17032700104492199</v>
      </c>
    </row>
    <row r="153" spans="1:7" x14ac:dyDescent="0.3">
      <c r="A153" s="11" t="s">
        <v>6277</v>
      </c>
      <c r="B153" s="11"/>
      <c r="C153" s="108">
        <v>24</v>
      </c>
      <c r="D153" s="108">
        <v>22698.684345385002</v>
      </c>
      <c r="E153" s="109">
        <v>4626.2431210637496</v>
      </c>
      <c r="F153" s="110">
        <v>0.62079206022155098</v>
      </c>
      <c r="G153" s="111">
        <v>0.126524293413281</v>
      </c>
    </row>
    <row r="154" spans="1:7" x14ac:dyDescent="0.3">
      <c r="A154" s="6" t="s">
        <v>6279</v>
      </c>
      <c r="B154" s="6"/>
      <c r="C154" s="104">
        <v>14</v>
      </c>
      <c r="D154" s="104">
        <v>10489.909901795399</v>
      </c>
      <c r="E154" s="105">
        <v>3312.08337952689</v>
      </c>
      <c r="F154" s="106">
        <v>0.28689119952443598</v>
      </c>
      <c r="G154" s="107">
        <v>9.0583006200537899E-2</v>
      </c>
    </row>
    <row r="155" spans="1:7" x14ac:dyDescent="0.3">
      <c r="A155" s="11" t="s">
        <v>995</v>
      </c>
      <c r="B155" s="11"/>
      <c r="C155" s="108">
        <v>1</v>
      </c>
      <c r="D155" s="108">
        <v>542.88973306652395</v>
      </c>
      <c r="E155" s="109">
        <v>543.04830951460497</v>
      </c>
      <c r="F155" s="110">
        <v>1.48476286438168E-2</v>
      </c>
      <c r="G155" s="111">
        <v>1.4851965591210299E-2</v>
      </c>
    </row>
    <row r="156" spans="1:7" x14ac:dyDescent="0.3">
      <c r="A156" s="6" t="s">
        <v>6269</v>
      </c>
      <c r="B156" s="6" t="s">
        <v>6270</v>
      </c>
      <c r="C156" s="104">
        <v>8631</v>
      </c>
      <c r="D156" s="104">
        <v>3656407</v>
      </c>
      <c r="E156" s="105">
        <v>9.9438040070527305E-9</v>
      </c>
      <c r="F156" s="106">
        <v>100</v>
      </c>
      <c r="G156" s="107">
        <v>1.02786679142825E-14</v>
      </c>
    </row>
    <row r="157" spans="1:7" x14ac:dyDescent="0.3">
      <c r="A157" s="11" t="s">
        <v>6269</v>
      </c>
      <c r="B157" s="11" t="s">
        <v>6271</v>
      </c>
      <c r="C157" s="108">
        <v>8631</v>
      </c>
      <c r="D157" s="108">
        <v>3656407</v>
      </c>
      <c r="E157" s="109">
        <v>0</v>
      </c>
      <c r="F157" s="110">
        <v>100</v>
      </c>
      <c r="G157" s="111">
        <v>0</v>
      </c>
    </row>
    <row r="158" spans="1:7" x14ac:dyDescent="0.3">
      <c r="A158" s="3299" t="s">
        <v>262</v>
      </c>
      <c r="B158" s="3298"/>
      <c r="C158" s="3298"/>
      <c r="D158" s="3298"/>
      <c r="E158" s="3298"/>
      <c r="F158" s="3298"/>
      <c r="G158" s="3298"/>
    </row>
    <row r="159" spans="1:7" x14ac:dyDescent="0.3">
      <c r="A159" s="11" t="s">
        <v>6274</v>
      </c>
      <c r="B159" s="11"/>
      <c r="C159" s="116">
        <v>3288</v>
      </c>
      <c r="D159" s="116">
        <v>1248920.6306348401</v>
      </c>
      <c r="E159" s="117">
        <v>19026.837457455898</v>
      </c>
      <c r="F159" s="118">
        <v>34.157046265222498</v>
      </c>
      <c r="G159" s="119">
        <v>0.52036979082075996</v>
      </c>
    </row>
    <row r="160" spans="1:7" x14ac:dyDescent="0.3">
      <c r="A160" s="6" t="s">
        <v>6272</v>
      </c>
      <c r="B160" s="6"/>
      <c r="C160" s="112">
        <v>2742</v>
      </c>
      <c r="D160" s="112">
        <v>1229928.6388697301</v>
      </c>
      <c r="E160" s="113">
        <v>2.1638801985411602</v>
      </c>
      <c r="F160" s="114">
        <v>33.637629478056603</v>
      </c>
      <c r="G160" s="115">
        <v>5.9180507258956498E-5</v>
      </c>
    </row>
    <row r="161" spans="1:7" x14ac:dyDescent="0.3">
      <c r="A161" s="11" t="s">
        <v>6273</v>
      </c>
      <c r="B161" s="11"/>
      <c r="C161" s="116">
        <v>1374</v>
      </c>
      <c r="D161" s="116">
        <v>586918.95764208096</v>
      </c>
      <c r="E161" s="117">
        <v>21902.558712784601</v>
      </c>
      <c r="F161" s="118">
        <v>16.051795044755199</v>
      </c>
      <c r="G161" s="119">
        <v>0.59901861890060304</v>
      </c>
    </row>
    <row r="162" spans="1:7" x14ac:dyDescent="0.3">
      <c r="A162" s="6" t="s">
        <v>1152</v>
      </c>
      <c r="B162" s="6"/>
      <c r="C162" s="112">
        <v>445</v>
      </c>
      <c r="D162" s="112">
        <v>253559.87748499899</v>
      </c>
      <c r="E162" s="113">
        <v>0.73042184252689302</v>
      </c>
      <c r="F162" s="114">
        <v>6.93467323208273</v>
      </c>
      <c r="G162" s="115">
        <v>1.9976491809229101E-5</v>
      </c>
    </row>
    <row r="163" spans="1:7" x14ac:dyDescent="0.3">
      <c r="A163" s="11" t="s">
        <v>6276</v>
      </c>
      <c r="B163" s="11"/>
      <c r="C163" s="116">
        <v>519</v>
      </c>
      <c r="D163" s="116">
        <v>215380.447365514</v>
      </c>
      <c r="E163" s="117">
        <v>10607.425531184699</v>
      </c>
      <c r="F163" s="118">
        <v>5.8904943395391802</v>
      </c>
      <c r="G163" s="119">
        <v>0.29010516420039001</v>
      </c>
    </row>
    <row r="164" spans="1:7" x14ac:dyDescent="0.3">
      <c r="A164" s="6" t="s">
        <v>6275</v>
      </c>
      <c r="B164" s="6"/>
      <c r="C164" s="112">
        <v>173</v>
      </c>
      <c r="D164" s="112">
        <v>75413.655209041695</v>
      </c>
      <c r="E164" s="113">
        <v>6056.28920127528</v>
      </c>
      <c r="F164" s="114">
        <v>2.0625071336161902</v>
      </c>
      <c r="G164" s="115">
        <v>0.16563498541806701</v>
      </c>
    </row>
    <row r="165" spans="1:7" x14ac:dyDescent="0.3">
      <c r="A165" s="11" t="s">
        <v>6278</v>
      </c>
      <c r="B165" s="11"/>
      <c r="C165" s="116">
        <v>60</v>
      </c>
      <c r="D165" s="116">
        <v>34073.752572927697</v>
      </c>
      <c r="E165" s="117">
        <v>5390.9103958944197</v>
      </c>
      <c r="F165" s="118">
        <v>0.931891678714314</v>
      </c>
      <c r="G165" s="119">
        <v>0.147437372149611</v>
      </c>
    </row>
    <row r="166" spans="1:7" x14ac:dyDescent="0.3">
      <c r="A166" s="6" t="s">
        <v>6279</v>
      </c>
      <c r="B166" s="6"/>
      <c r="C166" s="112">
        <v>8</v>
      </c>
      <c r="D166" s="112">
        <v>4647.0337294027804</v>
      </c>
      <c r="E166" s="113">
        <v>1787.8495579748401</v>
      </c>
      <c r="F166" s="114">
        <v>0.127092901020121</v>
      </c>
      <c r="G166" s="115">
        <v>4.8896349831264403E-2</v>
      </c>
    </row>
    <row r="167" spans="1:7" x14ac:dyDescent="0.3">
      <c r="A167" s="11" t="s">
        <v>6277</v>
      </c>
      <c r="B167" s="11"/>
      <c r="C167" s="116">
        <v>11</v>
      </c>
      <c r="D167" s="116">
        <v>3494.3621404579198</v>
      </c>
      <c r="E167" s="117">
        <v>1838.41634064563</v>
      </c>
      <c r="F167" s="118">
        <v>9.5568194144085003E-2</v>
      </c>
      <c r="G167" s="119">
        <v>5.0279313562347799E-2</v>
      </c>
    </row>
    <row r="168" spans="1:7" x14ac:dyDescent="0.3">
      <c r="A168" s="6" t="s">
        <v>995</v>
      </c>
      <c r="B168" s="6"/>
      <c r="C168" s="112">
        <v>5</v>
      </c>
      <c r="D168" s="112">
        <v>2478.5941424943699</v>
      </c>
      <c r="E168" s="113">
        <v>1361.58539574324</v>
      </c>
      <c r="F168" s="114">
        <v>6.7787698210138206E-2</v>
      </c>
      <c r="G168" s="115">
        <v>3.7238343426846003E-2</v>
      </c>
    </row>
    <row r="169" spans="1:7" x14ac:dyDescent="0.3">
      <c r="A169" s="11" t="s">
        <v>6280</v>
      </c>
      <c r="B169" s="11"/>
      <c r="C169" s="116">
        <v>5</v>
      </c>
      <c r="D169" s="116">
        <v>841.80340386110595</v>
      </c>
      <c r="E169" s="117">
        <v>512.72303201963405</v>
      </c>
      <c r="F169" s="118">
        <v>2.3022694242219401E-2</v>
      </c>
      <c r="G169" s="119">
        <v>1.4022591905650399E-2</v>
      </c>
    </row>
    <row r="170" spans="1:7" x14ac:dyDescent="0.3">
      <c r="A170" s="6" t="s">
        <v>999</v>
      </c>
      <c r="B170" s="6"/>
      <c r="C170" s="112">
        <v>1</v>
      </c>
      <c r="D170" s="112">
        <v>749.24680465877998</v>
      </c>
      <c r="E170" s="113">
        <v>747.77695243216397</v>
      </c>
      <c r="F170" s="114">
        <v>2.0491340396700398E-2</v>
      </c>
      <c r="G170" s="115">
        <v>2.0451141036327801E-2</v>
      </c>
    </row>
    <row r="171" spans="1:7" x14ac:dyDescent="0.3">
      <c r="A171" s="11" t="s">
        <v>6269</v>
      </c>
      <c r="B171" s="11" t="s">
        <v>6270</v>
      </c>
      <c r="C171" s="116">
        <v>8631</v>
      </c>
      <c r="D171" s="116">
        <v>3656407</v>
      </c>
      <c r="E171" s="117">
        <v>3.4052910144077801E-8</v>
      </c>
      <c r="F171" s="118">
        <v>100</v>
      </c>
      <c r="G171" s="119">
        <v>1.78031750616652E-14</v>
      </c>
    </row>
    <row r="172" spans="1:7" x14ac:dyDescent="0.3">
      <c r="A172" s="6" t="s">
        <v>6269</v>
      </c>
      <c r="B172" s="6" t="s">
        <v>6271</v>
      </c>
      <c r="C172" s="112">
        <v>8631</v>
      </c>
      <c r="D172" s="112">
        <v>3656407</v>
      </c>
      <c r="E172" s="113">
        <v>0</v>
      </c>
      <c r="F172" s="114">
        <v>100</v>
      </c>
      <c r="G172" s="115">
        <v>0</v>
      </c>
    </row>
    <row r="173" spans="1:7" x14ac:dyDescent="0.3">
      <c r="A173" s="3299" t="s">
        <v>239</v>
      </c>
      <c r="B173" s="3298"/>
      <c r="C173" s="3298"/>
      <c r="D173" s="3298"/>
      <c r="E173" s="3298"/>
      <c r="F173" s="3298"/>
      <c r="G173" s="3298"/>
    </row>
    <row r="174" spans="1:7" x14ac:dyDescent="0.3">
      <c r="A174" s="11" t="s">
        <v>972</v>
      </c>
      <c r="B174" s="11" t="s">
        <v>2980</v>
      </c>
      <c r="C174" s="124">
        <v>1491</v>
      </c>
      <c r="D174" s="124">
        <v>578834.93864542095</v>
      </c>
      <c r="E174" s="125">
        <v>26200.455057469</v>
      </c>
      <c r="F174" s="126">
        <v>16.312484050597298</v>
      </c>
      <c r="G174" s="127">
        <v>0.71546442940660804</v>
      </c>
    </row>
    <row r="175" spans="1:7" x14ac:dyDescent="0.3">
      <c r="A175" s="6" t="s">
        <v>970</v>
      </c>
      <c r="B175" s="6" t="s">
        <v>2979</v>
      </c>
      <c r="C175" s="120">
        <v>1074</v>
      </c>
      <c r="D175" s="120">
        <v>430082.42377128202</v>
      </c>
      <c r="E175" s="121">
        <v>20808.2830674875</v>
      </c>
      <c r="F175" s="122">
        <v>12.120402915949199</v>
      </c>
      <c r="G175" s="123">
        <v>0.57478072803538505</v>
      </c>
    </row>
    <row r="176" spans="1:7" x14ac:dyDescent="0.3">
      <c r="A176" s="11" t="s">
        <v>981</v>
      </c>
      <c r="B176" s="11" t="s">
        <v>2981</v>
      </c>
      <c r="C176" s="124">
        <v>1053</v>
      </c>
      <c r="D176" s="124">
        <v>417778.73885340901</v>
      </c>
      <c r="E176" s="125">
        <v>12542.8180573933</v>
      </c>
      <c r="F176" s="126">
        <v>11.7736656155781</v>
      </c>
      <c r="G176" s="127">
        <v>0.362857988709688</v>
      </c>
    </row>
    <row r="177" spans="1:7" x14ac:dyDescent="0.3">
      <c r="A177" s="6" t="s">
        <v>968</v>
      </c>
      <c r="B177" s="6" t="s">
        <v>2978</v>
      </c>
      <c r="C177" s="120">
        <v>866</v>
      </c>
      <c r="D177" s="120">
        <v>399194.96791552898</v>
      </c>
      <c r="E177" s="121">
        <v>22196.182982668801</v>
      </c>
      <c r="F177" s="122">
        <v>11.2499455586418</v>
      </c>
      <c r="G177" s="123">
        <v>0.64524366456177995</v>
      </c>
    </row>
    <row r="178" spans="1:7" x14ac:dyDescent="0.3">
      <c r="A178" s="11" t="s">
        <v>966</v>
      </c>
      <c r="B178" s="11" t="s">
        <v>2977</v>
      </c>
      <c r="C178" s="124">
        <v>819</v>
      </c>
      <c r="D178" s="124">
        <v>367881.30061435403</v>
      </c>
      <c r="E178" s="125">
        <v>17138.0875807294</v>
      </c>
      <c r="F178" s="126">
        <v>10.3674768887106</v>
      </c>
      <c r="G178" s="127">
        <v>0.49610535463737698</v>
      </c>
    </row>
    <row r="179" spans="1:7" x14ac:dyDescent="0.3">
      <c r="A179" s="6" t="s">
        <v>962</v>
      </c>
      <c r="B179" s="6" t="s">
        <v>2975</v>
      </c>
      <c r="C179" s="120">
        <v>567</v>
      </c>
      <c r="D179" s="120">
        <v>311920.15306800097</v>
      </c>
      <c r="E179" s="121">
        <v>15261.7147214942</v>
      </c>
      <c r="F179" s="122">
        <v>8.7904032432612205</v>
      </c>
      <c r="G179" s="123">
        <v>0.42662260609175101</v>
      </c>
    </row>
    <row r="180" spans="1:7" x14ac:dyDescent="0.3">
      <c r="A180" s="11" t="s">
        <v>991</v>
      </c>
      <c r="B180" s="11" t="s">
        <v>2982</v>
      </c>
      <c r="C180" s="124">
        <v>773</v>
      </c>
      <c r="D180" s="124">
        <v>295995.76816329401</v>
      </c>
      <c r="E180" s="125">
        <v>13677.175314202001</v>
      </c>
      <c r="F180" s="126">
        <v>8.34162889079815</v>
      </c>
      <c r="G180" s="127">
        <v>0.39993829156437999</v>
      </c>
    </row>
    <row r="181" spans="1:7" x14ac:dyDescent="0.3">
      <c r="A181" s="6" t="s">
        <v>964</v>
      </c>
      <c r="B181" s="6" t="s">
        <v>2976</v>
      </c>
      <c r="C181" s="120">
        <v>555</v>
      </c>
      <c r="D181" s="120">
        <v>257014.36172637</v>
      </c>
      <c r="E181" s="121">
        <v>11316.253035251801</v>
      </c>
      <c r="F181" s="122">
        <v>7.24307120480176</v>
      </c>
      <c r="G181" s="123">
        <v>0.30790622909539</v>
      </c>
    </row>
    <row r="182" spans="1:7" x14ac:dyDescent="0.3">
      <c r="A182" s="11" t="s">
        <v>993</v>
      </c>
      <c r="B182" s="11" t="s">
        <v>2983</v>
      </c>
      <c r="C182" s="124">
        <v>409</v>
      </c>
      <c r="D182" s="124">
        <v>180063.26238268201</v>
      </c>
      <c r="E182" s="125">
        <v>19310.4719268275</v>
      </c>
      <c r="F182" s="126">
        <v>5.0744675202049496</v>
      </c>
      <c r="G182" s="127">
        <v>0.53751073495196899</v>
      </c>
    </row>
    <row r="183" spans="1:7" x14ac:dyDescent="0.3">
      <c r="A183" s="6" t="s">
        <v>997</v>
      </c>
      <c r="B183" s="6" t="s">
        <v>2985</v>
      </c>
      <c r="C183" s="120">
        <v>380</v>
      </c>
      <c r="D183" s="120">
        <v>166641.32030090399</v>
      </c>
      <c r="E183" s="121">
        <v>8865.1020582987403</v>
      </c>
      <c r="F183" s="122">
        <v>4.6962159643306203</v>
      </c>
      <c r="G183" s="123">
        <v>0.240767512185564</v>
      </c>
    </row>
    <row r="184" spans="1:7" x14ac:dyDescent="0.3">
      <c r="A184" s="11" t="s">
        <v>995</v>
      </c>
      <c r="B184" s="11" t="s">
        <v>2984</v>
      </c>
      <c r="C184" s="124">
        <v>346</v>
      </c>
      <c r="D184" s="124">
        <v>143009.65097543501</v>
      </c>
      <c r="E184" s="125">
        <v>8427.2751065095508</v>
      </c>
      <c r="F184" s="126">
        <v>4.0302381471262496</v>
      </c>
      <c r="G184" s="127">
        <v>0.23999318433992201</v>
      </c>
    </row>
    <row r="185" spans="1:7" x14ac:dyDescent="0.3">
      <c r="A185" s="6" t="s">
        <v>958</v>
      </c>
      <c r="B185" s="6" t="s">
        <v>959</v>
      </c>
      <c r="C185" s="120">
        <v>247</v>
      </c>
      <c r="D185" s="120">
        <v>86764.149987873898</v>
      </c>
      <c r="E185" s="121">
        <v>9358.7454946497</v>
      </c>
      <c r="F185" s="122">
        <v>80.344530724964002</v>
      </c>
      <c r="G185" s="123">
        <v>3.80375594543949</v>
      </c>
    </row>
    <row r="186" spans="1:7" x14ac:dyDescent="0.3">
      <c r="A186" s="11" t="s">
        <v>956</v>
      </c>
      <c r="B186" s="11" t="s">
        <v>957</v>
      </c>
      <c r="C186" s="124">
        <v>50</v>
      </c>
      <c r="D186" s="124">
        <v>19874.0436076685</v>
      </c>
      <c r="E186" s="125">
        <v>5068.2166028395204</v>
      </c>
      <c r="F186" s="126">
        <v>18.403576909227599</v>
      </c>
      <c r="G186" s="127">
        <v>3.79349908984369</v>
      </c>
    </row>
    <row r="187" spans="1:7" x14ac:dyDescent="0.3">
      <c r="A187" s="6" t="s">
        <v>974</v>
      </c>
      <c r="B187" s="6" t="s">
        <v>975</v>
      </c>
      <c r="C187" s="120">
        <v>1</v>
      </c>
      <c r="D187" s="120">
        <v>1351.9199877774199</v>
      </c>
      <c r="E187" s="121">
        <v>1364.55359121112</v>
      </c>
      <c r="F187" s="122">
        <v>1.25189236580842</v>
      </c>
      <c r="G187" s="123">
        <v>1.2806310749968799</v>
      </c>
    </row>
    <row r="188" spans="1:7" x14ac:dyDescent="0.3">
      <c r="A188" s="11" t="s">
        <v>6269</v>
      </c>
      <c r="B188" s="11" t="s">
        <v>6270</v>
      </c>
      <c r="C188" s="124">
        <v>8333</v>
      </c>
      <c r="D188" s="124">
        <v>3548416.8864166802</v>
      </c>
      <c r="E188" s="125">
        <v>11819.544998018</v>
      </c>
      <c r="F188" s="126">
        <v>97.046551065477104</v>
      </c>
      <c r="G188" s="127">
        <v>0.32325572612730802</v>
      </c>
    </row>
    <row r="189" spans="1:7" x14ac:dyDescent="0.3">
      <c r="A189" s="6" t="s">
        <v>6269</v>
      </c>
      <c r="B189" s="6" t="s">
        <v>6271</v>
      </c>
      <c r="C189" s="120">
        <v>8631</v>
      </c>
      <c r="D189" s="120">
        <v>3656407</v>
      </c>
      <c r="E189" s="121">
        <v>0</v>
      </c>
      <c r="F189" s="122">
        <v>100</v>
      </c>
      <c r="G189" s="123">
        <v>0</v>
      </c>
    </row>
    <row r="190" spans="1:7" x14ac:dyDescent="0.3">
      <c r="A190" s="3299" t="s">
        <v>302</v>
      </c>
      <c r="B190" s="3298"/>
      <c r="C190" s="3298"/>
      <c r="D190" s="3298"/>
      <c r="E190" s="3298"/>
      <c r="F190" s="3298"/>
      <c r="G190" s="3298"/>
    </row>
    <row r="191" spans="1:7" x14ac:dyDescent="0.3">
      <c r="A191" s="11" t="s">
        <v>964</v>
      </c>
      <c r="B191" s="11" t="s">
        <v>1131</v>
      </c>
      <c r="C191" s="132">
        <v>4371</v>
      </c>
      <c r="D191" s="132">
        <v>2104281.7522980301</v>
      </c>
      <c r="E191" s="133">
        <v>24036.4614919468</v>
      </c>
      <c r="F191" s="134">
        <v>58.828961587877103</v>
      </c>
      <c r="G191" s="135">
        <v>0.62080426658902399</v>
      </c>
    </row>
    <row r="192" spans="1:7" x14ac:dyDescent="0.3">
      <c r="A192" s="6" t="s">
        <v>962</v>
      </c>
      <c r="B192" s="6" t="s">
        <v>3091</v>
      </c>
      <c r="C192" s="128">
        <v>4073</v>
      </c>
      <c r="D192" s="128">
        <v>1472666.90615264</v>
      </c>
      <c r="E192" s="129">
        <v>21909.6212594924</v>
      </c>
      <c r="F192" s="130">
        <v>41.171038412122897</v>
      </c>
      <c r="G192" s="131">
        <v>0.62080426658902699</v>
      </c>
    </row>
    <row r="193" spans="1:7" x14ac:dyDescent="0.3">
      <c r="A193" s="11" t="s">
        <v>960</v>
      </c>
      <c r="B193" s="11" t="s">
        <v>961</v>
      </c>
      <c r="C193" s="132">
        <v>185</v>
      </c>
      <c r="D193" s="132">
        <v>79127.887043620707</v>
      </c>
      <c r="E193" s="133">
        <v>10469.6389477135</v>
      </c>
      <c r="F193" s="134">
        <v>99.584116029518299</v>
      </c>
      <c r="G193" s="135">
        <v>0.415139758358685</v>
      </c>
    </row>
    <row r="194" spans="1:7" x14ac:dyDescent="0.3">
      <c r="A194" s="6" t="s">
        <v>958</v>
      </c>
      <c r="B194" s="6" t="s">
        <v>1019</v>
      </c>
      <c r="C194" s="128">
        <v>2</v>
      </c>
      <c r="D194" s="128">
        <v>330.45450571425198</v>
      </c>
      <c r="E194" s="129">
        <v>330.207588023477</v>
      </c>
      <c r="F194" s="130">
        <v>0.41588397048165898</v>
      </c>
      <c r="G194" s="131">
        <v>0.415139758358686</v>
      </c>
    </row>
    <row r="195" spans="1:7" x14ac:dyDescent="0.3">
      <c r="A195" s="11" t="s">
        <v>6269</v>
      </c>
      <c r="B195" s="11" t="s">
        <v>6270</v>
      </c>
      <c r="C195" s="132">
        <v>8444</v>
      </c>
      <c r="D195" s="132">
        <v>3576948.6584506799</v>
      </c>
      <c r="E195" s="133">
        <v>10583.2670001068</v>
      </c>
      <c r="F195" s="134">
        <v>97.826873716483604</v>
      </c>
      <c r="G195" s="135">
        <v>0.289444446422643</v>
      </c>
    </row>
    <row r="196" spans="1:7" x14ac:dyDescent="0.3">
      <c r="A196" s="6" t="s">
        <v>6269</v>
      </c>
      <c r="B196" s="6" t="s">
        <v>6271</v>
      </c>
      <c r="C196" s="128">
        <v>8631</v>
      </c>
      <c r="D196" s="128">
        <v>3656407.0000000098</v>
      </c>
      <c r="E196" s="129">
        <v>0</v>
      </c>
      <c r="F196" s="130">
        <v>100</v>
      </c>
      <c r="G196" s="131">
        <v>0</v>
      </c>
    </row>
    <row r="197" spans="1:7" x14ac:dyDescent="0.3">
      <c r="A197" s="3299" t="s">
        <v>442</v>
      </c>
      <c r="B197" s="3298"/>
      <c r="C197" s="3298"/>
      <c r="D197" s="3298"/>
      <c r="E197" s="3298"/>
      <c r="F197" s="3298"/>
      <c r="G197" s="3298"/>
    </row>
    <row r="198" spans="1:7" x14ac:dyDescent="0.3">
      <c r="A198" s="11" t="s">
        <v>962</v>
      </c>
      <c r="B198" s="11" t="s">
        <v>1041</v>
      </c>
      <c r="C198" s="140">
        <v>5866</v>
      </c>
      <c r="D198" s="140">
        <v>2482218.6656625401</v>
      </c>
      <c r="E198" s="141">
        <v>33293.610825135504</v>
      </c>
      <c r="F198" s="142">
        <v>69.5582173670835</v>
      </c>
      <c r="G198" s="143">
        <v>0.92546887366572494</v>
      </c>
    </row>
    <row r="199" spans="1:7" x14ac:dyDescent="0.3">
      <c r="A199" s="6" t="s">
        <v>964</v>
      </c>
      <c r="B199" s="6" t="s">
        <v>1021</v>
      </c>
      <c r="C199" s="136">
        <v>993</v>
      </c>
      <c r="D199" s="136">
        <v>424785.72994560801</v>
      </c>
      <c r="E199" s="137">
        <v>16176.224464343901</v>
      </c>
      <c r="F199" s="138">
        <v>11.9036000118488</v>
      </c>
      <c r="G199" s="139">
        <v>0.45124011669827702</v>
      </c>
    </row>
    <row r="200" spans="1:7" x14ac:dyDescent="0.3">
      <c r="A200" s="11" t="s">
        <v>970</v>
      </c>
      <c r="B200" s="11" t="s">
        <v>5962</v>
      </c>
      <c r="C200" s="140">
        <v>871</v>
      </c>
      <c r="D200" s="140">
        <v>363223.04907050502</v>
      </c>
      <c r="E200" s="141">
        <v>19419.7044947098</v>
      </c>
      <c r="F200" s="142">
        <v>10.178453715413299</v>
      </c>
      <c r="G200" s="143">
        <v>0.54957051871323004</v>
      </c>
    </row>
    <row r="201" spans="1:7" x14ac:dyDescent="0.3">
      <c r="A201" s="6" t="s">
        <v>966</v>
      </c>
      <c r="B201" s="6" t="s">
        <v>1022</v>
      </c>
      <c r="C201" s="136">
        <v>442</v>
      </c>
      <c r="D201" s="136">
        <v>191809.66223463501</v>
      </c>
      <c r="E201" s="137">
        <v>9380.0320724113699</v>
      </c>
      <c r="F201" s="138">
        <v>5.3750051771778304</v>
      </c>
      <c r="G201" s="139">
        <v>0.26273357800228803</v>
      </c>
    </row>
    <row r="202" spans="1:7" x14ac:dyDescent="0.3">
      <c r="A202" s="11" t="s">
        <v>968</v>
      </c>
      <c r="B202" s="11" t="s">
        <v>1023</v>
      </c>
      <c r="C202" s="140">
        <v>241</v>
      </c>
      <c r="D202" s="140">
        <v>106511.311403684</v>
      </c>
      <c r="E202" s="141">
        <v>13268.896449622</v>
      </c>
      <c r="F202" s="142">
        <v>2.9847237284766299</v>
      </c>
      <c r="G202" s="143">
        <v>0.36867000037015102</v>
      </c>
    </row>
    <row r="203" spans="1:7" x14ac:dyDescent="0.3">
      <c r="A203" s="6" t="s">
        <v>960</v>
      </c>
      <c r="B203" s="6" t="s">
        <v>961</v>
      </c>
      <c r="C203" s="136">
        <v>217</v>
      </c>
      <c r="D203" s="136">
        <v>87858.581683029406</v>
      </c>
      <c r="E203" s="137">
        <v>8596.1460970537792</v>
      </c>
      <c r="F203" s="138">
        <v>100</v>
      </c>
      <c r="G203" s="139">
        <v>0</v>
      </c>
    </row>
    <row r="204" spans="1:7" x14ac:dyDescent="0.3">
      <c r="A204" s="11" t="s">
        <v>6269</v>
      </c>
      <c r="B204" s="11" t="s">
        <v>6270</v>
      </c>
      <c r="C204" s="140">
        <v>8413</v>
      </c>
      <c r="D204" s="140">
        <v>3568548.4183169701</v>
      </c>
      <c r="E204" s="141">
        <v>8596.1460970542703</v>
      </c>
      <c r="F204" s="142">
        <v>97.597133424068204</v>
      </c>
      <c r="G204" s="143">
        <v>0.23509817416533901</v>
      </c>
    </row>
    <row r="205" spans="1:7" x14ac:dyDescent="0.3">
      <c r="A205" s="6" t="s">
        <v>6269</v>
      </c>
      <c r="B205" s="6" t="s">
        <v>6271</v>
      </c>
      <c r="C205" s="136">
        <v>8630</v>
      </c>
      <c r="D205" s="136">
        <v>3656407</v>
      </c>
      <c r="E205" s="137">
        <v>0</v>
      </c>
      <c r="F205" s="138">
        <v>100</v>
      </c>
      <c r="G205" s="139">
        <v>0</v>
      </c>
    </row>
    <row r="206" spans="1:7" x14ac:dyDescent="0.3">
      <c r="A206" s="3299" t="s">
        <v>566</v>
      </c>
      <c r="B206" s="3298"/>
      <c r="C206" s="3298"/>
      <c r="D206" s="3298"/>
      <c r="E206" s="3298"/>
      <c r="F206" s="3298"/>
      <c r="G206" s="3298"/>
    </row>
    <row r="207" spans="1:7" x14ac:dyDescent="0.3">
      <c r="A207" s="11" t="s">
        <v>962</v>
      </c>
      <c r="B207" s="11" t="s">
        <v>1020</v>
      </c>
      <c r="C207" s="148">
        <v>6158</v>
      </c>
      <c r="D207" s="148">
        <v>2756678.4631039798</v>
      </c>
      <c r="E207" s="149">
        <v>22888.716578338001</v>
      </c>
      <c r="F207" s="150">
        <v>77.653355725637198</v>
      </c>
      <c r="G207" s="151">
        <v>0.681399438082125</v>
      </c>
    </row>
    <row r="208" spans="1:7" x14ac:dyDescent="0.3">
      <c r="A208" s="6" t="s">
        <v>970</v>
      </c>
      <c r="B208" s="6" t="s">
        <v>1024</v>
      </c>
      <c r="C208" s="144">
        <v>1450</v>
      </c>
      <c r="D208" s="144">
        <v>493332.10135002498</v>
      </c>
      <c r="E208" s="145">
        <v>23767.446768688798</v>
      </c>
      <c r="F208" s="146">
        <v>13.8967578808137</v>
      </c>
      <c r="G208" s="147">
        <v>0.65672990289578304</v>
      </c>
    </row>
    <row r="209" spans="1:7" x14ac:dyDescent="0.3">
      <c r="A209" s="11" t="s">
        <v>964</v>
      </c>
      <c r="B209" s="11" t="s">
        <v>1042</v>
      </c>
      <c r="C209" s="148">
        <v>475</v>
      </c>
      <c r="D209" s="148">
        <v>202751.81461024599</v>
      </c>
      <c r="E209" s="149">
        <v>10100.3564894879</v>
      </c>
      <c r="F209" s="150">
        <v>5.7113511766693099</v>
      </c>
      <c r="G209" s="151">
        <v>0.280043914811616</v>
      </c>
    </row>
    <row r="210" spans="1:7" x14ac:dyDescent="0.3">
      <c r="A210" s="6" t="s">
        <v>966</v>
      </c>
      <c r="B210" s="6" t="s">
        <v>1022</v>
      </c>
      <c r="C210" s="144">
        <v>168</v>
      </c>
      <c r="D210" s="144">
        <v>69581.7305541393</v>
      </c>
      <c r="E210" s="145">
        <v>11582.6966097318</v>
      </c>
      <c r="F210" s="146">
        <v>1.96005988621612</v>
      </c>
      <c r="G210" s="147">
        <v>0.32725792183636199</v>
      </c>
    </row>
    <row r="211" spans="1:7" x14ac:dyDescent="0.3">
      <c r="A211" s="11" t="s">
        <v>968</v>
      </c>
      <c r="B211" s="11" t="s">
        <v>1023</v>
      </c>
      <c r="C211" s="148">
        <v>81</v>
      </c>
      <c r="D211" s="148">
        <v>27635.717195283301</v>
      </c>
      <c r="E211" s="149">
        <v>3383.6664376946001</v>
      </c>
      <c r="F211" s="150">
        <v>0.77847533066372498</v>
      </c>
      <c r="G211" s="151">
        <v>9.4269139776321106E-2</v>
      </c>
    </row>
    <row r="212" spans="1:7" x14ac:dyDescent="0.3">
      <c r="A212" s="6" t="s">
        <v>960</v>
      </c>
      <c r="B212" s="6" t="s">
        <v>961</v>
      </c>
      <c r="C212" s="144">
        <v>298</v>
      </c>
      <c r="D212" s="144">
        <v>106427.173186329</v>
      </c>
      <c r="E212" s="145">
        <v>10627.3788431876</v>
      </c>
      <c r="F212" s="146">
        <v>100</v>
      </c>
      <c r="G212" s="147">
        <v>0</v>
      </c>
    </row>
    <row r="213" spans="1:7" x14ac:dyDescent="0.3">
      <c r="A213" s="11" t="s">
        <v>6269</v>
      </c>
      <c r="B213" s="11" t="s">
        <v>6270</v>
      </c>
      <c r="C213" s="148">
        <v>8332</v>
      </c>
      <c r="D213" s="148">
        <v>3549979.8268136699</v>
      </c>
      <c r="E213" s="149">
        <v>10627.378843181001</v>
      </c>
      <c r="F213" s="150">
        <v>97.089296317769694</v>
      </c>
      <c r="G213" s="151">
        <v>0.29065087237792903</v>
      </c>
    </row>
    <row r="214" spans="1:7" x14ac:dyDescent="0.3">
      <c r="A214" s="6" t="s">
        <v>6269</v>
      </c>
      <c r="B214" s="6" t="s">
        <v>6271</v>
      </c>
      <c r="C214" s="144">
        <v>8630</v>
      </c>
      <c r="D214" s="144">
        <v>3656407</v>
      </c>
      <c r="E214" s="145">
        <v>0</v>
      </c>
      <c r="F214" s="146">
        <v>100</v>
      </c>
      <c r="G214" s="147">
        <v>0</v>
      </c>
    </row>
    <row r="215" spans="1:7" x14ac:dyDescent="0.3">
      <c r="A215" s="3299" t="s">
        <v>590</v>
      </c>
      <c r="B215" s="3298"/>
      <c r="C215" s="3298"/>
      <c r="D215" s="3298"/>
      <c r="E215" s="3298"/>
      <c r="F215" s="3298"/>
      <c r="G215" s="3298"/>
    </row>
    <row r="216" spans="1:7" x14ac:dyDescent="0.3">
      <c r="A216" s="11" t="s">
        <v>962</v>
      </c>
      <c r="B216" s="11" t="s">
        <v>1020</v>
      </c>
      <c r="C216" s="156">
        <v>2835</v>
      </c>
      <c r="D216" s="156">
        <v>1195084.6697545</v>
      </c>
      <c r="E216" s="157">
        <v>26947.600021903301</v>
      </c>
      <c r="F216" s="158">
        <v>34.478189232758503</v>
      </c>
      <c r="G216" s="159">
        <v>0.84407905006313</v>
      </c>
    </row>
    <row r="217" spans="1:7" x14ac:dyDescent="0.3">
      <c r="A217" s="6" t="s">
        <v>970</v>
      </c>
      <c r="B217" s="6" t="s">
        <v>5962</v>
      </c>
      <c r="C217" s="152">
        <v>2783</v>
      </c>
      <c r="D217" s="152">
        <v>1097485.0879285501</v>
      </c>
      <c r="E217" s="153">
        <v>30403.746997929102</v>
      </c>
      <c r="F217" s="154">
        <v>31.662441582071502</v>
      </c>
      <c r="G217" s="155">
        <v>0.832367176553093</v>
      </c>
    </row>
    <row r="218" spans="1:7" x14ac:dyDescent="0.3">
      <c r="A218" s="11" t="s">
        <v>964</v>
      </c>
      <c r="B218" s="11" t="s">
        <v>1042</v>
      </c>
      <c r="C218" s="156">
        <v>1240</v>
      </c>
      <c r="D218" s="156">
        <v>579940.24890161597</v>
      </c>
      <c r="E218" s="157">
        <v>22327.938044630599</v>
      </c>
      <c r="F218" s="158">
        <v>16.7312744873804</v>
      </c>
      <c r="G218" s="159">
        <v>0.64888746049113999</v>
      </c>
    </row>
    <row r="219" spans="1:7" x14ac:dyDescent="0.3">
      <c r="A219" s="6" t="s">
        <v>966</v>
      </c>
      <c r="B219" s="6" t="s">
        <v>1022</v>
      </c>
      <c r="C219" s="152">
        <v>817</v>
      </c>
      <c r="D219" s="152">
        <v>373460.55506600201</v>
      </c>
      <c r="E219" s="153">
        <v>24666.7211876701</v>
      </c>
      <c r="F219" s="154">
        <v>10.774335923145699</v>
      </c>
      <c r="G219" s="155">
        <v>0.68982747312593196</v>
      </c>
    </row>
    <row r="220" spans="1:7" x14ac:dyDescent="0.3">
      <c r="A220" s="11" t="s">
        <v>968</v>
      </c>
      <c r="B220" s="11" t="s">
        <v>1023</v>
      </c>
      <c r="C220" s="156">
        <v>485</v>
      </c>
      <c r="D220" s="156">
        <v>220234.29524194999</v>
      </c>
      <c r="E220" s="157">
        <v>12454.8449766621</v>
      </c>
      <c r="F220" s="158">
        <v>6.3537587746439499</v>
      </c>
      <c r="G220" s="159">
        <v>0.36233478228671401</v>
      </c>
    </row>
    <row r="221" spans="1:7" x14ac:dyDescent="0.3">
      <c r="A221" s="6" t="s">
        <v>960</v>
      </c>
      <c r="B221" s="6" t="s">
        <v>961</v>
      </c>
      <c r="C221" s="152">
        <v>469</v>
      </c>
      <c r="D221" s="152">
        <v>189840.23212197301</v>
      </c>
      <c r="E221" s="153">
        <v>12355.7652891671</v>
      </c>
      <c r="F221" s="154">
        <v>99.809722971834205</v>
      </c>
      <c r="G221" s="155">
        <v>0.19200002202979</v>
      </c>
    </row>
    <row r="222" spans="1:7" x14ac:dyDescent="0.3">
      <c r="A222" s="11" t="s">
        <v>956</v>
      </c>
      <c r="B222" s="11" t="s">
        <v>1025</v>
      </c>
      <c r="C222" s="156">
        <v>1</v>
      </c>
      <c r="D222" s="156">
        <v>361.91098541239398</v>
      </c>
      <c r="E222" s="157">
        <v>361.56655188429897</v>
      </c>
      <c r="F222" s="158">
        <v>0.1902770281658</v>
      </c>
      <c r="G222" s="159">
        <v>0.192000022029791</v>
      </c>
    </row>
    <row r="223" spans="1:7" x14ac:dyDescent="0.3">
      <c r="A223" s="6" t="s">
        <v>6269</v>
      </c>
      <c r="B223" s="6" t="s">
        <v>6270</v>
      </c>
      <c r="C223" s="152">
        <v>8160</v>
      </c>
      <c r="D223" s="152">
        <v>3466204.8568926202</v>
      </c>
      <c r="E223" s="153">
        <v>12169.1411130907</v>
      </c>
      <c r="F223" s="154">
        <v>94.798113472942603</v>
      </c>
      <c r="G223" s="155">
        <v>0.33281691871535102</v>
      </c>
    </row>
    <row r="224" spans="1:7" x14ac:dyDescent="0.3">
      <c r="A224" s="11" t="s">
        <v>6269</v>
      </c>
      <c r="B224" s="11" t="s">
        <v>6271</v>
      </c>
      <c r="C224" s="156">
        <v>8630</v>
      </c>
      <c r="D224" s="156">
        <v>3656407</v>
      </c>
      <c r="E224" s="157">
        <v>0</v>
      </c>
      <c r="F224" s="158">
        <v>100</v>
      </c>
      <c r="G224" s="159">
        <v>0</v>
      </c>
    </row>
    <row r="225" spans="1:7" x14ac:dyDescent="0.3">
      <c r="A225" s="3299" t="s">
        <v>388</v>
      </c>
      <c r="B225" s="3298"/>
      <c r="C225" s="3298"/>
      <c r="D225" s="3298"/>
      <c r="E225" s="3298"/>
      <c r="F225" s="3298"/>
      <c r="G225" s="3298"/>
    </row>
    <row r="226" spans="1:7" x14ac:dyDescent="0.3">
      <c r="A226" s="11" t="s">
        <v>970</v>
      </c>
      <c r="B226" s="11" t="s">
        <v>5962</v>
      </c>
      <c r="C226" s="164">
        <v>2436</v>
      </c>
      <c r="D226" s="164">
        <v>1023635.9152391</v>
      </c>
      <c r="E226" s="165">
        <v>38474.802604067998</v>
      </c>
      <c r="F226" s="166">
        <v>85.363785482732695</v>
      </c>
      <c r="G226" s="167">
        <v>0.83155647616822204</v>
      </c>
    </row>
    <row r="227" spans="1:7" x14ac:dyDescent="0.3">
      <c r="A227" s="6" t="s">
        <v>962</v>
      </c>
      <c r="B227" s="6" t="s">
        <v>1020</v>
      </c>
      <c r="C227" s="160">
        <v>214</v>
      </c>
      <c r="D227" s="160">
        <v>99107.6174102199</v>
      </c>
      <c r="E227" s="161">
        <v>9793.2040414970197</v>
      </c>
      <c r="F227" s="162">
        <v>8.2648540036176907</v>
      </c>
      <c r="G227" s="163">
        <v>0.74875312024108998</v>
      </c>
    </row>
    <row r="228" spans="1:7" x14ac:dyDescent="0.3">
      <c r="A228" s="11" t="s">
        <v>964</v>
      </c>
      <c r="B228" s="11" t="s">
        <v>1042</v>
      </c>
      <c r="C228" s="164">
        <v>102</v>
      </c>
      <c r="D228" s="164">
        <v>45327.8087205392</v>
      </c>
      <c r="E228" s="165">
        <v>6942.5037453263303</v>
      </c>
      <c r="F228" s="166">
        <v>3.7800093592052599</v>
      </c>
      <c r="G228" s="167">
        <v>0.58373647427634801</v>
      </c>
    </row>
    <row r="229" spans="1:7" x14ac:dyDescent="0.3">
      <c r="A229" s="6" t="s">
        <v>966</v>
      </c>
      <c r="B229" s="6" t="s">
        <v>1022</v>
      </c>
      <c r="C229" s="160">
        <v>48</v>
      </c>
      <c r="D229" s="160">
        <v>19613.895824858198</v>
      </c>
      <c r="E229" s="161">
        <v>4192.7489265417698</v>
      </c>
      <c r="F229" s="162">
        <v>1.6356561651930399</v>
      </c>
      <c r="G229" s="163">
        <v>0.32294439536922298</v>
      </c>
    </row>
    <row r="230" spans="1:7" x14ac:dyDescent="0.3">
      <c r="A230" s="11" t="s">
        <v>968</v>
      </c>
      <c r="B230" s="11" t="s">
        <v>1023</v>
      </c>
      <c r="C230" s="164">
        <v>21</v>
      </c>
      <c r="D230" s="164">
        <v>11460.172595198999</v>
      </c>
      <c r="E230" s="165">
        <v>4085.9522129346901</v>
      </c>
      <c r="F230" s="166">
        <v>0.95569498925128304</v>
      </c>
      <c r="G230" s="167">
        <v>0.34328471342289302</v>
      </c>
    </row>
    <row r="231" spans="1:7" x14ac:dyDescent="0.3">
      <c r="A231" s="6" t="s">
        <v>960</v>
      </c>
      <c r="B231" s="6" t="s">
        <v>961</v>
      </c>
      <c r="C231" s="160">
        <v>5786</v>
      </c>
      <c r="D231" s="160">
        <v>2448311.3760839002</v>
      </c>
      <c r="E231" s="161">
        <v>45097.9547757607</v>
      </c>
      <c r="F231" s="162">
        <v>99.635764699947202</v>
      </c>
      <c r="G231" s="163">
        <v>0.13528704384488699</v>
      </c>
    </row>
    <row r="232" spans="1:7" x14ac:dyDescent="0.3">
      <c r="A232" s="11" t="s">
        <v>958</v>
      </c>
      <c r="B232" s="11" t="s">
        <v>959</v>
      </c>
      <c r="C232" s="164">
        <v>8</v>
      </c>
      <c r="D232" s="164">
        <v>5107.2511066369598</v>
      </c>
      <c r="E232" s="165">
        <v>2033.84397439603</v>
      </c>
      <c r="F232" s="166">
        <v>0.20784319939662299</v>
      </c>
      <c r="G232" s="167">
        <v>8.3725169127519095E-2</v>
      </c>
    </row>
    <row r="233" spans="1:7" x14ac:dyDescent="0.3">
      <c r="A233" s="6" t="s">
        <v>956</v>
      </c>
      <c r="B233" s="6" t="s">
        <v>1025</v>
      </c>
      <c r="C233" s="160">
        <v>16</v>
      </c>
      <c r="D233" s="160">
        <v>3842.9630195463101</v>
      </c>
      <c r="E233" s="161">
        <v>1845.3463853278099</v>
      </c>
      <c r="F233" s="162">
        <v>0.156392100656152</v>
      </c>
      <c r="G233" s="163">
        <v>7.5227920906401499E-2</v>
      </c>
    </row>
    <row r="234" spans="1:7" x14ac:dyDescent="0.3">
      <c r="A234" s="11" t="s">
        <v>6269</v>
      </c>
      <c r="B234" s="11" t="s">
        <v>6270</v>
      </c>
      <c r="C234" s="164">
        <v>2821</v>
      </c>
      <c r="D234" s="164">
        <v>1199145.4097899201</v>
      </c>
      <c r="E234" s="165">
        <v>44290.164246483197</v>
      </c>
      <c r="F234" s="166">
        <v>32.795731158755601</v>
      </c>
      <c r="G234" s="167">
        <v>1.21130290600809</v>
      </c>
    </row>
    <row r="235" spans="1:7" x14ac:dyDescent="0.3">
      <c r="A235" s="6" t="s">
        <v>6269</v>
      </c>
      <c r="B235" s="6" t="s">
        <v>6271</v>
      </c>
      <c r="C235" s="160">
        <v>8631</v>
      </c>
      <c r="D235" s="160">
        <v>3656407</v>
      </c>
      <c r="E235" s="161">
        <v>0</v>
      </c>
      <c r="F235" s="162">
        <v>100</v>
      </c>
      <c r="G235" s="163">
        <v>0</v>
      </c>
    </row>
    <row r="236" spans="1:7" x14ac:dyDescent="0.3">
      <c r="A236" s="3299" t="s">
        <v>391</v>
      </c>
      <c r="B236" s="3298"/>
      <c r="C236" s="3298"/>
      <c r="D236" s="3298"/>
      <c r="E236" s="3298"/>
      <c r="F236" s="3298"/>
      <c r="G236" s="3298"/>
    </row>
    <row r="237" spans="1:7" x14ac:dyDescent="0.3">
      <c r="A237" s="11" t="s">
        <v>6294</v>
      </c>
      <c r="B237" s="11"/>
      <c r="C237" s="172">
        <v>125</v>
      </c>
      <c r="D237" s="172">
        <v>43212.565135977602</v>
      </c>
      <c r="E237" s="173">
        <v>5906.6201531381203</v>
      </c>
      <c r="F237" s="174">
        <v>18.198335831504899</v>
      </c>
      <c r="G237" s="175">
        <v>2.2413268863885398</v>
      </c>
    </row>
    <row r="238" spans="1:7" x14ac:dyDescent="0.3">
      <c r="A238" s="6" t="s">
        <v>6295</v>
      </c>
      <c r="B238" s="6"/>
      <c r="C238" s="168">
        <v>79</v>
      </c>
      <c r="D238" s="168">
        <v>37983.256078000901</v>
      </c>
      <c r="E238" s="169">
        <v>6751.3650784199199</v>
      </c>
      <c r="F238" s="170">
        <v>15.996089283438801</v>
      </c>
      <c r="G238" s="171">
        <v>2.3824423881386099</v>
      </c>
    </row>
    <row r="239" spans="1:7" x14ac:dyDescent="0.3">
      <c r="A239" s="11" t="s">
        <v>6296</v>
      </c>
      <c r="B239" s="11"/>
      <c r="C239" s="172">
        <v>46</v>
      </c>
      <c r="D239" s="172">
        <v>26649.1033641658</v>
      </c>
      <c r="E239" s="173">
        <v>6087.4134571315399</v>
      </c>
      <c r="F239" s="174">
        <v>11.2228776769793</v>
      </c>
      <c r="G239" s="175">
        <v>2.4694604140176599</v>
      </c>
    </row>
    <row r="240" spans="1:7" x14ac:dyDescent="0.3">
      <c r="A240" s="6" t="s">
        <v>6297</v>
      </c>
      <c r="B240" s="6"/>
      <c r="C240" s="168">
        <v>33</v>
      </c>
      <c r="D240" s="168">
        <v>19526.598487346298</v>
      </c>
      <c r="E240" s="169">
        <v>5252.4964987990998</v>
      </c>
      <c r="F240" s="170">
        <v>8.2233395726797198</v>
      </c>
      <c r="G240" s="171">
        <v>1.9291524839638201</v>
      </c>
    </row>
    <row r="241" spans="1:7" x14ac:dyDescent="0.3">
      <c r="A241" s="11" t="s">
        <v>6298</v>
      </c>
      <c r="B241" s="11"/>
      <c r="C241" s="172">
        <v>14</v>
      </c>
      <c r="D241" s="172">
        <v>13422.731063887701</v>
      </c>
      <c r="E241" s="173">
        <v>4042.4416658703399</v>
      </c>
      <c r="F241" s="174">
        <v>5.65278564019399</v>
      </c>
      <c r="G241" s="175">
        <v>1.8985389678023501</v>
      </c>
    </row>
    <row r="242" spans="1:7" x14ac:dyDescent="0.3">
      <c r="A242" s="6" t="s">
        <v>6299</v>
      </c>
      <c r="B242" s="6"/>
      <c r="C242" s="168">
        <v>27</v>
      </c>
      <c r="D242" s="168">
        <v>10387.2515116053</v>
      </c>
      <c r="E242" s="169">
        <v>3612.7043612060402</v>
      </c>
      <c r="F242" s="170">
        <v>4.3744381010401696</v>
      </c>
      <c r="G242" s="171">
        <v>1.35640351772644</v>
      </c>
    </row>
    <row r="243" spans="1:7" x14ac:dyDescent="0.3">
      <c r="A243" s="11" t="s">
        <v>6300</v>
      </c>
      <c r="B243" s="11"/>
      <c r="C243" s="172">
        <v>8</v>
      </c>
      <c r="D243" s="172">
        <v>6044.7139943484899</v>
      </c>
      <c r="E243" s="173">
        <v>2390.67670921232</v>
      </c>
      <c r="F243" s="174">
        <v>2.5456423363991698</v>
      </c>
      <c r="G243" s="175">
        <v>1.02200620574177</v>
      </c>
    </row>
    <row r="244" spans="1:7" x14ac:dyDescent="0.3">
      <c r="A244" s="6" t="s">
        <v>6301</v>
      </c>
      <c r="B244" s="6"/>
      <c r="C244" s="168">
        <v>19</v>
      </c>
      <c r="D244" s="168">
        <v>5891.25543733015</v>
      </c>
      <c r="E244" s="169">
        <v>2155.9792629204899</v>
      </c>
      <c r="F244" s="170">
        <v>2.4810155236179798</v>
      </c>
      <c r="G244" s="171">
        <v>0.96108549405202304</v>
      </c>
    </row>
    <row r="245" spans="1:7" x14ac:dyDescent="0.3">
      <c r="A245" s="11" t="s">
        <v>6302</v>
      </c>
      <c r="B245" s="11"/>
      <c r="C245" s="172">
        <v>16</v>
      </c>
      <c r="D245" s="172">
        <v>4468.5025861855001</v>
      </c>
      <c r="E245" s="173">
        <v>1403.7136240478801</v>
      </c>
      <c r="F245" s="174">
        <v>1.8818440995451999</v>
      </c>
      <c r="G245" s="175">
        <v>0.65601109374155697</v>
      </c>
    </row>
    <row r="246" spans="1:7" x14ac:dyDescent="0.3">
      <c r="A246" s="6" t="s">
        <v>6303</v>
      </c>
      <c r="B246" s="6"/>
      <c r="C246" s="168">
        <v>16</v>
      </c>
      <c r="D246" s="168">
        <v>4085.6011136771799</v>
      </c>
      <c r="E246" s="169">
        <v>1578.39430754002</v>
      </c>
      <c r="F246" s="170">
        <v>1.72059077970276</v>
      </c>
      <c r="G246" s="171">
        <v>0.66957867363438295</v>
      </c>
    </row>
    <row r="247" spans="1:7" x14ac:dyDescent="0.3">
      <c r="A247" s="11" t="s">
        <v>6304</v>
      </c>
      <c r="B247" s="11"/>
      <c r="C247" s="172">
        <v>10</v>
      </c>
      <c r="D247" s="172">
        <v>3817.0027411385699</v>
      </c>
      <c r="E247" s="173">
        <v>1599.06583631222</v>
      </c>
      <c r="F247" s="174">
        <v>1.6074745281710101</v>
      </c>
      <c r="G247" s="175">
        <v>0.68134354789777996</v>
      </c>
    </row>
    <row r="248" spans="1:7" x14ac:dyDescent="0.3">
      <c r="A248" s="6" t="s">
        <v>6305</v>
      </c>
      <c r="B248" s="6"/>
      <c r="C248" s="168">
        <v>7</v>
      </c>
      <c r="D248" s="168">
        <v>3549.8751496527402</v>
      </c>
      <c r="E248" s="169">
        <v>1841.2372837845501</v>
      </c>
      <c r="F248" s="170">
        <v>1.4949776744336001</v>
      </c>
      <c r="G248" s="171">
        <v>0.78417086759072696</v>
      </c>
    </row>
    <row r="249" spans="1:7" x14ac:dyDescent="0.3">
      <c r="A249" s="11" t="s">
        <v>6306</v>
      </c>
      <c r="B249" s="11"/>
      <c r="C249" s="172">
        <v>5</v>
      </c>
      <c r="D249" s="172">
        <v>3218.2582062975198</v>
      </c>
      <c r="E249" s="173">
        <v>2072.4579431586499</v>
      </c>
      <c r="F249" s="174">
        <v>1.35532207927036</v>
      </c>
      <c r="G249" s="175">
        <v>0.88005489733529796</v>
      </c>
    </row>
    <row r="250" spans="1:7" x14ac:dyDescent="0.3">
      <c r="A250" s="6" t="s">
        <v>6307</v>
      </c>
      <c r="B250" s="6"/>
      <c r="C250" s="168">
        <v>3</v>
      </c>
      <c r="D250" s="168">
        <v>2788.4166592880601</v>
      </c>
      <c r="E250" s="169">
        <v>2438.9715929126301</v>
      </c>
      <c r="F250" s="170">
        <v>1.17430063788643</v>
      </c>
      <c r="G250" s="171">
        <v>1.0378365798951601</v>
      </c>
    </row>
    <row r="251" spans="1:7" x14ac:dyDescent="0.3">
      <c r="A251" s="11" t="s">
        <v>6308</v>
      </c>
      <c r="B251" s="11"/>
      <c r="C251" s="172">
        <v>2</v>
      </c>
      <c r="D251" s="172">
        <v>2534.0253369277698</v>
      </c>
      <c r="E251" s="173">
        <v>2492.5274871290499</v>
      </c>
      <c r="F251" s="174">
        <v>1.0671674764468</v>
      </c>
      <c r="G251" s="175">
        <v>1.05425471191673</v>
      </c>
    </row>
    <row r="252" spans="1:7" x14ac:dyDescent="0.3">
      <c r="A252" s="6" t="s">
        <v>6309</v>
      </c>
      <c r="B252" s="6"/>
      <c r="C252" s="168">
        <v>4</v>
      </c>
      <c r="D252" s="168">
        <v>2510.03311803625</v>
      </c>
      <c r="E252" s="169">
        <v>2277.4504061031198</v>
      </c>
      <c r="F252" s="170">
        <v>1.0570635065631</v>
      </c>
      <c r="G252" s="171">
        <v>0.96412592235414696</v>
      </c>
    </row>
    <row r="253" spans="1:7" x14ac:dyDescent="0.3">
      <c r="A253" s="11" t="s">
        <v>6310</v>
      </c>
      <c r="B253" s="11"/>
      <c r="C253" s="172">
        <v>1</v>
      </c>
      <c r="D253" s="172">
        <v>2328.8156311050798</v>
      </c>
      <c r="E253" s="173">
        <v>2345.1576825048301</v>
      </c>
      <c r="F253" s="174">
        <v>0.98074642898769704</v>
      </c>
      <c r="G253" s="175">
        <v>0.99242461763883505</v>
      </c>
    </row>
    <row r="254" spans="1:7" x14ac:dyDescent="0.3">
      <c r="A254" s="6" t="s">
        <v>6311</v>
      </c>
      <c r="B254" s="6"/>
      <c r="C254" s="168">
        <v>1</v>
      </c>
      <c r="D254" s="168">
        <v>2035.1522856868701</v>
      </c>
      <c r="E254" s="169">
        <v>2076.4323447414099</v>
      </c>
      <c r="F254" s="170">
        <v>0.85707443301830299</v>
      </c>
      <c r="G254" s="171">
        <v>0.872242939824321</v>
      </c>
    </row>
    <row r="255" spans="1:7" x14ac:dyDescent="0.3">
      <c r="A255" s="11" t="s">
        <v>6312</v>
      </c>
      <c r="B255" s="11"/>
      <c r="C255" s="172">
        <v>1</v>
      </c>
      <c r="D255" s="172">
        <v>1802.31137100974</v>
      </c>
      <c r="E255" s="173">
        <v>1808.10845789687</v>
      </c>
      <c r="F255" s="174">
        <v>0.75901690860901205</v>
      </c>
      <c r="G255" s="175">
        <v>0.76322516938751805</v>
      </c>
    </row>
    <row r="256" spans="1:7" x14ac:dyDescent="0.3">
      <c r="A256" s="6" t="s">
        <v>6313</v>
      </c>
      <c r="B256" s="6"/>
      <c r="C256" s="168">
        <v>3</v>
      </c>
      <c r="D256" s="168">
        <v>1644.48480211321</v>
      </c>
      <c r="E256" s="169">
        <v>1466.55330682921</v>
      </c>
      <c r="F256" s="170">
        <v>0.69255057191098601</v>
      </c>
      <c r="G256" s="171">
        <v>0.61734237369496003</v>
      </c>
    </row>
    <row r="257" spans="1:7" x14ac:dyDescent="0.3">
      <c r="A257" s="11" t="s">
        <v>6314</v>
      </c>
      <c r="B257" s="11"/>
      <c r="C257" s="172">
        <v>1</v>
      </c>
      <c r="D257" s="172">
        <v>1640.52202777818</v>
      </c>
      <c r="E257" s="173">
        <v>1712.57982914953</v>
      </c>
      <c r="F257" s="174">
        <v>0.690881707821424</v>
      </c>
      <c r="G257" s="175">
        <v>0.72457984519713403</v>
      </c>
    </row>
    <row r="258" spans="1:7" x14ac:dyDescent="0.3">
      <c r="A258" s="6" t="s">
        <v>6315</v>
      </c>
      <c r="B258" s="6"/>
      <c r="C258" s="168">
        <v>1</v>
      </c>
      <c r="D258" s="168">
        <v>1636.67243420933</v>
      </c>
      <c r="E258" s="169">
        <v>1676.8877190927501</v>
      </c>
      <c r="F258" s="170">
        <v>0.68926050814581397</v>
      </c>
      <c r="G258" s="171">
        <v>0.70276911429325895</v>
      </c>
    </row>
    <row r="259" spans="1:7" x14ac:dyDescent="0.3">
      <c r="A259" s="11" t="s">
        <v>6316</v>
      </c>
      <c r="B259" s="11"/>
      <c r="C259" s="172">
        <v>1</v>
      </c>
      <c r="D259" s="172">
        <v>1574.4427323782199</v>
      </c>
      <c r="E259" s="173">
        <v>1595.7662201153701</v>
      </c>
      <c r="F259" s="174">
        <v>0.66305338507748002</v>
      </c>
      <c r="G259" s="175">
        <v>0.67059093103061995</v>
      </c>
    </row>
    <row r="260" spans="1:7" x14ac:dyDescent="0.3">
      <c r="A260" s="6" t="s">
        <v>6317</v>
      </c>
      <c r="B260" s="6"/>
      <c r="C260" s="168">
        <v>1</v>
      </c>
      <c r="D260" s="168">
        <v>1534.3842224811101</v>
      </c>
      <c r="E260" s="169">
        <v>1547.8634904348301</v>
      </c>
      <c r="F260" s="170">
        <v>0.64618333319041199</v>
      </c>
      <c r="G260" s="171">
        <v>0.65783184770541703</v>
      </c>
    </row>
    <row r="261" spans="1:7" x14ac:dyDescent="0.3">
      <c r="A261" s="11" t="s">
        <v>6318</v>
      </c>
      <c r="B261" s="11"/>
      <c r="C261" s="172">
        <v>1</v>
      </c>
      <c r="D261" s="172">
        <v>1483.9056739067801</v>
      </c>
      <c r="E261" s="173">
        <v>1450.0921808903699</v>
      </c>
      <c r="F261" s="174">
        <v>0.62492503537004596</v>
      </c>
      <c r="G261" s="175">
        <v>0.61231708957060904</v>
      </c>
    </row>
    <row r="262" spans="1:7" x14ac:dyDescent="0.3">
      <c r="A262" s="6" t="s">
        <v>6319</v>
      </c>
      <c r="B262" s="6"/>
      <c r="C262" s="168">
        <v>1</v>
      </c>
      <c r="D262" s="168">
        <v>1442.20040965406</v>
      </c>
      <c r="E262" s="169">
        <v>1457.7563339405899</v>
      </c>
      <c r="F262" s="170">
        <v>0.60736147712201305</v>
      </c>
      <c r="G262" s="171">
        <v>0.61289700560254901</v>
      </c>
    </row>
    <row r="263" spans="1:7" x14ac:dyDescent="0.3">
      <c r="A263" s="11" t="s">
        <v>6320</v>
      </c>
      <c r="B263" s="11"/>
      <c r="C263" s="172">
        <v>1</v>
      </c>
      <c r="D263" s="172">
        <v>1235.93568115061</v>
      </c>
      <c r="E263" s="173">
        <v>1230.15657354573</v>
      </c>
      <c r="F263" s="174">
        <v>0.52049612238807796</v>
      </c>
      <c r="G263" s="175">
        <v>0.51837676279781597</v>
      </c>
    </row>
    <row r="264" spans="1:7" x14ac:dyDescent="0.3">
      <c r="A264" s="6" t="s">
        <v>6321</v>
      </c>
      <c r="B264" s="6"/>
      <c r="C264" s="168">
        <v>3</v>
      </c>
      <c r="D264" s="168">
        <v>1178.6612053763399</v>
      </c>
      <c r="E264" s="169">
        <v>879.08583491583897</v>
      </c>
      <c r="F264" s="170">
        <v>0.49637581984566498</v>
      </c>
      <c r="G264" s="171">
        <v>0.36996811219564302</v>
      </c>
    </row>
    <row r="265" spans="1:7" x14ac:dyDescent="0.3">
      <c r="A265" s="11" t="s">
        <v>6322</v>
      </c>
      <c r="B265" s="11"/>
      <c r="C265" s="172">
        <v>3</v>
      </c>
      <c r="D265" s="172">
        <v>1110.5741799366799</v>
      </c>
      <c r="E265" s="173">
        <v>802.99095807547201</v>
      </c>
      <c r="F265" s="174">
        <v>0.46770197114401701</v>
      </c>
      <c r="G265" s="175">
        <v>0.34958030585448302</v>
      </c>
    </row>
    <row r="266" spans="1:7" x14ac:dyDescent="0.3">
      <c r="A266" s="6" t="s">
        <v>6323</v>
      </c>
      <c r="B266" s="6"/>
      <c r="C266" s="168">
        <v>1</v>
      </c>
      <c r="D266" s="168">
        <v>1031.84537111242</v>
      </c>
      <c r="E266" s="169">
        <v>1037.8290770600699</v>
      </c>
      <c r="F266" s="170">
        <v>0.43454649198905598</v>
      </c>
      <c r="G266" s="171">
        <v>0.43992982364539801</v>
      </c>
    </row>
    <row r="267" spans="1:7" x14ac:dyDescent="0.3">
      <c r="A267" s="11" t="s">
        <v>6324</v>
      </c>
      <c r="B267" s="11"/>
      <c r="C267" s="172">
        <v>1</v>
      </c>
      <c r="D267" s="172">
        <v>1022.07184190851</v>
      </c>
      <c r="E267" s="173">
        <v>1042.54052477559</v>
      </c>
      <c r="F267" s="174">
        <v>0.43043051400552002</v>
      </c>
      <c r="G267" s="175">
        <v>0.43982747006091699</v>
      </c>
    </row>
    <row r="268" spans="1:7" x14ac:dyDescent="0.3">
      <c r="A268" s="6" t="s">
        <v>6325</v>
      </c>
      <c r="B268" s="6"/>
      <c r="C268" s="168">
        <v>1</v>
      </c>
      <c r="D268" s="168">
        <v>1004.36608700298</v>
      </c>
      <c r="E268" s="169">
        <v>1012.85943724943</v>
      </c>
      <c r="F268" s="170">
        <v>0.42297399590928503</v>
      </c>
      <c r="G268" s="171">
        <v>0.43058738809115699</v>
      </c>
    </row>
    <row r="269" spans="1:7" x14ac:dyDescent="0.3">
      <c r="A269" s="11" t="s">
        <v>6326</v>
      </c>
      <c r="B269" s="11"/>
      <c r="C269" s="172">
        <v>3</v>
      </c>
      <c r="D269" s="172">
        <v>992.78190682930006</v>
      </c>
      <c r="E269" s="173">
        <v>820.06903783406005</v>
      </c>
      <c r="F269" s="174">
        <v>0.41809548891786003</v>
      </c>
      <c r="G269" s="175">
        <v>0.35016457276861801</v>
      </c>
    </row>
    <row r="270" spans="1:7" x14ac:dyDescent="0.3">
      <c r="A270" s="6" t="s">
        <v>6327</v>
      </c>
      <c r="B270" s="6"/>
      <c r="C270" s="168">
        <v>2</v>
      </c>
      <c r="D270" s="168">
        <v>977.93342558298104</v>
      </c>
      <c r="E270" s="169">
        <v>981.10557378897295</v>
      </c>
      <c r="F270" s="170">
        <v>0.411842269571635</v>
      </c>
      <c r="G270" s="171">
        <v>0.41247747018730002</v>
      </c>
    </row>
    <row r="271" spans="1:7" x14ac:dyDescent="0.3">
      <c r="A271" s="11" t="s">
        <v>6328</v>
      </c>
      <c r="B271" s="11"/>
      <c r="C271" s="172">
        <v>1</v>
      </c>
      <c r="D271" s="172">
        <v>968.77144183187295</v>
      </c>
      <c r="E271" s="173">
        <v>978.65180460977194</v>
      </c>
      <c r="F271" s="174">
        <v>0.40798383495520302</v>
      </c>
      <c r="G271" s="175">
        <v>0.41465161544540502</v>
      </c>
    </row>
    <row r="272" spans="1:7" x14ac:dyDescent="0.3">
      <c r="A272" s="6" t="s">
        <v>6329</v>
      </c>
      <c r="B272" s="6"/>
      <c r="C272" s="168">
        <v>1</v>
      </c>
      <c r="D272" s="168">
        <v>901.46071361714701</v>
      </c>
      <c r="E272" s="169">
        <v>913.45237398176096</v>
      </c>
      <c r="F272" s="170">
        <v>0.37963691240477798</v>
      </c>
      <c r="G272" s="171">
        <v>0.38262315377704798</v>
      </c>
    </row>
    <row r="273" spans="1:7" x14ac:dyDescent="0.3">
      <c r="A273" s="11" t="s">
        <v>6330</v>
      </c>
      <c r="B273" s="11"/>
      <c r="C273" s="172">
        <v>2</v>
      </c>
      <c r="D273" s="172">
        <v>883.24226622226001</v>
      </c>
      <c r="E273" s="173">
        <v>898.54973662911596</v>
      </c>
      <c r="F273" s="174">
        <v>0.371964481412138</v>
      </c>
      <c r="G273" s="175">
        <v>0.37810098400685399</v>
      </c>
    </row>
    <row r="274" spans="1:7" x14ac:dyDescent="0.3">
      <c r="A274" s="6" t="s">
        <v>6331</v>
      </c>
      <c r="B274" s="6"/>
      <c r="C274" s="168">
        <v>1</v>
      </c>
      <c r="D274" s="168">
        <v>877.71807028385194</v>
      </c>
      <c r="E274" s="169">
        <v>879.40791235245399</v>
      </c>
      <c r="F274" s="170">
        <v>0.36963804759433899</v>
      </c>
      <c r="G274" s="171">
        <v>0.37305818009653202</v>
      </c>
    </row>
    <row r="275" spans="1:7" x14ac:dyDescent="0.3">
      <c r="A275" s="11" t="s">
        <v>6332</v>
      </c>
      <c r="B275" s="11"/>
      <c r="C275" s="172">
        <v>1</v>
      </c>
      <c r="D275" s="172">
        <v>776.16053588125101</v>
      </c>
      <c r="E275" s="173">
        <v>785.32025187670195</v>
      </c>
      <c r="F275" s="174">
        <v>0.32686858664096902</v>
      </c>
      <c r="G275" s="175">
        <v>0.33400897758103798</v>
      </c>
    </row>
    <row r="276" spans="1:7" x14ac:dyDescent="0.3">
      <c r="A276" s="6" t="s">
        <v>6333</v>
      </c>
      <c r="B276" s="6"/>
      <c r="C276" s="168">
        <v>1</v>
      </c>
      <c r="D276" s="168">
        <v>749.78997247035602</v>
      </c>
      <c r="E276" s="169">
        <v>767.82461542487795</v>
      </c>
      <c r="F276" s="170">
        <v>0.31576301196593298</v>
      </c>
      <c r="G276" s="171">
        <v>0.32189431878417002</v>
      </c>
    </row>
    <row r="277" spans="1:7" x14ac:dyDescent="0.3">
      <c r="A277" s="11" t="s">
        <v>6334</v>
      </c>
      <c r="B277" s="11"/>
      <c r="C277" s="172">
        <v>1</v>
      </c>
      <c r="D277" s="172">
        <v>733.72363041021697</v>
      </c>
      <c r="E277" s="173">
        <v>735.02409569112399</v>
      </c>
      <c r="F277" s="174">
        <v>0.30899690846168099</v>
      </c>
      <c r="G277" s="175">
        <v>0.31024030535514602</v>
      </c>
    </row>
    <row r="278" spans="1:7" x14ac:dyDescent="0.3">
      <c r="A278" s="6" t="s">
        <v>6335</v>
      </c>
      <c r="B278" s="6"/>
      <c r="C278" s="168">
        <v>1</v>
      </c>
      <c r="D278" s="168">
        <v>722.64874583741698</v>
      </c>
      <c r="E278" s="169">
        <v>729.58445152034199</v>
      </c>
      <c r="F278" s="170">
        <v>0.30433288381707302</v>
      </c>
      <c r="G278" s="171">
        <v>0.309120046730614</v>
      </c>
    </row>
    <row r="279" spans="1:7" x14ac:dyDescent="0.3">
      <c r="A279" s="11" t="s">
        <v>6336</v>
      </c>
      <c r="B279" s="11"/>
      <c r="C279" s="172">
        <v>1</v>
      </c>
      <c r="D279" s="172">
        <v>713.85268942385596</v>
      </c>
      <c r="E279" s="173">
        <v>722.88644256644602</v>
      </c>
      <c r="F279" s="174">
        <v>0.30062855411335898</v>
      </c>
      <c r="G279" s="175">
        <v>0.303771033688501</v>
      </c>
    </row>
    <row r="280" spans="1:7" x14ac:dyDescent="0.3">
      <c r="A280" s="6" t="s">
        <v>6337</v>
      </c>
      <c r="B280" s="6"/>
      <c r="C280" s="168">
        <v>4</v>
      </c>
      <c r="D280" s="168">
        <v>656.67498996092195</v>
      </c>
      <c r="E280" s="169">
        <v>489.42540843411001</v>
      </c>
      <c r="F280" s="170">
        <v>0.27654900749017097</v>
      </c>
      <c r="G280" s="171">
        <v>0.20784514466180001</v>
      </c>
    </row>
    <row r="281" spans="1:7" x14ac:dyDescent="0.3">
      <c r="A281" s="11" t="s">
        <v>6338</v>
      </c>
      <c r="B281" s="11"/>
      <c r="C281" s="172">
        <v>1</v>
      </c>
      <c r="D281" s="172">
        <v>566.44552284889403</v>
      </c>
      <c r="E281" s="173">
        <v>568.15445071503098</v>
      </c>
      <c r="F281" s="174">
        <v>0.23855019535681499</v>
      </c>
      <c r="G281" s="175">
        <v>0.24176853004368001</v>
      </c>
    </row>
    <row r="282" spans="1:7" x14ac:dyDescent="0.3">
      <c r="A282" s="6" t="s">
        <v>6339</v>
      </c>
      <c r="B282" s="6"/>
      <c r="C282" s="168">
        <v>3</v>
      </c>
      <c r="D282" s="168">
        <v>559.78665612649695</v>
      </c>
      <c r="E282" s="169">
        <v>294.87021036254799</v>
      </c>
      <c r="F282" s="170">
        <v>0.235745911637714</v>
      </c>
      <c r="G282" s="171">
        <v>0.123299385240894</v>
      </c>
    </row>
    <row r="283" spans="1:7" x14ac:dyDescent="0.3">
      <c r="A283" s="11" t="s">
        <v>6340</v>
      </c>
      <c r="B283" s="11"/>
      <c r="C283" s="172">
        <v>1</v>
      </c>
      <c r="D283" s="172">
        <v>559.40263556345894</v>
      </c>
      <c r="E283" s="173">
        <v>563.96206593952797</v>
      </c>
      <c r="F283" s="174">
        <v>0.23558418702936501</v>
      </c>
      <c r="G283" s="175">
        <v>0.23647034880812801</v>
      </c>
    </row>
    <row r="284" spans="1:7" x14ac:dyDescent="0.3">
      <c r="A284" s="6" t="s">
        <v>6341</v>
      </c>
      <c r="B284" s="6"/>
      <c r="C284" s="168">
        <v>1</v>
      </c>
      <c r="D284" s="168">
        <v>531.93808848847505</v>
      </c>
      <c r="E284" s="169">
        <v>534.90810467054098</v>
      </c>
      <c r="F284" s="170">
        <v>0.22401789723476601</v>
      </c>
      <c r="G284" s="171">
        <v>0.22577274726544799</v>
      </c>
    </row>
    <row r="285" spans="1:7" x14ac:dyDescent="0.3">
      <c r="A285" s="11" t="s">
        <v>6342</v>
      </c>
      <c r="B285" s="11"/>
      <c r="C285" s="172">
        <v>2</v>
      </c>
      <c r="D285" s="172">
        <v>531.51722178075602</v>
      </c>
      <c r="E285" s="173">
        <v>428.19420039860302</v>
      </c>
      <c r="F285" s="174">
        <v>0.223840655414863</v>
      </c>
      <c r="G285" s="175">
        <v>0.180116937910655</v>
      </c>
    </row>
    <row r="286" spans="1:7" x14ac:dyDescent="0.3">
      <c r="A286" s="6" t="s">
        <v>6343</v>
      </c>
      <c r="B286" s="6"/>
      <c r="C286" s="168">
        <v>1</v>
      </c>
      <c r="D286" s="168">
        <v>486.91690641566498</v>
      </c>
      <c r="E286" s="169">
        <v>498.75184219574197</v>
      </c>
      <c r="F286" s="170">
        <v>0.20505788899840699</v>
      </c>
      <c r="G286" s="171">
        <v>0.21107690176980201</v>
      </c>
    </row>
    <row r="287" spans="1:7" x14ac:dyDescent="0.3">
      <c r="A287" s="11" t="s">
        <v>6344</v>
      </c>
      <c r="B287" s="11"/>
      <c r="C287" s="172">
        <v>2</v>
      </c>
      <c r="D287" s="172">
        <v>461.94390369635801</v>
      </c>
      <c r="E287" s="173">
        <v>324.30498820965198</v>
      </c>
      <c r="F287" s="174">
        <v>0.19454087644020901</v>
      </c>
      <c r="G287" s="175">
        <v>0.138035728166014</v>
      </c>
    </row>
    <row r="288" spans="1:7" x14ac:dyDescent="0.3">
      <c r="A288" s="6" t="s">
        <v>6345</v>
      </c>
      <c r="B288" s="6"/>
      <c r="C288" s="168">
        <v>1</v>
      </c>
      <c r="D288" s="168">
        <v>436.24555601643902</v>
      </c>
      <c r="E288" s="169">
        <v>439.04407001666198</v>
      </c>
      <c r="F288" s="170">
        <v>0.18371839552702199</v>
      </c>
      <c r="G288" s="171">
        <v>0.185686031145332</v>
      </c>
    </row>
    <row r="289" spans="1:7" x14ac:dyDescent="0.3">
      <c r="A289" s="11" t="s">
        <v>6346</v>
      </c>
      <c r="B289" s="11"/>
      <c r="C289" s="172">
        <v>1</v>
      </c>
      <c r="D289" s="172">
        <v>433.44008868931098</v>
      </c>
      <c r="E289" s="173">
        <v>437.22612846717601</v>
      </c>
      <c r="F289" s="174">
        <v>0.18253691425131599</v>
      </c>
      <c r="G289" s="175">
        <v>0.18441366366515199</v>
      </c>
    </row>
    <row r="290" spans="1:7" x14ac:dyDescent="0.3">
      <c r="A290" s="6" t="s">
        <v>6347</v>
      </c>
      <c r="B290" s="6"/>
      <c r="C290" s="168">
        <v>1</v>
      </c>
      <c r="D290" s="168">
        <v>430.24861022460698</v>
      </c>
      <c r="E290" s="169">
        <v>433.63549113450603</v>
      </c>
      <c r="F290" s="170">
        <v>0.18119287006609</v>
      </c>
      <c r="G290" s="171">
        <v>0.18322900396509501</v>
      </c>
    </row>
    <row r="291" spans="1:7" x14ac:dyDescent="0.3">
      <c r="A291" s="11" t="s">
        <v>6348</v>
      </c>
      <c r="B291" s="11"/>
      <c r="C291" s="172">
        <v>1</v>
      </c>
      <c r="D291" s="172">
        <v>406.18222607349298</v>
      </c>
      <c r="E291" s="173">
        <v>405.43338695766101</v>
      </c>
      <c r="F291" s="174">
        <v>0.17105766657484101</v>
      </c>
      <c r="G291" s="175">
        <v>0.17094208733212701</v>
      </c>
    </row>
    <row r="292" spans="1:7" x14ac:dyDescent="0.3">
      <c r="A292" s="6" t="s">
        <v>6349</v>
      </c>
      <c r="B292" s="6"/>
      <c r="C292" s="168">
        <v>1</v>
      </c>
      <c r="D292" s="168">
        <v>365.91041469753901</v>
      </c>
      <c r="E292" s="169">
        <v>363.60796212143401</v>
      </c>
      <c r="F292" s="170">
        <v>0.15409778590919601</v>
      </c>
      <c r="G292" s="171">
        <v>0.154144120660375</v>
      </c>
    </row>
    <row r="293" spans="1:7" x14ac:dyDescent="0.3">
      <c r="A293" s="11" t="s">
        <v>6350</v>
      </c>
      <c r="B293" s="11"/>
      <c r="C293" s="172">
        <v>1</v>
      </c>
      <c r="D293" s="172">
        <v>332.21932792611</v>
      </c>
      <c r="E293" s="173">
        <v>333.03179484656698</v>
      </c>
      <c r="F293" s="174">
        <v>0.13990928055975599</v>
      </c>
      <c r="G293" s="175">
        <v>0.141366557179953</v>
      </c>
    </row>
    <row r="294" spans="1:7" x14ac:dyDescent="0.3">
      <c r="A294" s="6" t="s">
        <v>6351</v>
      </c>
      <c r="B294" s="6"/>
      <c r="C294" s="168">
        <v>2</v>
      </c>
      <c r="D294" s="168">
        <v>313.32937720613302</v>
      </c>
      <c r="E294" s="169">
        <v>315.39876498522699</v>
      </c>
      <c r="F294" s="170">
        <v>0.13195405582451999</v>
      </c>
      <c r="G294" s="171">
        <v>0.133501950713764</v>
      </c>
    </row>
    <row r="295" spans="1:7" x14ac:dyDescent="0.3">
      <c r="A295" s="11" t="s">
        <v>6352</v>
      </c>
      <c r="B295" s="11"/>
      <c r="C295" s="172">
        <v>1</v>
      </c>
      <c r="D295" s="172">
        <v>305.61058465473099</v>
      </c>
      <c r="E295" s="173">
        <v>307.635468452476</v>
      </c>
      <c r="F295" s="174">
        <v>0.128703399941859</v>
      </c>
      <c r="G295" s="175">
        <v>0.13030612836504299</v>
      </c>
    </row>
    <row r="296" spans="1:7" x14ac:dyDescent="0.3">
      <c r="A296" s="6" t="s">
        <v>6353</v>
      </c>
      <c r="B296" s="6"/>
      <c r="C296" s="168">
        <v>1</v>
      </c>
      <c r="D296" s="168">
        <v>305.20452488842301</v>
      </c>
      <c r="E296" s="169">
        <v>305.00290198834</v>
      </c>
      <c r="F296" s="170">
        <v>0.128532393847412</v>
      </c>
      <c r="G296" s="171">
        <v>0.12904562450886101</v>
      </c>
    </row>
    <row r="297" spans="1:7" x14ac:dyDescent="0.3">
      <c r="A297" s="11" t="s">
        <v>6354</v>
      </c>
      <c r="B297" s="11"/>
      <c r="C297" s="172">
        <v>1</v>
      </c>
      <c r="D297" s="172">
        <v>292.86503433198999</v>
      </c>
      <c r="E297" s="173">
        <v>301.26710225985499</v>
      </c>
      <c r="F297" s="174">
        <v>0.123335799004476</v>
      </c>
      <c r="G297" s="175">
        <v>0.12771729899121101</v>
      </c>
    </row>
    <row r="298" spans="1:7" x14ac:dyDescent="0.3">
      <c r="A298" s="6" t="s">
        <v>6355</v>
      </c>
      <c r="B298" s="6"/>
      <c r="C298" s="168">
        <v>1</v>
      </c>
      <c r="D298" s="168">
        <v>291.48068799489801</v>
      </c>
      <c r="E298" s="169">
        <v>296.40864822697802</v>
      </c>
      <c r="F298" s="170">
        <v>0.12275280191855401</v>
      </c>
      <c r="G298" s="171">
        <v>0.124227443933111</v>
      </c>
    </row>
    <row r="299" spans="1:7" x14ac:dyDescent="0.3">
      <c r="A299" s="11" t="s">
        <v>6356</v>
      </c>
      <c r="B299" s="11"/>
      <c r="C299" s="172">
        <v>1</v>
      </c>
      <c r="D299" s="172">
        <v>290.892248755759</v>
      </c>
      <c r="E299" s="173">
        <v>294.51927822880799</v>
      </c>
      <c r="F299" s="174">
        <v>0.12250498939327099</v>
      </c>
      <c r="G299" s="175">
        <v>0.12534587086561599</v>
      </c>
    </row>
    <row r="300" spans="1:7" x14ac:dyDescent="0.3">
      <c r="A300" s="6" t="s">
        <v>6357</v>
      </c>
      <c r="B300" s="6"/>
      <c r="C300" s="168">
        <v>4</v>
      </c>
      <c r="D300" s="168">
        <v>279.526131555066</v>
      </c>
      <c r="E300" s="169">
        <v>190.743486579446</v>
      </c>
      <c r="F300" s="170">
        <v>0.117718316413605</v>
      </c>
      <c r="G300" s="171">
        <v>7.6992238131320695E-2</v>
      </c>
    </row>
    <row r="301" spans="1:7" x14ac:dyDescent="0.3">
      <c r="A301" s="11" t="s">
        <v>6358</v>
      </c>
      <c r="B301" s="11"/>
      <c r="C301" s="172">
        <v>1</v>
      </c>
      <c r="D301" s="172">
        <v>262.07272497139297</v>
      </c>
      <c r="E301" s="173">
        <v>263.67490284708998</v>
      </c>
      <c r="F301" s="174">
        <v>0.110368071099215</v>
      </c>
      <c r="G301" s="175">
        <v>0.112003924381004</v>
      </c>
    </row>
    <row r="302" spans="1:7" x14ac:dyDescent="0.3">
      <c r="A302" s="6" t="s">
        <v>6359</v>
      </c>
      <c r="B302" s="6"/>
      <c r="C302" s="168">
        <v>1</v>
      </c>
      <c r="D302" s="168">
        <v>254.12769590012999</v>
      </c>
      <c r="E302" s="169">
        <v>253.600142219395</v>
      </c>
      <c r="F302" s="170">
        <v>0.107022139035822</v>
      </c>
      <c r="G302" s="171">
        <v>0.10665551282998501</v>
      </c>
    </row>
    <row r="303" spans="1:7" x14ac:dyDescent="0.3">
      <c r="A303" s="11" t="s">
        <v>6360</v>
      </c>
      <c r="B303" s="11"/>
      <c r="C303" s="172">
        <v>1</v>
      </c>
      <c r="D303" s="172">
        <v>245.28337777981599</v>
      </c>
      <c r="E303" s="173">
        <v>246.951814272055</v>
      </c>
      <c r="F303" s="174">
        <v>0.10329748462459599</v>
      </c>
      <c r="G303" s="175">
        <v>0.104591368506537</v>
      </c>
    </row>
    <row r="304" spans="1:7" x14ac:dyDescent="0.3">
      <c r="A304" s="6" t="s">
        <v>6361</v>
      </c>
      <c r="B304" s="6"/>
      <c r="C304" s="168">
        <v>1</v>
      </c>
      <c r="D304" s="168">
        <v>241.12414959848201</v>
      </c>
      <c r="E304" s="169">
        <v>239.95523665766501</v>
      </c>
      <c r="F304" s="170">
        <v>0.101545886888946</v>
      </c>
      <c r="G304" s="171">
        <v>0.101064528080837</v>
      </c>
    </row>
    <row r="305" spans="1:7" x14ac:dyDescent="0.3">
      <c r="A305" s="11" t="s">
        <v>6362</v>
      </c>
      <c r="B305" s="11"/>
      <c r="C305" s="172">
        <v>1</v>
      </c>
      <c r="D305" s="172">
        <v>239.02010646233899</v>
      </c>
      <c r="E305" s="173">
        <v>239.00447970353</v>
      </c>
      <c r="F305" s="174">
        <v>0.10065980008815099</v>
      </c>
      <c r="G305" s="175">
        <v>0.100222759893614</v>
      </c>
    </row>
    <row r="306" spans="1:7" x14ac:dyDescent="0.3">
      <c r="A306" s="6" t="s">
        <v>6363</v>
      </c>
      <c r="B306" s="6"/>
      <c r="C306" s="168">
        <v>1</v>
      </c>
      <c r="D306" s="168">
        <v>231.23951763728701</v>
      </c>
      <c r="E306" s="169">
        <v>235.967671287873</v>
      </c>
      <c r="F306" s="170">
        <v>9.7383119614321195E-2</v>
      </c>
      <c r="G306" s="171">
        <v>0.100223059512908</v>
      </c>
    </row>
    <row r="307" spans="1:7" x14ac:dyDescent="0.3">
      <c r="A307" s="11" t="s">
        <v>6364</v>
      </c>
      <c r="B307" s="11"/>
      <c r="C307" s="172">
        <v>1</v>
      </c>
      <c r="D307" s="172">
        <v>224.666708006086</v>
      </c>
      <c r="E307" s="173">
        <v>224.19587363831101</v>
      </c>
      <c r="F307" s="174">
        <v>9.4615077572642897E-2</v>
      </c>
      <c r="G307" s="175">
        <v>9.4541202177403902E-2</v>
      </c>
    </row>
    <row r="308" spans="1:7" x14ac:dyDescent="0.3">
      <c r="A308" s="6" t="s">
        <v>6365</v>
      </c>
      <c r="B308" s="6"/>
      <c r="C308" s="168">
        <v>1</v>
      </c>
      <c r="D308" s="168">
        <v>222.81240044934401</v>
      </c>
      <c r="E308" s="169">
        <v>224.85420822442899</v>
      </c>
      <c r="F308" s="170">
        <v>9.3834163235660101E-2</v>
      </c>
      <c r="G308" s="171">
        <v>9.5421703057270796E-2</v>
      </c>
    </row>
    <row r="309" spans="1:7" x14ac:dyDescent="0.3">
      <c r="A309" s="11" t="s">
        <v>6366</v>
      </c>
      <c r="B309" s="11"/>
      <c r="C309" s="172">
        <v>1</v>
      </c>
      <c r="D309" s="172">
        <v>211.22558101164299</v>
      </c>
      <c r="E309" s="173">
        <v>212.070063279972</v>
      </c>
      <c r="F309" s="174">
        <v>8.8954544757035403E-2</v>
      </c>
      <c r="G309" s="175">
        <v>8.8919224618383697E-2</v>
      </c>
    </row>
    <row r="310" spans="1:7" x14ac:dyDescent="0.3">
      <c r="A310" s="6" t="s">
        <v>6367</v>
      </c>
      <c r="B310" s="6"/>
      <c r="C310" s="168">
        <v>1</v>
      </c>
      <c r="D310" s="168">
        <v>202.81475327410999</v>
      </c>
      <c r="E310" s="169">
        <v>203.23716404577101</v>
      </c>
      <c r="F310" s="170">
        <v>8.5412448440676594E-2</v>
      </c>
      <c r="G310" s="171">
        <v>8.5836728909630594E-2</v>
      </c>
    </row>
    <row r="311" spans="1:7" x14ac:dyDescent="0.3">
      <c r="A311" s="11" t="s">
        <v>6368</v>
      </c>
      <c r="B311" s="11"/>
      <c r="C311" s="172">
        <v>2</v>
      </c>
      <c r="D311" s="172">
        <v>200.88497373490301</v>
      </c>
      <c r="E311" s="173">
        <v>202.62640273577199</v>
      </c>
      <c r="F311" s="174">
        <v>8.45997501890281E-2</v>
      </c>
      <c r="G311" s="175">
        <v>8.5392384061863294E-2</v>
      </c>
    </row>
    <row r="312" spans="1:7" x14ac:dyDescent="0.3">
      <c r="A312" s="6" t="s">
        <v>6369</v>
      </c>
      <c r="B312" s="6"/>
      <c r="C312" s="168">
        <v>1</v>
      </c>
      <c r="D312" s="168">
        <v>197.664014652942</v>
      </c>
      <c r="E312" s="169">
        <v>200.57994804069699</v>
      </c>
      <c r="F312" s="170">
        <v>8.3243290675721796E-2</v>
      </c>
      <c r="G312" s="171">
        <v>8.5370246466589694E-2</v>
      </c>
    </row>
    <row r="313" spans="1:7" x14ac:dyDescent="0.3">
      <c r="A313" s="11" t="s">
        <v>6370</v>
      </c>
      <c r="B313" s="11"/>
      <c r="C313" s="172">
        <v>1</v>
      </c>
      <c r="D313" s="172">
        <v>197.635196651841</v>
      </c>
      <c r="E313" s="173">
        <v>198.93385777350599</v>
      </c>
      <c r="F313" s="174">
        <v>8.3231154398683505E-2</v>
      </c>
      <c r="G313" s="175">
        <v>8.4054059175218104E-2</v>
      </c>
    </row>
    <row r="314" spans="1:7" x14ac:dyDescent="0.3">
      <c r="A314" s="6" t="s">
        <v>6371</v>
      </c>
      <c r="B314" s="6"/>
      <c r="C314" s="168">
        <v>1</v>
      </c>
      <c r="D314" s="168">
        <v>179.05117650505099</v>
      </c>
      <c r="E314" s="169">
        <v>180.30487784835501</v>
      </c>
      <c r="F314" s="170">
        <v>7.5404767821850405E-2</v>
      </c>
      <c r="G314" s="171">
        <v>7.6656444315502906E-2</v>
      </c>
    </row>
    <row r="315" spans="1:7" x14ac:dyDescent="0.3">
      <c r="A315" s="11" t="s">
        <v>6372</v>
      </c>
      <c r="B315" s="11"/>
      <c r="C315" s="172">
        <v>1</v>
      </c>
      <c r="D315" s="172">
        <v>176.085965030762</v>
      </c>
      <c r="E315" s="173">
        <v>181.10767051545099</v>
      </c>
      <c r="F315" s="174">
        <v>7.4156012649581896E-2</v>
      </c>
      <c r="G315" s="175">
        <v>7.7053313275995794E-2</v>
      </c>
    </row>
    <row r="316" spans="1:7" x14ac:dyDescent="0.3">
      <c r="A316" s="6" t="s">
        <v>6373</v>
      </c>
      <c r="B316" s="6"/>
      <c r="C316" s="168">
        <v>1</v>
      </c>
      <c r="D316" s="168">
        <v>175.94133086958999</v>
      </c>
      <c r="E316" s="169">
        <v>175.386301129499</v>
      </c>
      <c r="F316" s="170">
        <v>7.4095102101239499E-2</v>
      </c>
      <c r="G316" s="171">
        <v>7.4433283588956303E-2</v>
      </c>
    </row>
    <row r="317" spans="1:7" x14ac:dyDescent="0.3">
      <c r="A317" s="11" t="s">
        <v>6374</v>
      </c>
      <c r="B317" s="11"/>
      <c r="C317" s="172">
        <v>1</v>
      </c>
      <c r="D317" s="172">
        <v>170.09340841568201</v>
      </c>
      <c r="E317" s="173">
        <v>174.12245288700001</v>
      </c>
      <c r="F317" s="174">
        <v>7.1632335625841995E-2</v>
      </c>
      <c r="G317" s="175">
        <v>7.3507555732628696E-2</v>
      </c>
    </row>
    <row r="318" spans="1:7" x14ac:dyDescent="0.3">
      <c r="A318" s="6" t="s">
        <v>6375</v>
      </c>
      <c r="B318" s="6"/>
      <c r="C318" s="168">
        <v>1</v>
      </c>
      <c r="D318" s="168">
        <v>161.37679356675201</v>
      </c>
      <c r="E318" s="169">
        <v>161.16534077553101</v>
      </c>
      <c r="F318" s="170">
        <v>6.7961461567901796E-2</v>
      </c>
      <c r="G318" s="171">
        <v>6.8056190554277293E-2</v>
      </c>
    </row>
    <row r="319" spans="1:7" x14ac:dyDescent="0.3">
      <c r="A319" s="11" t="s">
        <v>6376</v>
      </c>
      <c r="B319" s="11"/>
      <c r="C319" s="172">
        <v>1</v>
      </c>
      <c r="D319" s="172">
        <v>155.49210440770199</v>
      </c>
      <c r="E319" s="173">
        <v>156.95034108857999</v>
      </c>
      <c r="F319" s="174">
        <v>6.5483211335743099E-2</v>
      </c>
      <c r="G319" s="175">
        <v>6.6155633746266304E-2</v>
      </c>
    </row>
    <row r="320" spans="1:7" x14ac:dyDescent="0.3">
      <c r="A320" s="6" t="s">
        <v>6377</v>
      </c>
      <c r="B320" s="6"/>
      <c r="C320" s="168">
        <v>1</v>
      </c>
      <c r="D320" s="168">
        <v>147.84682922589499</v>
      </c>
      <c r="E320" s="169">
        <v>150.14325304120001</v>
      </c>
      <c r="F320" s="170">
        <v>6.22635162113045E-2</v>
      </c>
      <c r="G320" s="171">
        <v>6.3376030974349906E-2</v>
      </c>
    </row>
    <row r="321" spans="1:7" x14ac:dyDescent="0.3">
      <c r="A321" s="11" t="s">
        <v>6378</v>
      </c>
      <c r="B321" s="11"/>
      <c r="C321" s="172">
        <v>1</v>
      </c>
      <c r="D321" s="172">
        <v>142.464847417583</v>
      </c>
      <c r="E321" s="173">
        <v>143.715155880694</v>
      </c>
      <c r="F321" s="174">
        <v>5.9996973781376702E-2</v>
      </c>
      <c r="G321" s="175">
        <v>6.0879864538135001E-2</v>
      </c>
    </row>
    <row r="322" spans="1:7" x14ac:dyDescent="0.3">
      <c r="A322" s="6" t="s">
        <v>6379</v>
      </c>
      <c r="B322" s="6"/>
      <c r="C322" s="168">
        <v>1</v>
      </c>
      <c r="D322" s="168">
        <v>109.921091774459</v>
      </c>
      <c r="E322" s="169">
        <v>109.627223010309</v>
      </c>
      <c r="F322" s="170">
        <v>4.6291650050920397E-2</v>
      </c>
      <c r="G322" s="171">
        <v>4.6509508066756897E-2</v>
      </c>
    </row>
    <row r="323" spans="1:7" x14ac:dyDescent="0.3">
      <c r="A323" s="11" t="s">
        <v>6380</v>
      </c>
      <c r="B323" s="11"/>
      <c r="C323" s="172">
        <v>1</v>
      </c>
      <c r="D323" s="172">
        <v>105.857622059935</v>
      </c>
      <c r="E323" s="173">
        <v>106.485131672105</v>
      </c>
      <c r="F323" s="174">
        <v>4.4580379584254898E-2</v>
      </c>
      <c r="G323" s="175">
        <v>4.49966843426663E-2</v>
      </c>
    </row>
    <row r="324" spans="1:7" x14ac:dyDescent="0.3">
      <c r="A324" s="6" t="s">
        <v>6381</v>
      </c>
      <c r="B324" s="6"/>
      <c r="C324" s="168">
        <v>1</v>
      </c>
      <c r="D324" s="168">
        <v>105.09419051237801</v>
      </c>
      <c r="E324" s="169">
        <v>105.64662267914299</v>
      </c>
      <c r="F324" s="170">
        <v>4.4258871623709402E-2</v>
      </c>
      <c r="G324" s="171">
        <v>4.4276069921330798E-2</v>
      </c>
    </row>
    <row r="325" spans="1:7" x14ac:dyDescent="0.3">
      <c r="A325" s="11" t="s">
        <v>6382</v>
      </c>
      <c r="B325" s="11"/>
      <c r="C325" s="172">
        <v>1</v>
      </c>
      <c r="D325" s="172">
        <v>103.204457109823</v>
      </c>
      <c r="E325" s="173">
        <v>103.45057746085701</v>
      </c>
      <c r="F325" s="174">
        <v>4.3463038213137899E-2</v>
      </c>
      <c r="G325" s="175">
        <v>4.3829082232041502E-2</v>
      </c>
    </row>
    <row r="326" spans="1:7" x14ac:dyDescent="0.3">
      <c r="A326" s="6" t="s">
        <v>6383</v>
      </c>
      <c r="B326" s="6"/>
      <c r="C326" s="168">
        <v>1</v>
      </c>
      <c r="D326" s="168">
        <v>102.515929909055</v>
      </c>
      <c r="E326" s="169">
        <v>103.24972264817799</v>
      </c>
      <c r="F326" s="170">
        <v>4.3173075115847198E-2</v>
      </c>
      <c r="G326" s="171">
        <v>4.3759614622880097E-2</v>
      </c>
    </row>
    <row r="327" spans="1:7" x14ac:dyDescent="0.3">
      <c r="A327" s="11" t="s">
        <v>6384</v>
      </c>
      <c r="B327" s="11"/>
      <c r="C327" s="172">
        <v>1</v>
      </c>
      <c r="D327" s="172">
        <v>102.47273342421001</v>
      </c>
      <c r="E327" s="173">
        <v>103.909671167632</v>
      </c>
      <c r="F327" s="174">
        <v>4.3154883551993602E-2</v>
      </c>
      <c r="G327" s="175">
        <v>4.36442651967286E-2</v>
      </c>
    </row>
    <row r="328" spans="1:7" x14ac:dyDescent="0.3">
      <c r="A328" s="6" t="s">
        <v>6385</v>
      </c>
      <c r="B328" s="6"/>
      <c r="C328" s="168">
        <v>1</v>
      </c>
      <c r="D328" s="168">
        <v>98.137687348701903</v>
      </c>
      <c r="E328" s="169">
        <v>98.0993080641001</v>
      </c>
      <c r="F328" s="170">
        <v>4.1329242697790702E-2</v>
      </c>
      <c r="G328" s="171">
        <v>4.1553632170061097E-2</v>
      </c>
    </row>
    <row r="329" spans="1:7" x14ac:dyDescent="0.3">
      <c r="A329" s="11" t="s">
        <v>6386</v>
      </c>
      <c r="B329" s="11"/>
      <c r="C329" s="172">
        <v>1</v>
      </c>
      <c r="D329" s="172">
        <v>94.724140438369702</v>
      </c>
      <c r="E329" s="173">
        <v>95.444744785958306</v>
      </c>
      <c r="F329" s="174">
        <v>3.9891677654953203E-2</v>
      </c>
      <c r="G329" s="175">
        <v>4.04307941729488E-2</v>
      </c>
    </row>
    <row r="330" spans="1:7" x14ac:dyDescent="0.3">
      <c r="A330" s="6" t="s">
        <v>6387</v>
      </c>
      <c r="B330" s="6"/>
      <c r="C330" s="168">
        <v>1</v>
      </c>
      <c r="D330" s="168">
        <v>92.152806054943795</v>
      </c>
      <c r="E330" s="169">
        <v>92.618984413278596</v>
      </c>
      <c r="F330" s="170">
        <v>3.8808798022664903E-2</v>
      </c>
      <c r="G330" s="171">
        <v>3.9039760065425803E-2</v>
      </c>
    </row>
    <row r="331" spans="1:7" x14ac:dyDescent="0.3">
      <c r="A331" s="11" t="s">
        <v>6388</v>
      </c>
      <c r="B331" s="11"/>
      <c r="C331" s="172">
        <v>1</v>
      </c>
      <c r="D331" s="172">
        <v>85.500988988737205</v>
      </c>
      <c r="E331" s="173">
        <v>86.835220271927895</v>
      </c>
      <c r="F331" s="174">
        <v>3.6007483162516098E-2</v>
      </c>
      <c r="G331" s="175">
        <v>3.6521645231954697E-2</v>
      </c>
    </row>
    <row r="332" spans="1:7" x14ac:dyDescent="0.3">
      <c r="A332" s="6" t="s">
        <v>6389</v>
      </c>
      <c r="B332" s="6"/>
      <c r="C332" s="168">
        <v>1</v>
      </c>
      <c r="D332" s="168">
        <v>73.719203813915996</v>
      </c>
      <c r="E332" s="169">
        <v>73.843284658520503</v>
      </c>
      <c r="F332" s="170">
        <v>3.1045757733087001E-2</v>
      </c>
      <c r="G332" s="171">
        <v>3.1135011039619701E-2</v>
      </c>
    </row>
    <row r="333" spans="1:7" x14ac:dyDescent="0.3">
      <c r="A333" s="11" t="s">
        <v>6390</v>
      </c>
      <c r="B333" s="11"/>
      <c r="C333" s="172">
        <v>1</v>
      </c>
      <c r="D333" s="172">
        <v>73.569132076829504</v>
      </c>
      <c r="E333" s="173">
        <v>74.442434501819505</v>
      </c>
      <c r="F333" s="174">
        <v>3.0982557229674999E-2</v>
      </c>
      <c r="G333" s="175">
        <v>3.1430486365355899E-2</v>
      </c>
    </row>
    <row r="334" spans="1:7" x14ac:dyDescent="0.3">
      <c r="A334" s="6" t="s">
        <v>6391</v>
      </c>
      <c r="B334" s="6"/>
      <c r="C334" s="168">
        <v>1</v>
      </c>
      <c r="D334" s="168">
        <v>70.068123413319299</v>
      </c>
      <c r="E334" s="169">
        <v>70.303624617538006</v>
      </c>
      <c r="F334" s="170">
        <v>2.9508158956693901E-2</v>
      </c>
      <c r="G334" s="171">
        <v>2.97477326560215E-2</v>
      </c>
    </row>
    <row r="335" spans="1:7" x14ac:dyDescent="0.3">
      <c r="A335" s="11" t="s">
        <v>6392</v>
      </c>
      <c r="B335" s="11"/>
      <c r="C335" s="172">
        <v>1</v>
      </c>
      <c r="D335" s="172">
        <v>66.126954304490795</v>
      </c>
      <c r="E335" s="173">
        <v>66.886954672417502</v>
      </c>
      <c r="F335" s="174">
        <v>2.7848393590173302E-2</v>
      </c>
      <c r="G335" s="175">
        <v>2.8287218240847799E-2</v>
      </c>
    </row>
    <row r="336" spans="1:7" x14ac:dyDescent="0.3">
      <c r="A336" s="6" t="s">
        <v>960</v>
      </c>
      <c r="B336" s="6" t="s">
        <v>961</v>
      </c>
      <c r="C336" s="168">
        <v>8059</v>
      </c>
      <c r="D336" s="168">
        <v>3404310.9874000498</v>
      </c>
      <c r="E336" s="169">
        <v>12954.723385609699</v>
      </c>
      <c r="F336" s="170">
        <v>99.571722068465704</v>
      </c>
      <c r="G336" s="171">
        <v>0.12922543806209899</v>
      </c>
    </row>
    <row r="337" spans="1:7" x14ac:dyDescent="0.3">
      <c r="A337" s="11" t="s">
        <v>974</v>
      </c>
      <c r="B337" s="11" t="s">
        <v>975</v>
      </c>
      <c r="C337" s="172">
        <v>38</v>
      </c>
      <c r="D337" s="172">
        <v>14642.6238061925</v>
      </c>
      <c r="E337" s="173">
        <v>4420.1448745521002</v>
      </c>
      <c r="F337" s="174">
        <v>0.42827793153433202</v>
      </c>
      <c r="G337" s="175">
        <v>0.12922543806209699</v>
      </c>
    </row>
    <row r="338" spans="1:7" x14ac:dyDescent="0.3">
      <c r="A338" s="6" t="s">
        <v>6269</v>
      </c>
      <c r="B338" s="6" t="s">
        <v>6270</v>
      </c>
      <c r="C338" s="168">
        <v>519</v>
      </c>
      <c r="D338" s="168">
        <v>237453.388793761</v>
      </c>
      <c r="E338" s="169">
        <v>12447.0712653133</v>
      </c>
      <c r="F338" s="170">
        <v>6.4941727984264501</v>
      </c>
      <c r="G338" s="171">
        <v>0.34041810075609902</v>
      </c>
    </row>
    <row r="339" spans="1:7" x14ac:dyDescent="0.3">
      <c r="A339" s="11" t="s">
        <v>6269</v>
      </c>
      <c r="B339" s="11" t="s">
        <v>6271</v>
      </c>
      <c r="C339" s="172">
        <v>8616</v>
      </c>
      <c r="D339" s="172">
        <v>3656407</v>
      </c>
      <c r="E339" s="173">
        <v>0</v>
      </c>
      <c r="F339" s="174">
        <v>100</v>
      </c>
      <c r="G339" s="175">
        <v>0</v>
      </c>
    </row>
    <row r="340" spans="1:7" x14ac:dyDescent="0.3">
      <c r="A340" s="3299" t="s">
        <v>825</v>
      </c>
      <c r="B340" s="3298"/>
      <c r="C340" s="3298"/>
      <c r="D340" s="3298"/>
      <c r="E340" s="3298"/>
      <c r="F340" s="3298"/>
      <c r="G340" s="3298"/>
    </row>
    <row r="341" spans="1:7" x14ac:dyDescent="0.3">
      <c r="A341" s="11" t="s">
        <v>970</v>
      </c>
      <c r="B341" s="11" t="s">
        <v>1024</v>
      </c>
      <c r="C341" s="180">
        <v>2905</v>
      </c>
      <c r="D341" s="180">
        <v>1218321.84451736</v>
      </c>
      <c r="E341" s="181">
        <v>32507.166346656599</v>
      </c>
      <c r="F341" s="182">
        <v>37.3735286089927</v>
      </c>
      <c r="G341" s="183">
        <v>0.90558895659654903</v>
      </c>
    </row>
    <row r="342" spans="1:7" x14ac:dyDescent="0.3">
      <c r="A342" s="6" t="s">
        <v>968</v>
      </c>
      <c r="B342" s="6" t="s">
        <v>1023</v>
      </c>
      <c r="C342" s="176">
        <v>1478</v>
      </c>
      <c r="D342" s="176">
        <v>631748.61085701105</v>
      </c>
      <c r="E342" s="177">
        <v>20004.252907327402</v>
      </c>
      <c r="F342" s="178">
        <v>19.379669574019101</v>
      </c>
      <c r="G342" s="179">
        <v>0.65592824213398304</v>
      </c>
    </row>
    <row r="343" spans="1:7" x14ac:dyDescent="0.3">
      <c r="A343" s="11" t="s">
        <v>962</v>
      </c>
      <c r="B343" s="11" t="s">
        <v>1020</v>
      </c>
      <c r="C343" s="180">
        <v>1181</v>
      </c>
      <c r="D343" s="180">
        <v>534006.99880086398</v>
      </c>
      <c r="E343" s="181">
        <v>19536.49544282</v>
      </c>
      <c r="F343" s="182">
        <v>16.381324800913099</v>
      </c>
      <c r="G343" s="183">
        <v>0.576810662841584</v>
      </c>
    </row>
    <row r="344" spans="1:7" x14ac:dyDescent="0.3">
      <c r="A344" s="6" t="s">
        <v>964</v>
      </c>
      <c r="B344" s="6" t="s">
        <v>1042</v>
      </c>
      <c r="C344" s="176">
        <v>1115</v>
      </c>
      <c r="D344" s="176">
        <v>473700.473205088</v>
      </c>
      <c r="E344" s="177">
        <v>15275.013515139401</v>
      </c>
      <c r="F344" s="178">
        <v>14.5313475803573</v>
      </c>
      <c r="G344" s="179">
        <v>0.42248952424494102</v>
      </c>
    </row>
    <row r="345" spans="1:7" x14ac:dyDescent="0.3">
      <c r="A345" s="11" t="s">
        <v>966</v>
      </c>
      <c r="B345" s="11" t="s">
        <v>1022</v>
      </c>
      <c r="C345" s="180">
        <v>966</v>
      </c>
      <c r="D345" s="180">
        <v>402074.40624227899</v>
      </c>
      <c r="E345" s="181">
        <v>17905.0902780709</v>
      </c>
      <c r="F345" s="182">
        <v>12.3341294357178</v>
      </c>
      <c r="G345" s="183">
        <v>0.54981609248068997</v>
      </c>
    </row>
    <row r="346" spans="1:7" x14ac:dyDescent="0.3">
      <c r="A346" s="6" t="s">
        <v>960</v>
      </c>
      <c r="B346" s="6" t="s">
        <v>961</v>
      </c>
      <c r="C346" s="176">
        <v>986</v>
      </c>
      <c r="D346" s="176">
        <v>396554.66637740098</v>
      </c>
      <c r="E346" s="177">
        <v>26042.045990473001</v>
      </c>
      <c r="F346" s="178">
        <v>100</v>
      </c>
      <c r="G346" s="179">
        <v>0</v>
      </c>
    </row>
    <row r="347" spans="1:7" x14ac:dyDescent="0.3">
      <c r="A347" s="11" t="s">
        <v>6269</v>
      </c>
      <c r="B347" s="11" t="s">
        <v>6270</v>
      </c>
      <c r="C347" s="180">
        <v>7645</v>
      </c>
      <c r="D347" s="180">
        <v>3259852.3336226</v>
      </c>
      <c r="E347" s="181">
        <v>26042.045990475101</v>
      </c>
      <c r="F347" s="182">
        <v>89.154526113274599</v>
      </c>
      <c r="G347" s="183">
        <v>0.71223050361934803</v>
      </c>
    </row>
    <row r="348" spans="1:7" x14ac:dyDescent="0.3">
      <c r="A348" s="6" t="s">
        <v>6269</v>
      </c>
      <c r="B348" s="6" t="s">
        <v>6271</v>
      </c>
      <c r="C348" s="176">
        <v>8631</v>
      </c>
      <c r="D348" s="176">
        <v>3656407</v>
      </c>
      <c r="E348" s="177">
        <v>0</v>
      </c>
      <c r="F348" s="178">
        <v>100</v>
      </c>
      <c r="G348" s="179">
        <v>0</v>
      </c>
    </row>
    <row r="349" spans="1:7" x14ac:dyDescent="0.3">
      <c r="A349" s="3299" t="s">
        <v>46</v>
      </c>
      <c r="B349" s="3298"/>
      <c r="C349" s="3298"/>
      <c r="D349" s="3298"/>
      <c r="E349" s="3298"/>
      <c r="F349" s="3298"/>
      <c r="G349" s="3298"/>
    </row>
    <row r="350" spans="1:7" x14ac:dyDescent="0.3">
      <c r="A350" s="11" t="s">
        <v>970</v>
      </c>
      <c r="B350" s="11" t="s">
        <v>1024</v>
      </c>
      <c r="C350" s="188">
        <v>5941</v>
      </c>
      <c r="D350" s="188">
        <v>2526355.80066835</v>
      </c>
      <c r="E350" s="189">
        <v>33507.982652581799</v>
      </c>
      <c r="F350" s="190">
        <v>79.880277748154498</v>
      </c>
      <c r="G350" s="191">
        <v>0.82190220516380796</v>
      </c>
    </row>
    <row r="351" spans="1:7" x14ac:dyDescent="0.3">
      <c r="A351" s="6" t="s">
        <v>968</v>
      </c>
      <c r="B351" s="6" t="s">
        <v>1023</v>
      </c>
      <c r="C351" s="184">
        <v>889</v>
      </c>
      <c r="D351" s="184">
        <v>372221.02042825602</v>
      </c>
      <c r="E351" s="185">
        <v>17114.823573330599</v>
      </c>
      <c r="F351" s="186">
        <v>11.7691730070818</v>
      </c>
      <c r="G351" s="187">
        <v>0.53875143798730596</v>
      </c>
    </row>
    <row r="352" spans="1:7" x14ac:dyDescent="0.3">
      <c r="A352" s="11" t="s">
        <v>966</v>
      </c>
      <c r="B352" s="11" t="s">
        <v>1022</v>
      </c>
      <c r="C352" s="188">
        <v>328</v>
      </c>
      <c r="D352" s="188">
        <v>134908.958768816</v>
      </c>
      <c r="E352" s="189">
        <v>8316.1192776941607</v>
      </c>
      <c r="F352" s="190">
        <v>4.2656561258380101</v>
      </c>
      <c r="G352" s="191">
        <v>0.26875018867762801</v>
      </c>
    </row>
    <row r="353" spans="1:7" x14ac:dyDescent="0.3">
      <c r="A353" s="6" t="s">
        <v>964</v>
      </c>
      <c r="B353" s="6" t="s">
        <v>1021</v>
      </c>
      <c r="C353" s="184">
        <v>227</v>
      </c>
      <c r="D353" s="184">
        <v>89804.892040966501</v>
      </c>
      <c r="E353" s="185">
        <v>10497.630179904399</v>
      </c>
      <c r="F353" s="186">
        <v>2.83952075059167</v>
      </c>
      <c r="G353" s="187">
        <v>0.32521868525401698</v>
      </c>
    </row>
    <row r="354" spans="1:7" x14ac:dyDescent="0.3">
      <c r="A354" s="11" t="s">
        <v>962</v>
      </c>
      <c r="B354" s="11" t="s">
        <v>1020</v>
      </c>
      <c r="C354" s="188">
        <v>78</v>
      </c>
      <c r="D354" s="188">
        <v>39387.115260818602</v>
      </c>
      <c r="E354" s="189">
        <v>11478.9955039244</v>
      </c>
      <c r="F354" s="190">
        <v>1.2453723683340301</v>
      </c>
      <c r="G354" s="191">
        <v>0.36329579648066601</v>
      </c>
    </row>
    <row r="355" spans="1:7" x14ac:dyDescent="0.3">
      <c r="A355" s="6" t="s">
        <v>960</v>
      </c>
      <c r="B355" s="6" t="s">
        <v>961</v>
      </c>
      <c r="C355" s="184">
        <v>1168</v>
      </c>
      <c r="D355" s="184">
        <v>493729.21283279202</v>
      </c>
      <c r="E355" s="185">
        <v>24752.336952994901</v>
      </c>
      <c r="F355" s="186">
        <v>100</v>
      </c>
      <c r="G355" s="187">
        <v>0</v>
      </c>
    </row>
    <row r="356" spans="1:7" x14ac:dyDescent="0.3">
      <c r="A356" s="11" t="s">
        <v>6269</v>
      </c>
      <c r="B356" s="11" t="s">
        <v>6270</v>
      </c>
      <c r="C356" s="188">
        <v>7463</v>
      </c>
      <c r="D356" s="188">
        <v>3162677.7871672101</v>
      </c>
      <c r="E356" s="189">
        <v>24752.336952989401</v>
      </c>
      <c r="F356" s="190">
        <v>86.496874860134795</v>
      </c>
      <c r="G356" s="191">
        <v>0.67695792489715101</v>
      </c>
    </row>
    <row r="357" spans="1:7" x14ac:dyDescent="0.3">
      <c r="A357" s="6" t="s">
        <v>6269</v>
      </c>
      <c r="B357" s="6" t="s">
        <v>6271</v>
      </c>
      <c r="C357" s="184">
        <v>8631</v>
      </c>
      <c r="D357" s="184">
        <v>3656407</v>
      </c>
      <c r="E357" s="185">
        <v>0</v>
      </c>
      <c r="F357" s="186">
        <v>100</v>
      </c>
      <c r="G357" s="187">
        <v>0</v>
      </c>
    </row>
    <row r="358" spans="1:7" x14ac:dyDescent="0.3">
      <c r="A358" s="3299" t="s">
        <v>85</v>
      </c>
      <c r="B358" s="3298"/>
      <c r="C358" s="3298"/>
      <c r="D358" s="3298"/>
      <c r="E358" s="3298"/>
      <c r="F358" s="3298"/>
      <c r="G358" s="3298"/>
    </row>
    <row r="359" spans="1:7" x14ac:dyDescent="0.3">
      <c r="A359" s="11" t="s">
        <v>962</v>
      </c>
      <c r="B359" s="11" t="s">
        <v>1020</v>
      </c>
      <c r="C359" s="196">
        <v>6835</v>
      </c>
      <c r="D359" s="196">
        <v>2902330.5255851201</v>
      </c>
      <c r="E359" s="197">
        <v>19179.601010794999</v>
      </c>
      <c r="F359" s="198">
        <v>81.569386792950496</v>
      </c>
      <c r="G359" s="199">
        <v>0.600371454084909</v>
      </c>
    </row>
    <row r="360" spans="1:7" x14ac:dyDescent="0.3">
      <c r="A360" s="6" t="s">
        <v>964</v>
      </c>
      <c r="B360" s="6" t="s">
        <v>1042</v>
      </c>
      <c r="C360" s="192">
        <v>1181</v>
      </c>
      <c r="D360" s="192">
        <v>435245.52861639002</v>
      </c>
      <c r="E360" s="193">
        <v>17834.845071536402</v>
      </c>
      <c r="F360" s="194">
        <v>12.232483709433801</v>
      </c>
      <c r="G360" s="195">
        <v>0.49438760383735603</v>
      </c>
    </row>
    <row r="361" spans="1:7" x14ac:dyDescent="0.3">
      <c r="A361" s="11" t="s">
        <v>970</v>
      </c>
      <c r="B361" s="11" t="s">
        <v>1024</v>
      </c>
      <c r="C361" s="196">
        <v>189</v>
      </c>
      <c r="D361" s="196">
        <v>116553.587252871</v>
      </c>
      <c r="E361" s="197">
        <v>10907.4238069038</v>
      </c>
      <c r="F361" s="198">
        <v>3.2757139674223299</v>
      </c>
      <c r="G361" s="199">
        <v>0.30298704941119903</v>
      </c>
    </row>
    <row r="362" spans="1:7" x14ac:dyDescent="0.3">
      <c r="A362" s="6" t="s">
        <v>966</v>
      </c>
      <c r="B362" s="6" t="s">
        <v>1022</v>
      </c>
      <c r="C362" s="192">
        <v>171</v>
      </c>
      <c r="D362" s="192">
        <v>82338.295362982302</v>
      </c>
      <c r="E362" s="193">
        <v>8264.0367816390899</v>
      </c>
      <c r="F362" s="194">
        <v>2.3141004110761201</v>
      </c>
      <c r="G362" s="195">
        <v>0.23330678465176299</v>
      </c>
    </row>
    <row r="363" spans="1:7" x14ac:dyDescent="0.3">
      <c r="A363" s="11" t="s">
        <v>968</v>
      </c>
      <c r="B363" s="11" t="s">
        <v>1023</v>
      </c>
      <c r="C363" s="196">
        <v>39</v>
      </c>
      <c r="D363" s="196">
        <v>21644.536128122101</v>
      </c>
      <c r="E363" s="197">
        <v>5285.4750718327596</v>
      </c>
      <c r="F363" s="198">
        <v>0.60831511911719605</v>
      </c>
      <c r="G363" s="199">
        <v>0.147791224844839</v>
      </c>
    </row>
    <row r="364" spans="1:7" x14ac:dyDescent="0.3">
      <c r="A364" s="6" t="s">
        <v>960</v>
      </c>
      <c r="B364" s="6" t="s">
        <v>961</v>
      </c>
      <c r="C364" s="192">
        <v>215</v>
      </c>
      <c r="D364" s="192">
        <v>98168.934314739701</v>
      </c>
      <c r="E364" s="193">
        <v>8047.3175281955</v>
      </c>
      <c r="F364" s="194">
        <v>99.872228145811604</v>
      </c>
      <c r="G364" s="195">
        <v>0.13090016850289399</v>
      </c>
    </row>
    <row r="365" spans="1:7" x14ac:dyDescent="0.3">
      <c r="A365" s="11" t="s">
        <v>956</v>
      </c>
      <c r="B365" s="11" t="s">
        <v>1025</v>
      </c>
      <c r="C365" s="196">
        <v>1</v>
      </c>
      <c r="D365" s="196">
        <v>125.592739783307</v>
      </c>
      <c r="E365" s="197">
        <v>127.758546244718</v>
      </c>
      <c r="F365" s="198">
        <v>0.12777185418842499</v>
      </c>
      <c r="G365" s="199">
        <v>0.13090016850288899</v>
      </c>
    </row>
    <row r="366" spans="1:7" x14ac:dyDescent="0.3">
      <c r="A366" s="6" t="s">
        <v>6269</v>
      </c>
      <c r="B366" s="6" t="s">
        <v>6270</v>
      </c>
      <c r="C366" s="192">
        <v>8415</v>
      </c>
      <c r="D366" s="192">
        <v>3558112.4729454801</v>
      </c>
      <c r="E366" s="193">
        <v>7973.0192667081201</v>
      </c>
      <c r="F366" s="194">
        <v>97.311718114134393</v>
      </c>
      <c r="G366" s="195">
        <v>0.21805612085051901</v>
      </c>
    </row>
    <row r="367" spans="1:7" x14ac:dyDescent="0.3">
      <c r="A367" s="11" t="s">
        <v>6269</v>
      </c>
      <c r="B367" s="11" t="s">
        <v>6271</v>
      </c>
      <c r="C367" s="196">
        <v>8631</v>
      </c>
      <c r="D367" s="196">
        <v>3656407.0000000098</v>
      </c>
      <c r="E367" s="197">
        <v>0</v>
      </c>
      <c r="F367" s="198">
        <v>100</v>
      </c>
      <c r="G367" s="199">
        <v>0</v>
      </c>
    </row>
    <row r="368" spans="1:7" x14ac:dyDescent="0.3">
      <c r="A368" s="3299" t="s">
        <v>593</v>
      </c>
      <c r="B368" s="3298"/>
      <c r="C368" s="3298"/>
      <c r="D368" s="3298"/>
      <c r="E368" s="3298"/>
      <c r="F368" s="3298"/>
      <c r="G368" s="3298"/>
    </row>
    <row r="369" spans="1:7" x14ac:dyDescent="0.3">
      <c r="A369" s="11" t="s">
        <v>970</v>
      </c>
      <c r="B369" s="11" t="s">
        <v>5962</v>
      </c>
      <c r="C369" s="204">
        <v>5188</v>
      </c>
      <c r="D369" s="204">
        <v>2062657.3594841999</v>
      </c>
      <c r="E369" s="205">
        <v>27988.5947076224</v>
      </c>
      <c r="F369" s="206">
        <v>64.084258178608195</v>
      </c>
      <c r="G369" s="207">
        <v>0.69287072508279901</v>
      </c>
    </row>
    <row r="370" spans="1:7" x14ac:dyDescent="0.3">
      <c r="A370" s="6" t="s">
        <v>968</v>
      </c>
      <c r="B370" s="6" t="s">
        <v>1023</v>
      </c>
      <c r="C370" s="200">
        <v>1785</v>
      </c>
      <c r="D370" s="200">
        <v>812646.97464962699</v>
      </c>
      <c r="E370" s="201">
        <v>26817.948478705301</v>
      </c>
      <c r="F370" s="202">
        <v>25.2479541946485</v>
      </c>
      <c r="G370" s="203">
        <v>0.86336203216246099</v>
      </c>
    </row>
    <row r="371" spans="1:7" x14ac:dyDescent="0.3">
      <c r="A371" s="11" t="s">
        <v>966</v>
      </c>
      <c r="B371" s="11" t="s">
        <v>1022</v>
      </c>
      <c r="C371" s="204">
        <v>446</v>
      </c>
      <c r="D371" s="204">
        <v>261484.67070368899</v>
      </c>
      <c r="E371" s="205">
        <v>17459.699215361401</v>
      </c>
      <c r="F371" s="206">
        <v>8.1240110336667399</v>
      </c>
      <c r="G371" s="207">
        <v>0.51633611945637703</v>
      </c>
    </row>
    <row r="372" spans="1:7" x14ac:dyDescent="0.3">
      <c r="A372" s="6" t="s">
        <v>964</v>
      </c>
      <c r="B372" s="6" t="s">
        <v>1021</v>
      </c>
      <c r="C372" s="200">
        <v>98</v>
      </c>
      <c r="D372" s="200">
        <v>61178.027205272701</v>
      </c>
      <c r="E372" s="201">
        <v>9678.0800410267293</v>
      </c>
      <c r="F372" s="202">
        <v>1.90072697835816</v>
      </c>
      <c r="G372" s="203">
        <v>0.30615567961335999</v>
      </c>
    </row>
    <row r="373" spans="1:7" x14ac:dyDescent="0.3">
      <c r="A373" s="11" t="s">
        <v>962</v>
      </c>
      <c r="B373" s="11" t="s">
        <v>1020</v>
      </c>
      <c r="C373" s="204">
        <v>35</v>
      </c>
      <c r="D373" s="204">
        <v>20697.6105834874</v>
      </c>
      <c r="E373" s="205">
        <v>8815.5677553664009</v>
      </c>
      <c r="F373" s="206">
        <v>0.64304961471845601</v>
      </c>
      <c r="G373" s="207">
        <v>0.27321269278051702</v>
      </c>
    </row>
    <row r="374" spans="1:7" x14ac:dyDescent="0.3">
      <c r="A374" s="6" t="s">
        <v>960</v>
      </c>
      <c r="B374" s="6" t="s">
        <v>961</v>
      </c>
      <c r="C374" s="200">
        <v>1079</v>
      </c>
      <c r="D374" s="200">
        <v>437742.357373734</v>
      </c>
      <c r="E374" s="201">
        <v>21991.7764376995</v>
      </c>
      <c r="F374" s="202">
        <v>100</v>
      </c>
      <c r="G374" s="203">
        <v>0</v>
      </c>
    </row>
    <row r="375" spans="1:7" x14ac:dyDescent="0.3">
      <c r="A375" s="11" t="s">
        <v>6269</v>
      </c>
      <c r="B375" s="11" t="s">
        <v>6270</v>
      </c>
      <c r="C375" s="204">
        <v>7552</v>
      </c>
      <c r="D375" s="204">
        <v>3218664.6426262702</v>
      </c>
      <c r="E375" s="205">
        <v>21991.776437694101</v>
      </c>
      <c r="F375" s="206">
        <v>88.028073533013895</v>
      </c>
      <c r="G375" s="207">
        <v>0.60145865702857604</v>
      </c>
    </row>
    <row r="376" spans="1:7" x14ac:dyDescent="0.3">
      <c r="A376" s="6" t="s">
        <v>6269</v>
      </c>
      <c r="B376" s="6" t="s">
        <v>6271</v>
      </c>
      <c r="C376" s="200">
        <v>8631</v>
      </c>
      <c r="D376" s="200">
        <v>3656407.0000000098</v>
      </c>
      <c r="E376" s="201">
        <v>0</v>
      </c>
      <c r="F376" s="202">
        <v>100</v>
      </c>
      <c r="G376" s="203">
        <v>0</v>
      </c>
    </row>
    <row r="377" spans="1:7" x14ac:dyDescent="0.3">
      <c r="A377" s="3299" t="s">
        <v>82</v>
      </c>
      <c r="B377" s="3298"/>
      <c r="C377" s="3298"/>
      <c r="D377" s="3298"/>
      <c r="E377" s="3298"/>
      <c r="F377" s="3298"/>
      <c r="G377" s="3298"/>
    </row>
    <row r="378" spans="1:7" x14ac:dyDescent="0.3">
      <c r="A378" s="11" t="s">
        <v>970</v>
      </c>
      <c r="B378" s="11" t="s">
        <v>1024</v>
      </c>
      <c r="C378" s="212">
        <v>6330</v>
      </c>
      <c r="D378" s="212">
        <v>2572317.8852685499</v>
      </c>
      <c r="E378" s="213">
        <v>35772.167863144197</v>
      </c>
      <c r="F378" s="214">
        <v>79.838026330766098</v>
      </c>
      <c r="G378" s="215">
        <v>0.537481951183852</v>
      </c>
    </row>
    <row r="379" spans="1:7" x14ac:dyDescent="0.3">
      <c r="A379" s="6" t="s">
        <v>968</v>
      </c>
      <c r="B379" s="6" t="s">
        <v>1023</v>
      </c>
      <c r="C379" s="208">
        <v>809</v>
      </c>
      <c r="D379" s="208">
        <v>395580.76872351201</v>
      </c>
      <c r="E379" s="209">
        <v>16229.025152066401</v>
      </c>
      <c r="F379" s="210">
        <v>12.2777935068454</v>
      </c>
      <c r="G379" s="211">
        <v>0.57930490923995404</v>
      </c>
    </row>
    <row r="380" spans="1:7" x14ac:dyDescent="0.3">
      <c r="A380" s="11" t="s">
        <v>966</v>
      </c>
      <c r="B380" s="11" t="s">
        <v>1022</v>
      </c>
      <c r="C380" s="212">
        <v>163</v>
      </c>
      <c r="D380" s="212">
        <v>95386.2929667188</v>
      </c>
      <c r="E380" s="213">
        <v>7067.7412129046497</v>
      </c>
      <c r="F380" s="214">
        <v>2.9605413129862899</v>
      </c>
      <c r="G380" s="215">
        <v>0.22577661215824599</v>
      </c>
    </row>
    <row r="381" spans="1:7" x14ac:dyDescent="0.3">
      <c r="A381" s="6" t="s">
        <v>962</v>
      </c>
      <c r="B381" s="6" t="s">
        <v>1041</v>
      </c>
      <c r="C381" s="208">
        <v>112</v>
      </c>
      <c r="D381" s="208">
        <v>84818.723383515695</v>
      </c>
      <c r="E381" s="209">
        <v>9887.0620836103408</v>
      </c>
      <c r="F381" s="210">
        <v>2.6325515635592298</v>
      </c>
      <c r="G381" s="211">
        <v>0.29931176169657697</v>
      </c>
    </row>
    <row r="382" spans="1:7" x14ac:dyDescent="0.3">
      <c r="A382" s="11" t="s">
        <v>964</v>
      </c>
      <c r="B382" s="11" t="s">
        <v>1021</v>
      </c>
      <c r="C382" s="212">
        <v>144</v>
      </c>
      <c r="D382" s="212">
        <v>73817.015186086996</v>
      </c>
      <c r="E382" s="213">
        <v>6978.4877678758203</v>
      </c>
      <c r="F382" s="214">
        <v>2.29108728584302</v>
      </c>
      <c r="G382" s="215">
        <v>0.212081744361724</v>
      </c>
    </row>
    <row r="383" spans="1:7" x14ac:dyDescent="0.3">
      <c r="A383" s="6" t="s">
        <v>960</v>
      </c>
      <c r="B383" s="6" t="s">
        <v>961</v>
      </c>
      <c r="C383" s="208">
        <v>1073</v>
      </c>
      <c r="D383" s="208">
        <v>434486.314471622</v>
      </c>
      <c r="E383" s="209">
        <v>26697.3763003075</v>
      </c>
      <c r="F383" s="210">
        <v>100</v>
      </c>
      <c r="G383" s="211">
        <v>0</v>
      </c>
    </row>
    <row r="384" spans="1:7" x14ac:dyDescent="0.3">
      <c r="A384" s="11" t="s">
        <v>6269</v>
      </c>
      <c r="B384" s="11" t="s">
        <v>6270</v>
      </c>
      <c r="C384" s="212">
        <v>7558</v>
      </c>
      <c r="D384" s="212">
        <v>3221920.6855283799</v>
      </c>
      <c r="E384" s="213">
        <v>26697.376300299198</v>
      </c>
      <c r="F384" s="214">
        <v>88.117123874021104</v>
      </c>
      <c r="G384" s="215">
        <v>0.73015329804111795</v>
      </c>
    </row>
    <row r="385" spans="1:7" x14ac:dyDescent="0.3">
      <c r="A385" s="6" t="s">
        <v>6269</v>
      </c>
      <c r="B385" s="6" t="s">
        <v>6271</v>
      </c>
      <c r="C385" s="208">
        <v>8631</v>
      </c>
      <c r="D385" s="208">
        <v>3656407</v>
      </c>
      <c r="E385" s="209">
        <v>0</v>
      </c>
      <c r="F385" s="210">
        <v>100</v>
      </c>
      <c r="G385" s="211">
        <v>0</v>
      </c>
    </row>
    <row r="386" spans="1:7" x14ac:dyDescent="0.3">
      <c r="A386" s="3299" t="s">
        <v>665</v>
      </c>
      <c r="B386" s="3298"/>
      <c r="C386" s="3298"/>
      <c r="D386" s="3298"/>
      <c r="E386" s="3298"/>
      <c r="F386" s="3298"/>
      <c r="G386" s="3298"/>
    </row>
    <row r="387" spans="1:7" x14ac:dyDescent="0.3">
      <c r="A387" s="11" t="s">
        <v>970</v>
      </c>
      <c r="B387" s="11" t="s">
        <v>5962</v>
      </c>
      <c r="C387" s="220">
        <v>5883</v>
      </c>
      <c r="D387" s="220">
        <v>2223184.88219452</v>
      </c>
      <c r="E387" s="221">
        <v>35393.001970433601</v>
      </c>
      <c r="F387" s="222">
        <v>69.181492093051006</v>
      </c>
      <c r="G387" s="223">
        <v>0.77721587561503502</v>
      </c>
    </row>
    <row r="388" spans="1:7" x14ac:dyDescent="0.3">
      <c r="A388" s="6" t="s">
        <v>968</v>
      </c>
      <c r="B388" s="6" t="s">
        <v>1023</v>
      </c>
      <c r="C388" s="216">
        <v>1400</v>
      </c>
      <c r="D388" s="216">
        <v>760322.488339109</v>
      </c>
      <c r="E388" s="217">
        <v>25656.920077536601</v>
      </c>
      <c r="F388" s="218">
        <v>23.659860516539201</v>
      </c>
      <c r="G388" s="219">
        <v>0.85439719980956497</v>
      </c>
    </row>
    <row r="389" spans="1:7" x14ac:dyDescent="0.3">
      <c r="A389" s="11" t="s">
        <v>966</v>
      </c>
      <c r="B389" s="11" t="s">
        <v>1022</v>
      </c>
      <c r="C389" s="220">
        <v>140</v>
      </c>
      <c r="D389" s="220">
        <v>114845.036053705</v>
      </c>
      <c r="E389" s="221">
        <v>9994.12478890081</v>
      </c>
      <c r="F389" s="222">
        <v>3.57376978284992</v>
      </c>
      <c r="G389" s="223">
        <v>0.30630413433350101</v>
      </c>
    </row>
    <row r="390" spans="1:7" x14ac:dyDescent="0.3">
      <c r="A390" s="6" t="s">
        <v>962</v>
      </c>
      <c r="B390" s="6" t="s">
        <v>1020</v>
      </c>
      <c r="C390" s="216">
        <v>64</v>
      </c>
      <c r="D390" s="216">
        <v>64663.433823391497</v>
      </c>
      <c r="E390" s="217">
        <v>10305.7881639891</v>
      </c>
      <c r="F390" s="218">
        <v>2.01220909317566</v>
      </c>
      <c r="G390" s="219">
        <v>0.31862822151492998</v>
      </c>
    </row>
    <row r="391" spans="1:7" x14ac:dyDescent="0.3">
      <c r="A391" s="11" t="s">
        <v>964</v>
      </c>
      <c r="B391" s="11" t="s">
        <v>1042</v>
      </c>
      <c r="C391" s="220">
        <v>53</v>
      </c>
      <c r="D391" s="220">
        <v>50538.558219873601</v>
      </c>
      <c r="E391" s="221">
        <v>9433.6655324516505</v>
      </c>
      <c r="F391" s="222">
        <v>1.57266851438425</v>
      </c>
      <c r="G391" s="223">
        <v>0.29550796268040602</v>
      </c>
    </row>
    <row r="392" spans="1:7" x14ac:dyDescent="0.3">
      <c r="A392" s="6" t="s">
        <v>960</v>
      </c>
      <c r="B392" s="6" t="s">
        <v>961</v>
      </c>
      <c r="C392" s="216">
        <v>1091</v>
      </c>
      <c r="D392" s="216">
        <v>442852.601369399</v>
      </c>
      <c r="E392" s="217">
        <v>24185.338633842999</v>
      </c>
      <c r="F392" s="218">
        <v>100</v>
      </c>
      <c r="G392" s="219">
        <v>0</v>
      </c>
    </row>
    <row r="393" spans="1:7" x14ac:dyDescent="0.3">
      <c r="A393" s="11" t="s">
        <v>6269</v>
      </c>
      <c r="B393" s="11" t="s">
        <v>6270</v>
      </c>
      <c r="C393" s="220">
        <v>7540</v>
      </c>
      <c r="D393" s="220">
        <v>3213554.3986306</v>
      </c>
      <c r="E393" s="221">
        <v>24185.338633838899</v>
      </c>
      <c r="F393" s="222">
        <v>87.888312177244003</v>
      </c>
      <c r="G393" s="223">
        <v>0.66145094443376895</v>
      </c>
    </row>
    <row r="394" spans="1:7" x14ac:dyDescent="0.3">
      <c r="A394" s="6" t="s">
        <v>6269</v>
      </c>
      <c r="B394" s="6" t="s">
        <v>6271</v>
      </c>
      <c r="C394" s="216">
        <v>8631</v>
      </c>
      <c r="D394" s="216">
        <v>3656407</v>
      </c>
      <c r="E394" s="217">
        <v>0</v>
      </c>
      <c r="F394" s="218">
        <v>100</v>
      </c>
      <c r="G394" s="219">
        <v>0</v>
      </c>
    </row>
    <row r="395" spans="1:7" x14ac:dyDescent="0.3">
      <c r="A395" s="3299" t="s">
        <v>436</v>
      </c>
      <c r="B395" s="3298"/>
      <c r="C395" s="3298"/>
      <c r="D395" s="3298"/>
      <c r="E395" s="3298"/>
      <c r="F395" s="3298"/>
      <c r="G395" s="3298"/>
    </row>
    <row r="396" spans="1:7" x14ac:dyDescent="0.3">
      <c r="A396" s="11" t="s">
        <v>970</v>
      </c>
      <c r="B396" s="11" t="s">
        <v>5962</v>
      </c>
      <c r="C396" s="228">
        <v>7220</v>
      </c>
      <c r="D396" s="228">
        <v>3028338.4118789998</v>
      </c>
      <c r="E396" s="229">
        <v>27236.546433273899</v>
      </c>
      <c r="F396" s="230">
        <v>96.334749457211302</v>
      </c>
      <c r="G396" s="231">
        <v>0.30460366264639299</v>
      </c>
    </row>
    <row r="397" spans="1:7" x14ac:dyDescent="0.3">
      <c r="A397" s="6" t="s">
        <v>968</v>
      </c>
      <c r="B397" s="6" t="s">
        <v>1023</v>
      </c>
      <c r="C397" s="224">
        <v>124</v>
      </c>
      <c r="D397" s="224">
        <v>67261.213369667603</v>
      </c>
      <c r="E397" s="225">
        <v>10279.271022111199</v>
      </c>
      <c r="F397" s="226">
        <v>2.1396525938904398</v>
      </c>
      <c r="G397" s="227">
        <v>0.32991696879416998</v>
      </c>
    </row>
    <row r="398" spans="1:7" x14ac:dyDescent="0.3">
      <c r="A398" s="11" t="s">
        <v>966</v>
      </c>
      <c r="B398" s="11" t="s">
        <v>1022</v>
      </c>
      <c r="C398" s="228">
        <v>51</v>
      </c>
      <c r="D398" s="228">
        <v>30596.7065266475</v>
      </c>
      <c r="E398" s="229">
        <v>6309.9906945448201</v>
      </c>
      <c r="F398" s="230">
        <v>0.97331462226889998</v>
      </c>
      <c r="G398" s="231">
        <v>0.19980362734538601</v>
      </c>
    </row>
    <row r="399" spans="1:7" x14ac:dyDescent="0.3">
      <c r="A399" s="6" t="s">
        <v>964</v>
      </c>
      <c r="B399" s="6" t="s">
        <v>1042</v>
      </c>
      <c r="C399" s="224">
        <v>15</v>
      </c>
      <c r="D399" s="224">
        <v>9793.8123266291495</v>
      </c>
      <c r="E399" s="225">
        <v>3333.75709518757</v>
      </c>
      <c r="F399" s="226">
        <v>0.31155185728776003</v>
      </c>
      <c r="G399" s="227">
        <v>0.105159904183367</v>
      </c>
    </row>
    <row r="400" spans="1:7" x14ac:dyDescent="0.3">
      <c r="A400" s="11" t="s">
        <v>962</v>
      </c>
      <c r="B400" s="11" t="s">
        <v>1020</v>
      </c>
      <c r="C400" s="228">
        <v>10</v>
      </c>
      <c r="D400" s="228">
        <v>7567.5325846871001</v>
      </c>
      <c r="E400" s="229">
        <v>2253.1214468261101</v>
      </c>
      <c r="F400" s="230">
        <v>0.24073146934155901</v>
      </c>
      <c r="G400" s="231">
        <v>7.2928423223398903E-2</v>
      </c>
    </row>
    <row r="401" spans="1:7" x14ac:dyDescent="0.3">
      <c r="A401" s="6" t="s">
        <v>960</v>
      </c>
      <c r="B401" s="6" t="s">
        <v>961</v>
      </c>
      <c r="C401" s="224">
        <v>1210</v>
      </c>
      <c r="D401" s="224">
        <v>512849.32331337198</v>
      </c>
      <c r="E401" s="225">
        <v>24950.344439426401</v>
      </c>
      <c r="F401" s="226">
        <v>100</v>
      </c>
      <c r="G401" s="227">
        <v>0</v>
      </c>
    </row>
    <row r="402" spans="1:7" x14ac:dyDescent="0.3">
      <c r="A402" s="11" t="s">
        <v>6269</v>
      </c>
      <c r="B402" s="11" t="s">
        <v>6270</v>
      </c>
      <c r="C402" s="228">
        <v>7420</v>
      </c>
      <c r="D402" s="228">
        <v>3143557.6766866301</v>
      </c>
      <c r="E402" s="229">
        <v>24950.344439419401</v>
      </c>
      <c r="F402" s="230">
        <v>85.973954121809399</v>
      </c>
      <c r="G402" s="231">
        <v>0.68237328173327305</v>
      </c>
    </row>
    <row r="403" spans="1:7" x14ac:dyDescent="0.3">
      <c r="A403" s="6" t="s">
        <v>6269</v>
      </c>
      <c r="B403" s="6" t="s">
        <v>6271</v>
      </c>
      <c r="C403" s="224">
        <v>8630</v>
      </c>
      <c r="D403" s="224">
        <v>3656407</v>
      </c>
      <c r="E403" s="225">
        <v>0</v>
      </c>
      <c r="F403" s="226">
        <v>100</v>
      </c>
      <c r="G403" s="227">
        <v>0</v>
      </c>
    </row>
    <row r="404" spans="1:7" x14ac:dyDescent="0.3">
      <c r="A404" s="3299" t="s">
        <v>455</v>
      </c>
      <c r="B404" s="3298"/>
      <c r="C404" s="3298"/>
      <c r="D404" s="3298"/>
      <c r="E404" s="3298"/>
      <c r="F404" s="3298"/>
      <c r="G404" s="3298"/>
    </row>
    <row r="405" spans="1:7" x14ac:dyDescent="0.3">
      <c r="A405" s="11" t="s">
        <v>964</v>
      </c>
      <c r="B405" s="11" t="s">
        <v>1027</v>
      </c>
      <c r="C405" s="236">
        <v>2560</v>
      </c>
      <c r="D405" s="236">
        <v>1071005.57281709</v>
      </c>
      <c r="E405" s="237">
        <v>27662.503704912098</v>
      </c>
      <c r="F405" s="238">
        <v>29.616894856010301</v>
      </c>
      <c r="G405" s="239">
        <v>0.75216483550876601</v>
      </c>
    </row>
    <row r="406" spans="1:7" x14ac:dyDescent="0.3">
      <c r="A406" s="6" t="s">
        <v>962</v>
      </c>
      <c r="B406" s="6" t="s">
        <v>1026</v>
      </c>
      <c r="C406" s="232">
        <v>1891</v>
      </c>
      <c r="D406" s="232">
        <v>939583.46819255303</v>
      </c>
      <c r="E406" s="233">
        <v>30909.080677848298</v>
      </c>
      <c r="F406" s="234">
        <v>25.9826330433641</v>
      </c>
      <c r="G406" s="235">
        <v>0.87308807150654999</v>
      </c>
    </row>
    <row r="407" spans="1:7" x14ac:dyDescent="0.3">
      <c r="A407" s="11" t="s">
        <v>968</v>
      </c>
      <c r="B407" s="11" t="s">
        <v>1029</v>
      </c>
      <c r="C407" s="236">
        <v>1703</v>
      </c>
      <c r="D407" s="236">
        <v>686131.87737208197</v>
      </c>
      <c r="E407" s="237">
        <v>32633.2571061546</v>
      </c>
      <c r="F407" s="238">
        <v>18.973846808317699</v>
      </c>
      <c r="G407" s="239">
        <v>0.88864825634104705</v>
      </c>
    </row>
    <row r="408" spans="1:7" x14ac:dyDescent="0.3">
      <c r="A408" s="6" t="s">
        <v>966</v>
      </c>
      <c r="B408" s="6" t="s">
        <v>1028</v>
      </c>
      <c r="C408" s="232">
        <v>1620</v>
      </c>
      <c r="D408" s="232">
        <v>598524.98818948201</v>
      </c>
      <c r="E408" s="233">
        <v>19313.995304333199</v>
      </c>
      <c r="F408" s="234">
        <v>16.551222602209702</v>
      </c>
      <c r="G408" s="235">
        <v>0.522161308878208</v>
      </c>
    </row>
    <row r="409" spans="1:7" x14ac:dyDescent="0.3">
      <c r="A409" s="11" t="s">
        <v>970</v>
      </c>
      <c r="B409" s="11" t="s">
        <v>1030</v>
      </c>
      <c r="C409" s="236">
        <v>774</v>
      </c>
      <c r="D409" s="236">
        <v>320952.13857849798</v>
      </c>
      <c r="E409" s="237">
        <v>21287.2914254877</v>
      </c>
      <c r="F409" s="238">
        <v>8.8754026900982907</v>
      </c>
      <c r="G409" s="239">
        <v>0.59588466714587895</v>
      </c>
    </row>
    <row r="410" spans="1:7" x14ac:dyDescent="0.3">
      <c r="A410" s="6" t="s">
        <v>960</v>
      </c>
      <c r="B410" s="6" t="s">
        <v>961</v>
      </c>
      <c r="C410" s="232">
        <v>83</v>
      </c>
      <c r="D410" s="232">
        <v>40208.954850296599</v>
      </c>
      <c r="E410" s="233">
        <v>7799.6386646848096</v>
      </c>
      <c r="F410" s="234">
        <v>100</v>
      </c>
      <c r="G410" s="235">
        <v>0</v>
      </c>
    </row>
    <row r="411" spans="1:7" x14ac:dyDescent="0.3">
      <c r="A411" s="11" t="s">
        <v>6269</v>
      </c>
      <c r="B411" s="11" t="s">
        <v>6270</v>
      </c>
      <c r="C411" s="236">
        <v>8548</v>
      </c>
      <c r="D411" s="236">
        <v>3616198.0451496998</v>
      </c>
      <c r="E411" s="237">
        <v>7799.6386646864703</v>
      </c>
      <c r="F411" s="238">
        <v>98.900315122186996</v>
      </c>
      <c r="G411" s="239">
        <v>0.21331429090592999</v>
      </c>
    </row>
    <row r="412" spans="1:7" x14ac:dyDescent="0.3">
      <c r="A412" s="6" t="s">
        <v>6269</v>
      </c>
      <c r="B412" s="6" t="s">
        <v>6271</v>
      </c>
      <c r="C412" s="232">
        <v>8631</v>
      </c>
      <c r="D412" s="232">
        <v>3656407</v>
      </c>
      <c r="E412" s="233">
        <v>0</v>
      </c>
      <c r="F412" s="234">
        <v>100</v>
      </c>
      <c r="G412" s="235">
        <v>0</v>
      </c>
    </row>
    <row r="413" spans="1:7" x14ac:dyDescent="0.3">
      <c r="A413" s="3299" t="s">
        <v>452</v>
      </c>
      <c r="B413" s="3298"/>
      <c r="C413" s="3298"/>
      <c r="D413" s="3298"/>
      <c r="E413" s="3298"/>
      <c r="F413" s="3298"/>
      <c r="G413" s="3298"/>
    </row>
    <row r="414" spans="1:7" x14ac:dyDescent="0.3">
      <c r="A414" s="11" t="s">
        <v>966</v>
      </c>
      <c r="B414" s="11" t="s">
        <v>1028</v>
      </c>
      <c r="C414" s="244">
        <v>2804</v>
      </c>
      <c r="D414" s="244">
        <v>1148897.8538975101</v>
      </c>
      <c r="E414" s="245">
        <v>21617.885431449198</v>
      </c>
      <c r="F414" s="246">
        <v>32.478668457228899</v>
      </c>
      <c r="G414" s="247">
        <v>0.64893399655784001</v>
      </c>
    </row>
    <row r="415" spans="1:7" x14ac:dyDescent="0.3">
      <c r="A415" s="6" t="s">
        <v>964</v>
      </c>
      <c r="B415" s="6" t="s">
        <v>1027</v>
      </c>
      <c r="C415" s="240">
        <v>2482</v>
      </c>
      <c r="D415" s="240">
        <v>1057390.96433564</v>
      </c>
      <c r="E415" s="241">
        <v>32024.691632677601</v>
      </c>
      <c r="F415" s="242">
        <v>29.8918223615991</v>
      </c>
      <c r="G415" s="243">
        <v>0.88493113138034796</v>
      </c>
    </row>
    <row r="416" spans="1:7" x14ac:dyDescent="0.3">
      <c r="A416" s="11" t="s">
        <v>968</v>
      </c>
      <c r="B416" s="11" t="s">
        <v>1029</v>
      </c>
      <c r="C416" s="244">
        <v>1672</v>
      </c>
      <c r="D416" s="244">
        <v>663024.69734215306</v>
      </c>
      <c r="E416" s="245">
        <v>24831.3897741375</v>
      </c>
      <c r="F416" s="246">
        <v>18.7433193045647</v>
      </c>
      <c r="G416" s="247">
        <v>0.66970646972937398</v>
      </c>
    </row>
    <row r="417" spans="1:7" x14ac:dyDescent="0.3">
      <c r="A417" s="6" t="s">
        <v>962</v>
      </c>
      <c r="B417" s="6" t="s">
        <v>1026</v>
      </c>
      <c r="C417" s="240">
        <v>907</v>
      </c>
      <c r="D417" s="240">
        <v>474864.08268135</v>
      </c>
      <c r="E417" s="241">
        <v>16875.593018048301</v>
      </c>
      <c r="F417" s="242">
        <v>13.424129091487901</v>
      </c>
      <c r="G417" s="243">
        <v>0.48508047374526497</v>
      </c>
    </row>
    <row r="418" spans="1:7" x14ac:dyDescent="0.3">
      <c r="A418" s="11" t="s">
        <v>970</v>
      </c>
      <c r="B418" s="11" t="s">
        <v>1030</v>
      </c>
      <c r="C418" s="244">
        <v>477</v>
      </c>
      <c r="D418" s="244">
        <v>193214.50699696699</v>
      </c>
      <c r="E418" s="245">
        <v>13556.427579900999</v>
      </c>
      <c r="F418" s="246">
        <v>5.4620607851193697</v>
      </c>
      <c r="G418" s="247">
        <v>0.38706890315947801</v>
      </c>
    </row>
    <row r="419" spans="1:7" x14ac:dyDescent="0.3">
      <c r="A419" s="6" t="s">
        <v>960</v>
      </c>
      <c r="B419" s="6" t="s">
        <v>961</v>
      </c>
      <c r="C419" s="240">
        <v>289</v>
      </c>
      <c r="D419" s="240">
        <v>119014.89474637101</v>
      </c>
      <c r="E419" s="241">
        <v>11094.9709007416</v>
      </c>
      <c r="F419" s="242">
        <v>100</v>
      </c>
      <c r="G419" s="243">
        <v>0</v>
      </c>
    </row>
    <row r="420" spans="1:7" x14ac:dyDescent="0.3">
      <c r="A420" s="11" t="s">
        <v>6269</v>
      </c>
      <c r="B420" s="11" t="s">
        <v>6270</v>
      </c>
      <c r="C420" s="244">
        <v>8342</v>
      </c>
      <c r="D420" s="244">
        <v>3537392.1052536299</v>
      </c>
      <c r="E420" s="245">
        <v>11094.97090074</v>
      </c>
      <c r="F420" s="246">
        <v>96.745031536522802</v>
      </c>
      <c r="G420" s="247">
        <v>0.30343916584618502</v>
      </c>
    </row>
    <row r="421" spans="1:7" x14ac:dyDescent="0.3">
      <c r="A421" s="6" t="s">
        <v>6269</v>
      </c>
      <c r="B421" s="6" t="s">
        <v>6271</v>
      </c>
      <c r="C421" s="240">
        <v>8631</v>
      </c>
      <c r="D421" s="240">
        <v>3656407</v>
      </c>
      <c r="E421" s="241">
        <v>0</v>
      </c>
      <c r="F421" s="242">
        <v>100</v>
      </c>
      <c r="G421" s="243">
        <v>0</v>
      </c>
    </row>
    <row r="422" spans="1:7" x14ac:dyDescent="0.3">
      <c r="A422" s="3299" t="s">
        <v>828</v>
      </c>
      <c r="B422" s="3298"/>
      <c r="C422" s="3298"/>
      <c r="D422" s="3298"/>
      <c r="E422" s="3298"/>
      <c r="F422" s="3298"/>
      <c r="G422" s="3298"/>
    </row>
    <row r="423" spans="1:7" x14ac:dyDescent="0.3">
      <c r="A423" s="11" t="s">
        <v>970</v>
      </c>
      <c r="B423" s="11" t="s">
        <v>1030</v>
      </c>
      <c r="C423" s="252">
        <v>2855</v>
      </c>
      <c r="D423" s="252">
        <v>1150578.3391121</v>
      </c>
      <c r="E423" s="253">
        <v>29690.639412579902</v>
      </c>
      <c r="F423" s="254">
        <v>33.071158986062102</v>
      </c>
      <c r="G423" s="255">
        <v>0.87655131908695505</v>
      </c>
    </row>
    <row r="424" spans="1:7" x14ac:dyDescent="0.3">
      <c r="A424" s="6" t="s">
        <v>968</v>
      </c>
      <c r="B424" s="6" t="s">
        <v>1029</v>
      </c>
      <c r="C424" s="248">
        <v>2701</v>
      </c>
      <c r="D424" s="248">
        <v>1106816.10213676</v>
      </c>
      <c r="E424" s="249">
        <v>25216.277676067701</v>
      </c>
      <c r="F424" s="250">
        <v>31.813297745849599</v>
      </c>
      <c r="G424" s="251">
        <v>0.73481979470585501</v>
      </c>
    </row>
    <row r="425" spans="1:7" x14ac:dyDescent="0.3">
      <c r="A425" s="11" t="s">
        <v>966</v>
      </c>
      <c r="B425" s="11" t="s">
        <v>6117</v>
      </c>
      <c r="C425" s="252">
        <v>1531</v>
      </c>
      <c r="D425" s="252">
        <v>666007.11503485998</v>
      </c>
      <c r="E425" s="253">
        <v>20945.732878237101</v>
      </c>
      <c r="F425" s="254">
        <v>19.143092163688401</v>
      </c>
      <c r="G425" s="255">
        <v>0.55497720721996402</v>
      </c>
    </row>
    <row r="426" spans="1:7" x14ac:dyDescent="0.3">
      <c r="A426" s="6" t="s">
        <v>964</v>
      </c>
      <c r="B426" s="6" t="s">
        <v>1027</v>
      </c>
      <c r="C426" s="248">
        <v>790</v>
      </c>
      <c r="D426" s="248">
        <v>357574.82773876202</v>
      </c>
      <c r="E426" s="249">
        <v>14898.588862622901</v>
      </c>
      <c r="F426" s="250">
        <v>10.2777999338038</v>
      </c>
      <c r="G426" s="251">
        <v>0.420976318584458</v>
      </c>
    </row>
    <row r="427" spans="1:7" x14ac:dyDescent="0.3">
      <c r="A427" s="11" t="s">
        <v>962</v>
      </c>
      <c r="B427" s="11" t="s">
        <v>1026</v>
      </c>
      <c r="C427" s="252">
        <v>331</v>
      </c>
      <c r="D427" s="252">
        <v>198122.548062152</v>
      </c>
      <c r="E427" s="253">
        <v>21015.224255318499</v>
      </c>
      <c r="F427" s="254">
        <v>5.6946511705960496</v>
      </c>
      <c r="G427" s="255">
        <v>0.60456519825402699</v>
      </c>
    </row>
    <row r="428" spans="1:7" x14ac:dyDescent="0.3">
      <c r="A428" s="6" t="s">
        <v>960</v>
      </c>
      <c r="B428" s="6" t="s">
        <v>961</v>
      </c>
      <c r="C428" s="248">
        <v>422</v>
      </c>
      <c r="D428" s="248">
        <v>177182.47517558601</v>
      </c>
      <c r="E428" s="249">
        <v>14359.132329054601</v>
      </c>
      <c r="F428" s="250">
        <v>99.929166934556406</v>
      </c>
      <c r="G428" s="251">
        <v>7.2308609728787498E-2</v>
      </c>
    </row>
    <row r="429" spans="1:7" x14ac:dyDescent="0.3">
      <c r="A429" s="11" t="s">
        <v>956</v>
      </c>
      <c r="B429" s="11" t="s">
        <v>1025</v>
      </c>
      <c r="C429" s="252">
        <v>1</v>
      </c>
      <c r="D429" s="252">
        <v>125.592739783307</v>
      </c>
      <c r="E429" s="253">
        <v>127.758546244718</v>
      </c>
      <c r="F429" s="254">
        <v>7.0833065443617296E-2</v>
      </c>
      <c r="G429" s="255">
        <v>7.2308609728790996E-2</v>
      </c>
    </row>
    <row r="430" spans="1:7" x14ac:dyDescent="0.3">
      <c r="A430" s="6" t="s">
        <v>6269</v>
      </c>
      <c r="B430" s="6" t="s">
        <v>6270</v>
      </c>
      <c r="C430" s="248">
        <v>8208</v>
      </c>
      <c r="D430" s="248">
        <v>3479098.9320846298</v>
      </c>
      <c r="E430" s="249">
        <v>14345.425229647401</v>
      </c>
      <c r="F430" s="250">
        <v>95.1507567971681</v>
      </c>
      <c r="G430" s="251">
        <v>0.392336663551068</v>
      </c>
    </row>
    <row r="431" spans="1:7" x14ac:dyDescent="0.3">
      <c r="A431" s="11" t="s">
        <v>6269</v>
      </c>
      <c r="B431" s="11" t="s">
        <v>6271</v>
      </c>
      <c r="C431" s="252">
        <v>8631</v>
      </c>
      <c r="D431" s="252">
        <v>3656407</v>
      </c>
      <c r="E431" s="253">
        <v>0</v>
      </c>
      <c r="F431" s="254">
        <v>100</v>
      </c>
      <c r="G431" s="255">
        <v>0</v>
      </c>
    </row>
    <row r="432" spans="1:7" x14ac:dyDescent="0.3">
      <c r="A432" s="3299" t="s">
        <v>49</v>
      </c>
      <c r="B432" s="3298"/>
      <c r="C432" s="3298"/>
      <c r="D432" s="3298"/>
      <c r="E432" s="3298"/>
      <c r="F432" s="3298"/>
      <c r="G432" s="3298"/>
    </row>
    <row r="433" spans="1:7" x14ac:dyDescent="0.3">
      <c r="A433" s="11" t="s">
        <v>970</v>
      </c>
      <c r="B433" s="11" t="s">
        <v>1030</v>
      </c>
      <c r="C433" s="260">
        <v>3861</v>
      </c>
      <c r="D433" s="260">
        <v>1617006.0514076201</v>
      </c>
      <c r="E433" s="261">
        <v>22916.791143530099</v>
      </c>
      <c r="F433" s="262">
        <v>46.789102410166699</v>
      </c>
      <c r="G433" s="263">
        <v>0.745874552278049</v>
      </c>
    </row>
    <row r="434" spans="1:7" x14ac:dyDescent="0.3">
      <c r="A434" s="6" t="s">
        <v>968</v>
      </c>
      <c r="B434" s="6" t="s">
        <v>1029</v>
      </c>
      <c r="C434" s="256">
        <v>2445</v>
      </c>
      <c r="D434" s="256">
        <v>1008857.73560508</v>
      </c>
      <c r="E434" s="257">
        <v>32342.198832988601</v>
      </c>
      <c r="F434" s="258">
        <v>29.191942644508899</v>
      </c>
      <c r="G434" s="259">
        <v>0.86304199013692395</v>
      </c>
    </row>
    <row r="435" spans="1:7" x14ac:dyDescent="0.3">
      <c r="A435" s="11" t="s">
        <v>966</v>
      </c>
      <c r="B435" s="11" t="s">
        <v>1028</v>
      </c>
      <c r="C435" s="260">
        <v>1416</v>
      </c>
      <c r="D435" s="260">
        <v>629074.48808556201</v>
      </c>
      <c r="E435" s="261">
        <v>15369.6244182714</v>
      </c>
      <c r="F435" s="262">
        <v>18.202671920142802</v>
      </c>
      <c r="G435" s="263">
        <v>0.41692679326923798</v>
      </c>
    </row>
    <row r="436" spans="1:7" x14ac:dyDescent="0.3">
      <c r="A436" s="6" t="s">
        <v>964</v>
      </c>
      <c r="B436" s="6" t="s">
        <v>1027</v>
      </c>
      <c r="C436" s="256">
        <v>279</v>
      </c>
      <c r="D436" s="256">
        <v>123529.465310884</v>
      </c>
      <c r="E436" s="257">
        <v>11632.6629762828</v>
      </c>
      <c r="F436" s="258">
        <v>3.5744039412052202</v>
      </c>
      <c r="G436" s="259">
        <v>0.34612935453333099</v>
      </c>
    </row>
    <row r="437" spans="1:7" x14ac:dyDescent="0.3">
      <c r="A437" s="11" t="s">
        <v>962</v>
      </c>
      <c r="B437" s="11" t="s">
        <v>1026</v>
      </c>
      <c r="C437" s="260">
        <v>140</v>
      </c>
      <c r="D437" s="260">
        <v>77478.127567717194</v>
      </c>
      <c r="E437" s="261">
        <v>11888.285428359401</v>
      </c>
      <c r="F437" s="262">
        <v>2.2418790839763201</v>
      </c>
      <c r="G437" s="263">
        <v>0.340470401017052</v>
      </c>
    </row>
    <row r="438" spans="1:7" x14ac:dyDescent="0.3">
      <c r="A438" s="6" t="s">
        <v>960</v>
      </c>
      <c r="B438" s="6" t="s">
        <v>961</v>
      </c>
      <c r="C438" s="256">
        <v>488</v>
      </c>
      <c r="D438" s="256">
        <v>200160.943410779</v>
      </c>
      <c r="E438" s="257">
        <v>16934.282244170801</v>
      </c>
      <c r="F438" s="258">
        <v>99.850250964202999</v>
      </c>
      <c r="G438" s="259">
        <v>0.15252661702001999</v>
      </c>
    </row>
    <row r="439" spans="1:7" x14ac:dyDescent="0.3">
      <c r="A439" s="11" t="s">
        <v>958</v>
      </c>
      <c r="B439" s="11" t="s">
        <v>959</v>
      </c>
      <c r="C439" s="260">
        <v>1</v>
      </c>
      <c r="D439" s="260">
        <v>174.595872568993</v>
      </c>
      <c r="E439" s="261">
        <v>175.64496850701599</v>
      </c>
      <c r="F439" s="262">
        <v>8.7097119928887801E-2</v>
      </c>
      <c r="G439" s="263">
        <v>8.8572433532361106E-2</v>
      </c>
    </row>
    <row r="440" spans="1:7" x14ac:dyDescent="0.3">
      <c r="A440" s="6" t="s">
        <v>956</v>
      </c>
      <c r="B440" s="6" t="s">
        <v>1025</v>
      </c>
      <c r="C440" s="256">
        <v>1</v>
      </c>
      <c r="D440" s="256">
        <v>125.592739783307</v>
      </c>
      <c r="E440" s="257">
        <v>127.758546244718</v>
      </c>
      <c r="F440" s="258">
        <v>6.2651915868066899E-2</v>
      </c>
      <c r="G440" s="259">
        <v>6.4464068279230693E-2</v>
      </c>
    </row>
    <row r="441" spans="1:7" x14ac:dyDescent="0.3">
      <c r="A441" s="11" t="s">
        <v>6269</v>
      </c>
      <c r="B441" s="11" t="s">
        <v>6270</v>
      </c>
      <c r="C441" s="260">
        <v>8141</v>
      </c>
      <c r="D441" s="260">
        <v>3455945.8679768699</v>
      </c>
      <c r="E441" s="261">
        <v>16844.762483727402</v>
      </c>
      <c r="F441" s="262">
        <v>94.517537789881402</v>
      </c>
      <c r="G441" s="263">
        <v>0.46069167036736602</v>
      </c>
    </row>
    <row r="442" spans="1:7" x14ac:dyDescent="0.3">
      <c r="A442" s="6" t="s">
        <v>6269</v>
      </c>
      <c r="B442" s="6" t="s">
        <v>6271</v>
      </c>
      <c r="C442" s="256">
        <v>8631</v>
      </c>
      <c r="D442" s="256">
        <v>3656407</v>
      </c>
      <c r="E442" s="257">
        <v>0</v>
      </c>
      <c r="F442" s="258">
        <v>100</v>
      </c>
      <c r="G442" s="259">
        <v>0</v>
      </c>
    </row>
    <row r="443" spans="1:7" x14ac:dyDescent="0.3">
      <c r="A443" s="3299" t="s">
        <v>465</v>
      </c>
      <c r="B443" s="3298"/>
      <c r="C443" s="3298"/>
      <c r="D443" s="3298"/>
      <c r="E443" s="3298"/>
      <c r="F443" s="3298"/>
      <c r="G443" s="3298"/>
    </row>
    <row r="444" spans="1:7" x14ac:dyDescent="0.3">
      <c r="A444" s="11" t="s">
        <v>970</v>
      </c>
      <c r="B444" s="11" t="s">
        <v>1030</v>
      </c>
      <c r="C444" s="268">
        <v>3572</v>
      </c>
      <c r="D444" s="268">
        <v>1401913.3015201399</v>
      </c>
      <c r="E444" s="269">
        <v>18547.424068069198</v>
      </c>
      <c r="F444" s="270">
        <v>40.345597866978601</v>
      </c>
      <c r="G444" s="271">
        <v>0.50808976053813804</v>
      </c>
    </row>
    <row r="445" spans="1:7" x14ac:dyDescent="0.3">
      <c r="A445" s="6" t="s">
        <v>968</v>
      </c>
      <c r="B445" s="6" t="s">
        <v>1029</v>
      </c>
      <c r="C445" s="264">
        <v>2217</v>
      </c>
      <c r="D445" s="264">
        <v>869783.21164807805</v>
      </c>
      <c r="E445" s="265">
        <v>20491.302687049301</v>
      </c>
      <c r="F445" s="266">
        <v>25.031450697094598</v>
      </c>
      <c r="G445" s="267">
        <v>0.55311208146332802</v>
      </c>
    </row>
    <row r="446" spans="1:7" x14ac:dyDescent="0.3">
      <c r="A446" s="11" t="s">
        <v>966</v>
      </c>
      <c r="B446" s="11" t="s">
        <v>1028</v>
      </c>
      <c r="C446" s="268">
        <v>1507</v>
      </c>
      <c r="D446" s="268">
        <v>684610.21721385804</v>
      </c>
      <c r="E446" s="269">
        <v>16753.210449230901</v>
      </c>
      <c r="F446" s="270">
        <v>19.702365680805599</v>
      </c>
      <c r="G446" s="271">
        <v>0.46004171662554599</v>
      </c>
    </row>
    <row r="447" spans="1:7" x14ac:dyDescent="0.3">
      <c r="A447" s="6" t="s">
        <v>964</v>
      </c>
      <c r="B447" s="6" t="s">
        <v>1027</v>
      </c>
      <c r="C447" s="264">
        <v>596</v>
      </c>
      <c r="D447" s="264">
        <v>322510.948993403</v>
      </c>
      <c r="E447" s="265">
        <v>18599.1336924846</v>
      </c>
      <c r="F447" s="266">
        <v>9.2815276391744597</v>
      </c>
      <c r="G447" s="267">
        <v>0.53909608746973403</v>
      </c>
    </row>
    <row r="448" spans="1:7" x14ac:dyDescent="0.3">
      <c r="A448" s="11" t="s">
        <v>962</v>
      </c>
      <c r="B448" s="11" t="s">
        <v>1026</v>
      </c>
      <c r="C448" s="268">
        <v>282</v>
      </c>
      <c r="D448" s="268">
        <v>195943.820360663</v>
      </c>
      <c r="E448" s="269">
        <v>17478.140926469299</v>
      </c>
      <c r="F448" s="270">
        <v>5.6390581159467201</v>
      </c>
      <c r="G448" s="271">
        <v>0.50950787790493901</v>
      </c>
    </row>
    <row r="449" spans="1:7" x14ac:dyDescent="0.3">
      <c r="A449" s="6" t="s">
        <v>960</v>
      </c>
      <c r="B449" s="6" t="s">
        <v>961</v>
      </c>
      <c r="C449" s="264">
        <v>456</v>
      </c>
      <c r="D449" s="264">
        <v>181519.90752407801</v>
      </c>
      <c r="E449" s="265">
        <v>14615.1849943948</v>
      </c>
      <c r="F449" s="266">
        <v>99.930858325914599</v>
      </c>
      <c r="G449" s="267">
        <v>7.0902284152612793E-2</v>
      </c>
    </row>
    <row r="450" spans="1:7" x14ac:dyDescent="0.3">
      <c r="A450" s="11" t="s">
        <v>956</v>
      </c>
      <c r="B450" s="11" t="s">
        <v>1025</v>
      </c>
      <c r="C450" s="268">
        <v>1</v>
      </c>
      <c r="D450" s="268">
        <v>125.592739783307</v>
      </c>
      <c r="E450" s="269">
        <v>127.758546244718</v>
      </c>
      <c r="F450" s="270">
        <v>6.9141674085440405E-2</v>
      </c>
      <c r="G450" s="271">
        <v>7.0902284152619205E-2</v>
      </c>
    </row>
    <row r="451" spans="1:7" x14ac:dyDescent="0.3">
      <c r="A451" s="6" t="s">
        <v>6269</v>
      </c>
      <c r="B451" s="6" t="s">
        <v>6270</v>
      </c>
      <c r="C451" s="264">
        <v>8174</v>
      </c>
      <c r="D451" s="264">
        <v>3474761.49973614</v>
      </c>
      <c r="E451" s="265">
        <v>14547.9201492682</v>
      </c>
      <c r="F451" s="266">
        <v>95.032131262633996</v>
      </c>
      <c r="G451" s="267">
        <v>0.39787474833271902</v>
      </c>
    </row>
    <row r="452" spans="1:7" x14ac:dyDescent="0.3">
      <c r="A452" s="11" t="s">
        <v>6269</v>
      </c>
      <c r="B452" s="11" t="s">
        <v>6271</v>
      </c>
      <c r="C452" s="268">
        <v>8631</v>
      </c>
      <c r="D452" s="268">
        <v>3656407</v>
      </c>
      <c r="E452" s="269">
        <v>0</v>
      </c>
      <c r="F452" s="270">
        <v>100</v>
      </c>
      <c r="G452" s="271">
        <v>0</v>
      </c>
    </row>
    <row r="453" spans="1:7" x14ac:dyDescent="0.3">
      <c r="A453" s="3299" t="s">
        <v>743</v>
      </c>
      <c r="B453" s="3298"/>
      <c r="C453" s="3298"/>
      <c r="D453" s="3298"/>
      <c r="E453" s="3298"/>
      <c r="F453" s="3298"/>
      <c r="G453" s="3298"/>
    </row>
    <row r="454" spans="1:7" x14ac:dyDescent="0.3">
      <c r="A454" s="11" t="s">
        <v>964</v>
      </c>
      <c r="B454" s="11" t="s">
        <v>1040</v>
      </c>
      <c r="C454" s="276">
        <v>7430</v>
      </c>
      <c r="D454" s="276">
        <v>3022722.2105814298</v>
      </c>
      <c r="E454" s="277">
        <v>18659.818953380101</v>
      </c>
      <c r="F454" s="278">
        <v>82.669194391691804</v>
      </c>
      <c r="G454" s="279">
        <v>0.51033210890870595</v>
      </c>
    </row>
    <row r="455" spans="1:7" x14ac:dyDescent="0.3">
      <c r="A455" s="6" t="s">
        <v>962</v>
      </c>
      <c r="B455" s="6" t="s">
        <v>1039</v>
      </c>
      <c r="C455" s="272">
        <v>1201</v>
      </c>
      <c r="D455" s="272">
        <v>633684.789418575</v>
      </c>
      <c r="E455" s="273">
        <v>18659.818953386999</v>
      </c>
      <c r="F455" s="274">
        <v>17.3308056083082</v>
      </c>
      <c r="G455" s="275">
        <v>0.51033210890871195</v>
      </c>
    </row>
    <row r="456" spans="1:7" x14ac:dyDescent="0.3">
      <c r="A456" s="11" t="s">
        <v>6269</v>
      </c>
      <c r="B456" s="11" t="s">
        <v>6270</v>
      </c>
      <c r="C456" s="276">
        <v>8631</v>
      </c>
      <c r="D456" s="276">
        <v>3656407.0000000098</v>
      </c>
      <c r="E456" s="277">
        <v>2.6042559872199099E-8</v>
      </c>
      <c r="F456" s="278">
        <v>100</v>
      </c>
      <c r="G456" s="279">
        <v>1.45362315675074E-14</v>
      </c>
    </row>
    <row r="457" spans="1:7" x14ac:dyDescent="0.3">
      <c r="A457" s="6" t="s">
        <v>6269</v>
      </c>
      <c r="B457" s="6" t="s">
        <v>6271</v>
      </c>
      <c r="C457" s="272">
        <v>8631</v>
      </c>
      <c r="D457" s="272">
        <v>3656407.0000000098</v>
      </c>
      <c r="E457" s="273">
        <v>0</v>
      </c>
      <c r="F457" s="274">
        <v>100</v>
      </c>
      <c r="G457" s="275">
        <v>0</v>
      </c>
    </row>
    <row r="458" spans="1:7" x14ac:dyDescent="0.3">
      <c r="A458" s="3299" t="s">
        <v>205</v>
      </c>
      <c r="B458" s="3298"/>
      <c r="C458" s="3298"/>
      <c r="D458" s="3298"/>
      <c r="E458" s="3298"/>
      <c r="F458" s="3298"/>
      <c r="G458" s="3298"/>
    </row>
    <row r="459" spans="1:7" x14ac:dyDescent="0.3">
      <c r="A459" s="11" t="s">
        <v>962</v>
      </c>
      <c r="B459" s="11" t="s">
        <v>1039</v>
      </c>
      <c r="C459" s="284">
        <v>5161</v>
      </c>
      <c r="D459" s="284">
        <v>2219686.28600492</v>
      </c>
      <c r="E459" s="285">
        <v>28088.724200703899</v>
      </c>
      <c r="F459" s="286">
        <v>64.467566144286494</v>
      </c>
      <c r="G459" s="287">
        <v>0.79556114115816101</v>
      </c>
    </row>
    <row r="460" spans="1:7" x14ac:dyDescent="0.3">
      <c r="A460" s="6" t="s">
        <v>964</v>
      </c>
      <c r="B460" s="6" t="s">
        <v>1040</v>
      </c>
      <c r="C460" s="280">
        <v>2992</v>
      </c>
      <c r="D460" s="280">
        <v>1223419.16804151</v>
      </c>
      <c r="E460" s="281">
        <v>27612.8793478804</v>
      </c>
      <c r="F460" s="282">
        <v>35.532433855713499</v>
      </c>
      <c r="G460" s="283">
        <v>0.79556114115816501</v>
      </c>
    </row>
    <row r="461" spans="1:7" x14ac:dyDescent="0.3">
      <c r="A461" s="11" t="s">
        <v>974</v>
      </c>
      <c r="B461" s="11" t="s">
        <v>975</v>
      </c>
      <c r="C461" s="284">
        <v>473</v>
      </c>
      <c r="D461" s="284">
        <v>210351.29191294301</v>
      </c>
      <c r="E461" s="285">
        <v>10004.440244474799</v>
      </c>
      <c r="F461" s="286">
        <v>98.616862326315797</v>
      </c>
      <c r="G461" s="287">
        <v>1.0126970215521001</v>
      </c>
    </row>
    <row r="462" spans="1:7" x14ac:dyDescent="0.3">
      <c r="A462" s="6" t="s">
        <v>956</v>
      </c>
      <c r="B462" s="6" t="s">
        <v>1025</v>
      </c>
      <c r="C462" s="280">
        <v>3</v>
      </c>
      <c r="D462" s="280">
        <v>2887.2845411373401</v>
      </c>
      <c r="E462" s="281">
        <v>2128.6838657232802</v>
      </c>
      <c r="F462" s="282">
        <v>1.3536163220147099</v>
      </c>
      <c r="G462" s="283">
        <v>1.00066508344498</v>
      </c>
    </row>
    <row r="463" spans="1:7" x14ac:dyDescent="0.3">
      <c r="A463" s="11" t="s">
        <v>958</v>
      </c>
      <c r="B463" s="11" t="s">
        <v>1019</v>
      </c>
      <c r="C463" s="284">
        <v>2</v>
      </c>
      <c r="D463" s="284">
        <v>62.9694994973351</v>
      </c>
      <c r="E463" s="285">
        <v>63.709493882847099</v>
      </c>
      <c r="F463" s="286">
        <v>2.9521351669452699E-2</v>
      </c>
      <c r="G463" s="287">
        <v>3.00429579546297E-2</v>
      </c>
    </row>
    <row r="464" spans="1:7" x14ac:dyDescent="0.3">
      <c r="A464" s="6" t="s">
        <v>6269</v>
      </c>
      <c r="B464" s="6" t="s">
        <v>6270</v>
      </c>
      <c r="C464" s="280">
        <v>8153</v>
      </c>
      <c r="D464" s="280">
        <v>3443105.4540464301</v>
      </c>
      <c r="E464" s="281">
        <v>9766.7242155408294</v>
      </c>
      <c r="F464" s="282">
        <v>94.166362061073102</v>
      </c>
      <c r="G464" s="283">
        <v>0.267112611247525</v>
      </c>
    </row>
    <row r="465" spans="1:7" x14ac:dyDescent="0.3">
      <c r="A465" s="11" t="s">
        <v>6269</v>
      </c>
      <c r="B465" s="11" t="s">
        <v>6271</v>
      </c>
      <c r="C465" s="284">
        <v>8631</v>
      </c>
      <c r="D465" s="284">
        <v>3656407.0000000098</v>
      </c>
      <c r="E465" s="285">
        <v>0</v>
      </c>
      <c r="F465" s="286">
        <v>100</v>
      </c>
      <c r="G465" s="287">
        <v>0</v>
      </c>
    </row>
    <row r="466" spans="1:7" x14ac:dyDescent="0.3">
      <c r="A466" s="3299" t="s">
        <v>250</v>
      </c>
      <c r="B466" s="3298"/>
      <c r="C466" s="3298"/>
      <c r="D466" s="3298"/>
      <c r="E466" s="3298"/>
      <c r="F466" s="3298"/>
      <c r="G466" s="3298"/>
    </row>
    <row r="467" spans="1:7" x14ac:dyDescent="0.3">
      <c r="A467" s="11" t="s">
        <v>962</v>
      </c>
      <c r="B467" s="11"/>
      <c r="C467" s="292">
        <v>5753</v>
      </c>
      <c r="D467" s="292">
        <v>2617836.0897699399</v>
      </c>
      <c r="E467" s="293">
        <v>7684.9164897631999</v>
      </c>
      <c r="F467" s="294">
        <v>71.595861450050293</v>
      </c>
      <c r="G467" s="295">
        <v>0.210176725122798</v>
      </c>
    </row>
    <row r="468" spans="1:7" x14ac:dyDescent="0.3">
      <c r="A468" s="6" t="s">
        <v>964</v>
      </c>
      <c r="B468" s="6"/>
      <c r="C468" s="288">
        <v>2878</v>
      </c>
      <c r="D468" s="288">
        <v>1038570.91023006</v>
      </c>
      <c r="E468" s="289">
        <v>7684.9164897597302</v>
      </c>
      <c r="F468" s="290">
        <v>28.4041385499497</v>
      </c>
      <c r="G468" s="291">
        <v>0.210176725122796</v>
      </c>
    </row>
    <row r="469" spans="1:7" x14ac:dyDescent="0.3">
      <c r="A469" s="11" t="s">
        <v>6269</v>
      </c>
      <c r="B469" s="11" t="s">
        <v>6270</v>
      </c>
      <c r="C469" s="292">
        <v>8631</v>
      </c>
      <c r="D469" s="292">
        <v>3656407</v>
      </c>
      <c r="E469" s="293">
        <v>2.3883346740921501E-8</v>
      </c>
      <c r="F469" s="294">
        <v>100</v>
      </c>
      <c r="G469" s="295">
        <v>0</v>
      </c>
    </row>
    <row r="470" spans="1:7" x14ac:dyDescent="0.3">
      <c r="A470" s="6" t="s">
        <v>6269</v>
      </c>
      <c r="B470" s="6" t="s">
        <v>6271</v>
      </c>
      <c r="C470" s="288">
        <v>8631</v>
      </c>
      <c r="D470" s="288">
        <v>3656407</v>
      </c>
      <c r="E470" s="289">
        <v>0</v>
      </c>
      <c r="F470" s="290">
        <v>100</v>
      </c>
      <c r="G470" s="291">
        <v>0</v>
      </c>
    </row>
    <row r="471" spans="1:7" x14ac:dyDescent="0.3">
      <c r="A471" s="3299" t="s">
        <v>160</v>
      </c>
      <c r="B471" s="3298"/>
      <c r="C471" s="3298"/>
      <c r="D471" s="3298"/>
      <c r="E471" s="3298"/>
      <c r="F471" s="3298"/>
      <c r="G471" s="3298"/>
    </row>
    <row r="472" spans="1:7" x14ac:dyDescent="0.3">
      <c r="A472" s="11" t="s">
        <v>6274</v>
      </c>
      <c r="B472" s="11"/>
      <c r="C472" s="300">
        <v>4222</v>
      </c>
      <c r="D472" s="300">
        <v>1648890.82971697</v>
      </c>
      <c r="E472" s="301">
        <v>23312.918750606601</v>
      </c>
      <c r="F472" s="302">
        <v>45.095932419912899</v>
      </c>
      <c r="G472" s="303">
        <v>0.63759091235208598</v>
      </c>
    </row>
    <row r="473" spans="1:7" x14ac:dyDescent="0.3">
      <c r="A473" s="6" t="s">
        <v>6272</v>
      </c>
      <c r="B473" s="6"/>
      <c r="C473" s="296">
        <v>3308</v>
      </c>
      <c r="D473" s="296">
        <v>1321793.7698605801</v>
      </c>
      <c r="E473" s="297">
        <v>12556.9732975881</v>
      </c>
      <c r="F473" s="298">
        <v>36.150072184540001</v>
      </c>
      <c r="G473" s="299">
        <v>0.34342383923858999</v>
      </c>
    </row>
    <row r="474" spans="1:7" x14ac:dyDescent="0.3">
      <c r="A474" s="11" t="s">
        <v>6273</v>
      </c>
      <c r="B474" s="11"/>
      <c r="C474" s="300">
        <v>615</v>
      </c>
      <c r="D474" s="300">
        <v>387537.16981609998</v>
      </c>
      <c r="E474" s="301">
        <v>25384.044398262598</v>
      </c>
      <c r="F474" s="302">
        <v>10.598852092124799</v>
      </c>
      <c r="G474" s="303">
        <v>0.69423465162009601</v>
      </c>
    </row>
    <row r="475" spans="1:7" x14ac:dyDescent="0.3">
      <c r="A475" s="6" t="s">
        <v>1152</v>
      </c>
      <c r="B475" s="6"/>
      <c r="C475" s="296">
        <v>312</v>
      </c>
      <c r="D475" s="296">
        <v>168849.223612609</v>
      </c>
      <c r="E475" s="297">
        <v>9725.3702789877898</v>
      </c>
      <c r="F475" s="298">
        <v>4.61790013017173</v>
      </c>
      <c r="G475" s="299">
        <v>0.26598161197557202</v>
      </c>
    </row>
    <row r="476" spans="1:7" x14ac:dyDescent="0.3">
      <c r="A476" s="11" t="s">
        <v>6276</v>
      </c>
      <c r="B476" s="11"/>
      <c r="C476" s="300">
        <v>149</v>
      </c>
      <c r="D476" s="300">
        <v>107230.5996745</v>
      </c>
      <c r="E476" s="301">
        <v>7317.6690064691702</v>
      </c>
      <c r="F476" s="302">
        <v>2.93267679649722</v>
      </c>
      <c r="G476" s="303">
        <v>0.200132780800093</v>
      </c>
    </row>
    <row r="477" spans="1:7" x14ac:dyDescent="0.3">
      <c r="A477" s="6" t="s">
        <v>6275</v>
      </c>
      <c r="B477" s="6"/>
      <c r="C477" s="296">
        <v>19</v>
      </c>
      <c r="D477" s="296">
        <v>14122.2737091211</v>
      </c>
      <c r="E477" s="297">
        <v>4177.7621615859298</v>
      </c>
      <c r="F477" s="298">
        <v>0.38623363616580603</v>
      </c>
      <c r="G477" s="299">
        <v>0.114258674200819</v>
      </c>
    </row>
    <row r="478" spans="1:7" x14ac:dyDescent="0.3">
      <c r="A478" s="11" t="s">
        <v>6278</v>
      </c>
      <c r="B478" s="11"/>
      <c r="C478" s="300">
        <v>5</v>
      </c>
      <c r="D478" s="300">
        <v>7146.5673369591204</v>
      </c>
      <c r="E478" s="301">
        <v>4897.0647501827398</v>
      </c>
      <c r="F478" s="302">
        <v>0.19545327795727099</v>
      </c>
      <c r="G478" s="303">
        <v>0.133931062657487</v>
      </c>
    </row>
    <row r="479" spans="1:7" x14ac:dyDescent="0.3">
      <c r="A479" s="6" t="s">
        <v>6277</v>
      </c>
      <c r="B479" s="6"/>
      <c r="C479" s="296">
        <v>1</v>
      </c>
      <c r="D479" s="296">
        <v>836.56627317542598</v>
      </c>
      <c r="E479" s="297">
        <v>842.35675435817802</v>
      </c>
      <c r="F479" s="298">
        <v>2.2879462630265801E-2</v>
      </c>
      <c r="G479" s="299">
        <v>2.3037827964944201E-2</v>
      </c>
    </row>
    <row r="480" spans="1:7" x14ac:dyDescent="0.3">
      <c r="A480" s="11" t="s">
        <v>6269</v>
      </c>
      <c r="B480" s="11" t="s">
        <v>6270</v>
      </c>
      <c r="C480" s="300">
        <v>8631</v>
      </c>
      <c r="D480" s="300">
        <v>3656407.0000000098</v>
      </c>
      <c r="E480" s="301">
        <v>1.13711560616684E-7</v>
      </c>
      <c r="F480" s="302">
        <v>100</v>
      </c>
      <c r="G480" s="303">
        <v>1.02786679142825E-14</v>
      </c>
    </row>
    <row r="481" spans="1:7" x14ac:dyDescent="0.3">
      <c r="A481" s="6" t="s">
        <v>6269</v>
      </c>
      <c r="B481" s="6" t="s">
        <v>6271</v>
      </c>
      <c r="C481" s="296">
        <v>8631</v>
      </c>
      <c r="D481" s="296">
        <v>3656407.0000000098</v>
      </c>
      <c r="E481" s="297">
        <v>0</v>
      </c>
      <c r="F481" s="298">
        <v>100</v>
      </c>
      <c r="G481" s="299">
        <v>0</v>
      </c>
    </row>
    <row r="482" spans="1:7" x14ac:dyDescent="0.3">
      <c r="A482" s="3299" t="s">
        <v>104</v>
      </c>
      <c r="B482" s="3298"/>
      <c r="C482" s="3298"/>
      <c r="D482" s="3298"/>
      <c r="E482" s="3298"/>
      <c r="F482" s="3298"/>
      <c r="G482" s="3298"/>
    </row>
    <row r="483" spans="1:7" x14ac:dyDescent="0.3">
      <c r="A483" s="11" t="s">
        <v>6276</v>
      </c>
      <c r="B483" s="11"/>
      <c r="C483" s="308">
        <v>998</v>
      </c>
      <c r="D483" s="308">
        <v>383895.71920895</v>
      </c>
      <c r="E483" s="309">
        <v>20587.115374076799</v>
      </c>
      <c r="F483" s="310">
        <v>10.499261138296401</v>
      </c>
      <c r="G483" s="311">
        <v>0.56304222626411404</v>
      </c>
    </row>
    <row r="484" spans="1:7" x14ac:dyDescent="0.3">
      <c r="A484" s="6" t="s">
        <v>6278</v>
      </c>
      <c r="B484" s="6"/>
      <c r="C484" s="304">
        <v>865</v>
      </c>
      <c r="D484" s="304">
        <v>344089.54938838602</v>
      </c>
      <c r="E484" s="305">
        <v>17325.304576241098</v>
      </c>
      <c r="F484" s="306">
        <v>9.41059213015361</v>
      </c>
      <c r="G484" s="307">
        <v>0.47383413761764298</v>
      </c>
    </row>
    <row r="485" spans="1:7" x14ac:dyDescent="0.3">
      <c r="A485" s="11" t="s">
        <v>6274</v>
      </c>
      <c r="B485" s="11"/>
      <c r="C485" s="308">
        <v>915</v>
      </c>
      <c r="D485" s="308">
        <v>336766.82703949203</v>
      </c>
      <c r="E485" s="309">
        <v>19655.159936710799</v>
      </c>
      <c r="F485" s="310">
        <v>9.2103211442132107</v>
      </c>
      <c r="G485" s="311">
        <v>0.53755394125190503</v>
      </c>
    </row>
    <row r="486" spans="1:7" x14ac:dyDescent="0.3">
      <c r="A486" s="6" t="s">
        <v>6279</v>
      </c>
      <c r="B486" s="6"/>
      <c r="C486" s="304">
        <v>690</v>
      </c>
      <c r="D486" s="304">
        <v>284906.04461426899</v>
      </c>
      <c r="E486" s="305">
        <v>19800.7406767621</v>
      </c>
      <c r="F486" s="306">
        <v>7.7919674865043396</v>
      </c>
      <c r="G486" s="307">
        <v>0.54153546573896605</v>
      </c>
    </row>
    <row r="487" spans="1:7" x14ac:dyDescent="0.3">
      <c r="A487" s="11" t="s">
        <v>1152</v>
      </c>
      <c r="B487" s="11"/>
      <c r="C487" s="308">
        <v>793</v>
      </c>
      <c r="D487" s="308">
        <v>269923.02547132602</v>
      </c>
      <c r="E487" s="309">
        <v>12340.298521091499</v>
      </c>
      <c r="F487" s="310">
        <v>7.3821931057271897</v>
      </c>
      <c r="G487" s="311">
        <v>0.33749794596420102</v>
      </c>
    </row>
    <row r="488" spans="1:7" x14ac:dyDescent="0.3">
      <c r="A488" s="6" t="s">
        <v>6275</v>
      </c>
      <c r="B488" s="6"/>
      <c r="C488" s="304">
        <v>596</v>
      </c>
      <c r="D488" s="304">
        <v>238175.281685597</v>
      </c>
      <c r="E488" s="305">
        <v>9809.2262783031492</v>
      </c>
      <c r="F488" s="306">
        <v>6.51391602974169</v>
      </c>
      <c r="G488" s="307">
        <v>0.26827501091380501</v>
      </c>
    </row>
    <row r="489" spans="1:7" x14ac:dyDescent="0.3">
      <c r="A489" s="11" t="s">
        <v>6273</v>
      </c>
      <c r="B489" s="11"/>
      <c r="C489" s="308">
        <v>573</v>
      </c>
      <c r="D489" s="308">
        <v>233126.288719156</v>
      </c>
      <c r="E489" s="309">
        <v>14701.9632830962</v>
      </c>
      <c r="F489" s="310">
        <v>6.3758298438646497</v>
      </c>
      <c r="G489" s="311">
        <v>0.40208771296784701</v>
      </c>
    </row>
    <row r="490" spans="1:7" x14ac:dyDescent="0.3">
      <c r="A490" s="6" t="s">
        <v>6277</v>
      </c>
      <c r="B490" s="6"/>
      <c r="C490" s="304">
        <v>515</v>
      </c>
      <c r="D490" s="304">
        <v>222790.780219165</v>
      </c>
      <c r="E490" s="305">
        <v>10197.918145269799</v>
      </c>
      <c r="F490" s="306">
        <v>6.0931614073368898</v>
      </c>
      <c r="G490" s="307">
        <v>0.278905443110403</v>
      </c>
    </row>
    <row r="491" spans="1:7" x14ac:dyDescent="0.3">
      <c r="A491" s="11" t="s">
        <v>995</v>
      </c>
      <c r="B491" s="11"/>
      <c r="C491" s="308">
        <v>444</v>
      </c>
      <c r="D491" s="308">
        <v>203115.27245061201</v>
      </c>
      <c r="E491" s="309">
        <v>21482.467550994799</v>
      </c>
      <c r="F491" s="310">
        <v>5.5550509680845597</v>
      </c>
      <c r="G491" s="311">
        <v>0.587529439446834</v>
      </c>
    </row>
    <row r="492" spans="1:7" x14ac:dyDescent="0.3">
      <c r="A492" s="6" t="s">
        <v>6280</v>
      </c>
      <c r="B492" s="6"/>
      <c r="C492" s="304">
        <v>413</v>
      </c>
      <c r="D492" s="304">
        <v>193733.71142315099</v>
      </c>
      <c r="E492" s="305">
        <v>10783.168500522201</v>
      </c>
      <c r="F492" s="306">
        <v>5.2984722823020096</v>
      </c>
      <c r="G492" s="307">
        <v>0.294911603126294</v>
      </c>
    </row>
    <row r="493" spans="1:7" x14ac:dyDescent="0.3">
      <c r="A493" s="11" t="s">
        <v>999</v>
      </c>
      <c r="B493" s="11"/>
      <c r="C493" s="308">
        <v>325</v>
      </c>
      <c r="D493" s="308">
        <v>144640.339163472</v>
      </c>
      <c r="E493" s="309">
        <v>11802.1664493769</v>
      </c>
      <c r="F493" s="310">
        <v>3.95580522527912</v>
      </c>
      <c r="G493" s="311">
        <v>0.32278043580424498</v>
      </c>
    </row>
    <row r="494" spans="1:7" x14ac:dyDescent="0.3">
      <c r="A494" s="6" t="s">
        <v>997</v>
      </c>
      <c r="B494" s="6"/>
      <c r="C494" s="304">
        <v>248</v>
      </c>
      <c r="D494" s="304">
        <v>127385.995799114</v>
      </c>
      <c r="E494" s="305">
        <v>11901.3410540312</v>
      </c>
      <c r="F494" s="306">
        <v>3.4839118237962499</v>
      </c>
      <c r="G494" s="307">
        <v>0.325492787155018</v>
      </c>
    </row>
    <row r="495" spans="1:7" x14ac:dyDescent="0.3">
      <c r="A495" s="11" t="s">
        <v>1001</v>
      </c>
      <c r="B495" s="11"/>
      <c r="C495" s="308">
        <v>201</v>
      </c>
      <c r="D495" s="308">
        <v>101124.170794089</v>
      </c>
      <c r="E495" s="309">
        <v>10604.952588116699</v>
      </c>
      <c r="F495" s="310">
        <v>2.7656705283106899</v>
      </c>
      <c r="G495" s="311">
        <v>0.29003753105485103</v>
      </c>
    </row>
    <row r="496" spans="1:7" x14ac:dyDescent="0.3">
      <c r="A496" s="6" t="s">
        <v>1003</v>
      </c>
      <c r="B496" s="6"/>
      <c r="C496" s="304">
        <v>200</v>
      </c>
      <c r="D496" s="304">
        <v>100024.10173043099</v>
      </c>
      <c r="E496" s="305">
        <v>14118.528394655699</v>
      </c>
      <c r="F496" s="306">
        <v>2.73558446120551</v>
      </c>
      <c r="G496" s="307">
        <v>0.38613120461304501</v>
      </c>
    </row>
    <row r="497" spans="1:7" x14ac:dyDescent="0.3">
      <c r="A497" s="11" t="s">
        <v>1005</v>
      </c>
      <c r="B497" s="11"/>
      <c r="C497" s="308">
        <v>132</v>
      </c>
      <c r="D497" s="308">
        <v>74512.286318188606</v>
      </c>
      <c r="E497" s="309">
        <v>8894.4131570797308</v>
      </c>
      <c r="F497" s="310">
        <v>2.0378553678020102</v>
      </c>
      <c r="G497" s="311">
        <v>0.24325555544226199</v>
      </c>
    </row>
    <row r="498" spans="1:7" x14ac:dyDescent="0.3">
      <c r="A498" s="6" t="s">
        <v>1007</v>
      </c>
      <c r="B498" s="6"/>
      <c r="C498" s="304">
        <v>129</v>
      </c>
      <c r="D498" s="304">
        <v>68509.381475469796</v>
      </c>
      <c r="E498" s="305">
        <v>7681.5736969455902</v>
      </c>
      <c r="F498" s="306">
        <v>1.8736804047106801</v>
      </c>
      <c r="G498" s="307">
        <v>0.21008530223647501</v>
      </c>
    </row>
    <row r="499" spans="1:7" x14ac:dyDescent="0.3">
      <c r="A499" s="11" t="s">
        <v>1013</v>
      </c>
      <c r="B499" s="11"/>
      <c r="C499" s="308">
        <v>63</v>
      </c>
      <c r="D499" s="308">
        <v>47643.632927376799</v>
      </c>
      <c r="E499" s="309">
        <v>8701.0993378115199</v>
      </c>
      <c r="F499" s="310">
        <v>1.3030177692849001</v>
      </c>
      <c r="G499" s="311">
        <v>0.23796856689672399</v>
      </c>
    </row>
    <row r="500" spans="1:7" x14ac:dyDescent="0.3">
      <c r="A500" s="6" t="s">
        <v>1011</v>
      </c>
      <c r="B500" s="6"/>
      <c r="C500" s="304">
        <v>74</v>
      </c>
      <c r="D500" s="304">
        <v>44941.084507448497</v>
      </c>
      <c r="E500" s="305">
        <v>9013.1490120868493</v>
      </c>
      <c r="F500" s="306">
        <v>1.2291050888877699</v>
      </c>
      <c r="G500" s="307">
        <v>0.24650289237732201</v>
      </c>
    </row>
    <row r="501" spans="1:7" x14ac:dyDescent="0.3">
      <c r="A501" s="11" t="s">
        <v>1009</v>
      </c>
      <c r="B501" s="11"/>
      <c r="C501" s="308">
        <v>78</v>
      </c>
      <c r="D501" s="308">
        <v>41826.951211443797</v>
      </c>
      <c r="E501" s="309">
        <v>6490.26417673996</v>
      </c>
      <c r="F501" s="310">
        <v>1.1439358695966799</v>
      </c>
      <c r="G501" s="311">
        <v>0.17750387680419499</v>
      </c>
    </row>
    <row r="502" spans="1:7" x14ac:dyDescent="0.3">
      <c r="A502" s="6" t="s">
        <v>6272</v>
      </c>
      <c r="B502" s="6"/>
      <c r="C502" s="304">
        <v>104</v>
      </c>
      <c r="D502" s="304">
        <v>31906.453391354298</v>
      </c>
      <c r="E502" s="305">
        <v>5132.8430093258603</v>
      </c>
      <c r="F502" s="306">
        <v>0.87261766513832495</v>
      </c>
      <c r="G502" s="307">
        <v>0.14037942191134301</v>
      </c>
    </row>
    <row r="503" spans="1:7" x14ac:dyDescent="0.3">
      <c r="A503" s="11" t="s">
        <v>1155</v>
      </c>
      <c r="B503" s="11"/>
      <c r="C503" s="308">
        <v>50</v>
      </c>
      <c r="D503" s="308">
        <v>28908.773495676</v>
      </c>
      <c r="E503" s="309">
        <v>6224.9697808568399</v>
      </c>
      <c r="F503" s="310">
        <v>0.79063335935184298</v>
      </c>
      <c r="G503" s="311">
        <v>0.17024827325997399</v>
      </c>
    </row>
    <row r="504" spans="1:7" x14ac:dyDescent="0.3">
      <c r="A504" s="6" t="s">
        <v>1051</v>
      </c>
      <c r="B504" s="6"/>
      <c r="C504" s="304">
        <v>33</v>
      </c>
      <c r="D504" s="304">
        <v>20524.799244702099</v>
      </c>
      <c r="E504" s="305">
        <v>4637.3441275488904</v>
      </c>
      <c r="F504" s="306">
        <v>0.56133792667780502</v>
      </c>
      <c r="G504" s="307">
        <v>0.12682789764785199</v>
      </c>
    </row>
    <row r="505" spans="1:7" x14ac:dyDescent="0.3">
      <c r="A505" s="11" t="s">
        <v>1047</v>
      </c>
      <c r="B505" s="11"/>
      <c r="C505" s="308">
        <v>36</v>
      </c>
      <c r="D505" s="308">
        <v>19967.534138262101</v>
      </c>
      <c r="E505" s="309">
        <v>4524.2021761946198</v>
      </c>
      <c r="F505" s="310">
        <v>0.54609714231107398</v>
      </c>
      <c r="G505" s="311">
        <v>0.123733549798877</v>
      </c>
    </row>
    <row r="506" spans="1:7" x14ac:dyDescent="0.3">
      <c r="A506" s="6" t="s">
        <v>1049</v>
      </c>
      <c r="B506" s="6"/>
      <c r="C506" s="304">
        <v>38</v>
      </c>
      <c r="D506" s="304">
        <v>18516.322666675798</v>
      </c>
      <c r="E506" s="305">
        <v>1856.34599696856</v>
      </c>
      <c r="F506" s="306">
        <v>0.50640759266339297</v>
      </c>
      <c r="G506" s="307">
        <v>5.0769676268767702E-2</v>
      </c>
    </row>
    <row r="507" spans="1:7" x14ac:dyDescent="0.3">
      <c r="A507" s="11" t="s">
        <v>3038</v>
      </c>
      <c r="B507" s="11"/>
      <c r="C507" s="308">
        <v>14</v>
      </c>
      <c r="D507" s="308">
        <v>15061.889375355</v>
      </c>
      <c r="E507" s="309">
        <v>4072.9396659985</v>
      </c>
      <c r="F507" s="310">
        <v>0.41193142271511302</v>
      </c>
      <c r="G507" s="311">
        <v>0.111391857252174</v>
      </c>
    </row>
    <row r="508" spans="1:7" x14ac:dyDescent="0.3">
      <c r="A508" s="6" t="s">
        <v>3036</v>
      </c>
      <c r="B508" s="6"/>
      <c r="C508" s="304">
        <v>12</v>
      </c>
      <c r="D508" s="304">
        <v>8897.9710677451294</v>
      </c>
      <c r="E508" s="305">
        <v>3373.9269415612998</v>
      </c>
      <c r="F508" s="306">
        <v>0.24335286164108999</v>
      </c>
      <c r="G508" s="307">
        <v>9.2274381423110105E-2</v>
      </c>
    </row>
    <row r="509" spans="1:7" x14ac:dyDescent="0.3">
      <c r="A509" s="11" t="s">
        <v>1053</v>
      </c>
      <c r="B509" s="11"/>
      <c r="C509" s="308">
        <v>19</v>
      </c>
      <c r="D509" s="308">
        <v>7742.3140735623701</v>
      </c>
      <c r="E509" s="309">
        <v>2280.5861382120502</v>
      </c>
      <c r="F509" s="310">
        <v>0.21174650616198801</v>
      </c>
      <c r="G509" s="311">
        <v>6.2372327211167998E-2</v>
      </c>
    </row>
    <row r="510" spans="1:7" x14ac:dyDescent="0.3">
      <c r="A510" s="6" t="s">
        <v>3047</v>
      </c>
      <c r="B510" s="6"/>
      <c r="C510" s="304">
        <v>4</v>
      </c>
      <c r="D510" s="304">
        <v>7211.5338244615896</v>
      </c>
      <c r="E510" s="305">
        <v>3616.76180784806</v>
      </c>
      <c r="F510" s="306">
        <v>0.197230062858472</v>
      </c>
      <c r="G510" s="307">
        <v>9.8915733610838594E-2</v>
      </c>
    </row>
    <row r="511" spans="1:7" x14ac:dyDescent="0.3">
      <c r="A511" s="11" t="s">
        <v>3034</v>
      </c>
      <c r="B511" s="11"/>
      <c r="C511" s="308">
        <v>11</v>
      </c>
      <c r="D511" s="308">
        <v>7161.8188510478703</v>
      </c>
      <c r="E511" s="309">
        <v>3197.7047457590002</v>
      </c>
      <c r="F511" s="310">
        <v>0.19587039547424201</v>
      </c>
      <c r="G511" s="311">
        <v>8.7454836011390299E-2</v>
      </c>
    </row>
    <row r="512" spans="1:7" x14ac:dyDescent="0.3">
      <c r="A512" s="6" t="s">
        <v>3032</v>
      </c>
      <c r="B512" s="6"/>
      <c r="C512" s="304">
        <v>15</v>
      </c>
      <c r="D512" s="304">
        <v>6434.0503259511997</v>
      </c>
      <c r="E512" s="305">
        <v>3466.2500102252302</v>
      </c>
      <c r="F512" s="306">
        <v>0.175966469978621</v>
      </c>
      <c r="G512" s="307">
        <v>9.4799348382858695E-2</v>
      </c>
    </row>
    <row r="513" spans="1:7" x14ac:dyDescent="0.3">
      <c r="A513" s="11" t="s">
        <v>1055</v>
      </c>
      <c r="B513" s="11"/>
      <c r="C513" s="308">
        <v>5</v>
      </c>
      <c r="D513" s="308">
        <v>4553.1395832055796</v>
      </c>
      <c r="E513" s="309">
        <v>2215.0397646343699</v>
      </c>
      <c r="F513" s="310">
        <v>0.124524966263481</v>
      </c>
      <c r="G513" s="311">
        <v>6.0579682859002698E-2</v>
      </c>
    </row>
    <row r="514" spans="1:7" x14ac:dyDescent="0.3">
      <c r="A514" s="6" t="s">
        <v>3051</v>
      </c>
      <c r="B514" s="6"/>
      <c r="C514" s="304">
        <v>6</v>
      </c>
      <c r="D514" s="304">
        <v>3267.3258251765001</v>
      </c>
      <c r="E514" s="305">
        <v>1479.07277206971</v>
      </c>
      <c r="F514" s="306">
        <v>8.9358920524342605E-2</v>
      </c>
      <c r="G514" s="307">
        <v>4.0451535402642999E-2</v>
      </c>
    </row>
    <row r="515" spans="1:7" x14ac:dyDescent="0.3">
      <c r="A515" s="11" t="s">
        <v>3055</v>
      </c>
      <c r="B515" s="11"/>
      <c r="C515" s="308">
        <v>2</v>
      </c>
      <c r="D515" s="308">
        <v>3078.0223493762601</v>
      </c>
      <c r="E515" s="309">
        <v>2148.54796647174</v>
      </c>
      <c r="F515" s="310">
        <v>8.4181611876803106E-2</v>
      </c>
      <c r="G515" s="311">
        <v>5.8761181850700402E-2</v>
      </c>
    </row>
    <row r="516" spans="1:7" x14ac:dyDescent="0.3">
      <c r="A516" s="6" t="s">
        <v>3065</v>
      </c>
      <c r="B516" s="6"/>
      <c r="C516" s="304">
        <v>1</v>
      </c>
      <c r="D516" s="304">
        <v>1993.34788432087</v>
      </c>
      <c r="E516" s="305">
        <v>2013.89972364716</v>
      </c>
      <c r="F516" s="306">
        <v>5.4516575543173101E-2</v>
      </c>
      <c r="G516" s="307">
        <v>5.5078652995882597E-2</v>
      </c>
    </row>
    <row r="517" spans="1:7" x14ac:dyDescent="0.3">
      <c r="A517" s="11" t="s">
        <v>3049</v>
      </c>
      <c r="B517" s="11"/>
      <c r="C517" s="308">
        <v>4</v>
      </c>
      <c r="D517" s="308">
        <v>1706.0100959638701</v>
      </c>
      <c r="E517" s="309">
        <v>1199.1873106145799</v>
      </c>
      <c r="F517" s="310">
        <v>4.6658101681893403E-2</v>
      </c>
      <c r="G517" s="311">
        <v>3.2796877115008803E-2</v>
      </c>
    </row>
    <row r="518" spans="1:7" x14ac:dyDescent="0.3">
      <c r="A518" s="6" t="s">
        <v>3040</v>
      </c>
      <c r="B518" s="6"/>
      <c r="C518" s="304">
        <v>2</v>
      </c>
      <c r="D518" s="304">
        <v>1546.6704992637899</v>
      </c>
      <c r="E518" s="305">
        <v>1092.9831998049999</v>
      </c>
      <c r="F518" s="306">
        <v>4.2300282743791703E-2</v>
      </c>
      <c r="G518" s="307">
        <v>2.9892274022148099E-2</v>
      </c>
    </row>
    <row r="519" spans="1:7" x14ac:dyDescent="0.3">
      <c r="A519" s="11" t="s">
        <v>1157</v>
      </c>
      <c r="B519" s="11"/>
      <c r="C519" s="308">
        <v>6</v>
      </c>
      <c r="D519" s="308">
        <v>1509.3014432945499</v>
      </c>
      <c r="E519" s="309">
        <v>1022.76369087174</v>
      </c>
      <c r="F519" s="310">
        <v>4.1278266978882497E-2</v>
      </c>
      <c r="G519" s="311">
        <v>2.79718229089852E-2</v>
      </c>
    </row>
    <row r="520" spans="1:7" x14ac:dyDescent="0.3">
      <c r="A520" s="6" t="s">
        <v>1061</v>
      </c>
      <c r="B520" s="6"/>
      <c r="C520" s="304">
        <v>5</v>
      </c>
      <c r="D520" s="304">
        <v>1323.15280289579</v>
      </c>
      <c r="E520" s="305">
        <v>762.593663686274</v>
      </c>
      <c r="F520" s="306">
        <v>3.6187240722813201E-2</v>
      </c>
      <c r="G520" s="307">
        <v>2.0856367020582599E-2</v>
      </c>
    </row>
    <row r="521" spans="1:7" x14ac:dyDescent="0.3">
      <c r="A521" s="11" t="s">
        <v>1063</v>
      </c>
      <c r="B521" s="11"/>
      <c r="C521" s="308">
        <v>2</v>
      </c>
      <c r="D521" s="308">
        <v>1122.0113435532</v>
      </c>
      <c r="E521" s="309">
        <v>703.87599498995496</v>
      </c>
      <c r="F521" s="310">
        <v>3.0686172068732899E-2</v>
      </c>
      <c r="G521" s="311">
        <v>1.9250482645667099E-2</v>
      </c>
    </row>
    <row r="522" spans="1:7" x14ac:dyDescent="0.3">
      <c r="A522" s="6" t="s">
        <v>1067</v>
      </c>
      <c r="B522" s="6"/>
      <c r="C522" s="304">
        <v>2</v>
      </c>
      <c r="D522" s="304">
        <v>864.40005556517497</v>
      </c>
      <c r="E522" s="305">
        <v>865.64957132579502</v>
      </c>
      <c r="F522" s="306">
        <v>2.36406957859225E-2</v>
      </c>
      <c r="G522" s="307">
        <v>2.3674869108548199E-2</v>
      </c>
    </row>
    <row r="523" spans="1:7" x14ac:dyDescent="0.3">
      <c r="A523" s="11" t="s">
        <v>1057</v>
      </c>
      <c r="B523" s="11"/>
      <c r="C523" s="308">
        <v>3</v>
      </c>
      <c r="D523" s="308">
        <v>736.66511074919197</v>
      </c>
      <c r="E523" s="309">
        <v>409.093065971692</v>
      </c>
      <c r="F523" s="310">
        <v>2.01472404671907E-2</v>
      </c>
      <c r="G523" s="311">
        <v>1.1188389749053999E-2</v>
      </c>
    </row>
    <row r="524" spans="1:7" x14ac:dyDescent="0.3">
      <c r="A524" s="6" t="s">
        <v>1059</v>
      </c>
      <c r="B524" s="6"/>
      <c r="C524" s="304">
        <v>3</v>
      </c>
      <c r="D524" s="304">
        <v>563.79015531232801</v>
      </c>
      <c r="E524" s="305">
        <v>564.15940331542697</v>
      </c>
      <c r="F524" s="306">
        <v>1.5419239578972699E-2</v>
      </c>
      <c r="G524" s="307">
        <v>1.5429338236017699E-2</v>
      </c>
    </row>
    <row r="525" spans="1:7" x14ac:dyDescent="0.3">
      <c r="A525" s="11" t="s">
        <v>1075</v>
      </c>
      <c r="B525" s="11"/>
      <c r="C525" s="308">
        <v>1</v>
      </c>
      <c r="D525" s="308">
        <v>480.360461135224</v>
      </c>
      <c r="E525" s="309">
        <v>486.95850189652799</v>
      </c>
      <c r="F525" s="310">
        <v>1.3137499767810999E-2</v>
      </c>
      <c r="G525" s="311">
        <v>1.3317951253690501E-2</v>
      </c>
    </row>
    <row r="526" spans="1:7" x14ac:dyDescent="0.3">
      <c r="A526" s="6" t="s">
        <v>3061</v>
      </c>
      <c r="B526" s="6"/>
      <c r="C526" s="304">
        <v>1</v>
      </c>
      <c r="D526" s="304">
        <v>198.89778825969699</v>
      </c>
      <c r="E526" s="305">
        <v>200.23222033125401</v>
      </c>
      <c r="F526" s="306">
        <v>5.4397059260551999E-3</v>
      </c>
      <c r="G526" s="307">
        <v>5.4762016463499302E-3</v>
      </c>
    </row>
    <row r="527" spans="1:7" x14ac:dyDescent="0.3">
      <c r="A527" s="11" t="s">
        <v>6269</v>
      </c>
      <c r="B527" s="11" t="s">
        <v>6270</v>
      </c>
      <c r="C527" s="308">
        <v>8631</v>
      </c>
      <c r="D527" s="308">
        <v>3656407</v>
      </c>
      <c r="E527" s="309">
        <v>1.33159123235613E-8</v>
      </c>
      <c r="F527" s="310">
        <v>100</v>
      </c>
      <c r="G527" s="311">
        <v>1.02786679142825E-14</v>
      </c>
    </row>
    <row r="528" spans="1:7" x14ac:dyDescent="0.3">
      <c r="A528" s="6" t="s">
        <v>6269</v>
      </c>
      <c r="B528" s="6" t="s">
        <v>6271</v>
      </c>
      <c r="C528" s="304">
        <v>8631</v>
      </c>
      <c r="D528" s="304">
        <v>3656407</v>
      </c>
      <c r="E528" s="305">
        <v>0</v>
      </c>
      <c r="F528" s="306">
        <v>100</v>
      </c>
      <c r="G528" s="307">
        <v>0</v>
      </c>
    </row>
    <row r="529" spans="1:7" x14ac:dyDescent="0.3">
      <c r="A529" s="3299" t="s">
        <v>258</v>
      </c>
      <c r="B529" s="3298"/>
      <c r="C529" s="3298"/>
      <c r="D529" s="3298"/>
      <c r="E529" s="3298"/>
      <c r="F529" s="3298"/>
      <c r="G529" s="3298"/>
    </row>
    <row r="530" spans="1:7" x14ac:dyDescent="0.3">
      <c r="A530" s="11" t="s">
        <v>6393</v>
      </c>
      <c r="B530" s="11"/>
      <c r="C530" s="316">
        <v>8611</v>
      </c>
      <c r="D530" s="316">
        <v>3651094.1401852299</v>
      </c>
      <c r="E530" s="317">
        <v>1563.7333978674501</v>
      </c>
      <c r="F530" s="318">
        <v>99.854697252937896</v>
      </c>
      <c r="G530" s="319">
        <v>4.2766940274065697E-2</v>
      </c>
    </row>
    <row r="531" spans="1:7" x14ac:dyDescent="0.3">
      <c r="A531" s="6" t="s">
        <v>4144</v>
      </c>
      <c r="B531" s="6"/>
      <c r="C531" s="312">
        <v>5</v>
      </c>
      <c r="D531" s="312">
        <v>1679.70737862295</v>
      </c>
      <c r="E531" s="313">
        <v>849.68676772808897</v>
      </c>
      <c r="F531" s="314">
        <v>4.5938742011569098E-2</v>
      </c>
      <c r="G531" s="315">
        <v>2.32382983548628E-2</v>
      </c>
    </row>
    <row r="532" spans="1:7" x14ac:dyDescent="0.3">
      <c r="A532" s="11" t="s">
        <v>6394</v>
      </c>
      <c r="B532" s="11"/>
      <c r="C532" s="316">
        <v>6</v>
      </c>
      <c r="D532" s="316">
        <v>1547.35800525952</v>
      </c>
      <c r="E532" s="317">
        <v>769.41292382617598</v>
      </c>
      <c r="F532" s="318">
        <v>4.2319085519186603E-2</v>
      </c>
      <c r="G532" s="319">
        <v>2.10428686912091E-2</v>
      </c>
    </row>
    <row r="533" spans="1:7" x14ac:dyDescent="0.3">
      <c r="A533" s="6" t="s">
        <v>6395</v>
      </c>
      <c r="B533" s="6"/>
      <c r="C533" s="312">
        <v>1</v>
      </c>
      <c r="D533" s="312">
        <v>907.38619709857301</v>
      </c>
      <c r="E533" s="313">
        <v>905.47961331886995</v>
      </c>
      <c r="F533" s="314">
        <v>2.48163346448733E-2</v>
      </c>
      <c r="G533" s="315">
        <v>2.4764191002775899E-2</v>
      </c>
    </row>
    <row r="534" spans="1:7" x14ac:dyDescent="0.3">
      <c r="A534" s="11" t="s">
        <v>6396</v>
      </c>
      <c r="B534" s="11"/>
      <c r="C534" s="316">
        <v>1</v>
      </c>
      <c r="D534" s="316">
        <v>501.10180310389399</v>
      </c>
      <c r="E534" s="317">
        <v>503.90291310253502</v>
      </c>
      <c r="F534" s="318">
        <v>1.3704759976225099E-2</v>
      </c>
      <c r="G534" s="319">
        <v>1.37813682421715E-2</v>
      </c>
    </row>
    <row r="535" spans="1:7" x14ac:dyDescent="0.3">
      <c r="A535" s="6" t="s">
        <v>6397</v>
      </c>
      <c r="B535" s="6"/>
      <c r="C535" s="312">
        <v>1</v>
      </c>
      <c r="D535" s="312">
        <v>319.399872258958</v>
      </c>
      <c r="E535" s="313">
        <v>320.74879731970498</v>
      </c>
      <c r="F535" s="314">
        <v>8.7353479046221594E-3</v>
      </c>
      <c r="G535" s="315">
        <v>8.7722399973445102E-3</v>
      </c>
    </row>
    <row r="536" spans="1:7" x14ac:dyDescent="0.3">
      <c r="A536" s="11" t="s">
        <v>6398</v>
      </c>
      <c r="B536" s="11"/>
      <c r="C536" s="316">
        <v>2</v>
      </c>
      <c r="D536" s="316">
        <v>165.52024313733901</v>
      </c>
      <c r="E536" s="317">
        <v>165.88197193380799</v>
      </c>
      <c r="F536" s="318">
        <v>4.5268550010253003E-3</v>
      </c>
      <c r="G536" s="319">
        <v>4.5367480133860398E-3</v>
      </c>
    </row>
    <row r="537" spans="1:7" x14ac:dyDescent="0.3">
      <c r="A537" s="6" t="s">
        <v>6399</v>
      </c>
      <c r="B537" s="6"/>
      <c r="C537" s="312">
        <v>1</v>
      </c>
      <c r="D537" s="312">
        <v>103.663997568479</v>
      </c>
      <c r="E537" s="313">
        <v>104.769510062752</v>
      </c>
      <c r="F537" s="314">
        <v>2.8351328932604901E-3</v>
      </c>
      <c r="G537" s="315">
        <v>2.8653678341265601E-3</v>
      </c>
    </row>
    <row r="538" spans="1:7" x14ac:dyDescent="0.3">
      <c r="A538" s="11" t="s">
        <v>6400</v>
      </c>
      <c r="B538" s="11"/>
      <c r="C538" s="316">
        <v>1</v>
      </c>
      <c r="D538" s="316">
        <v>88.722317719766394</v>
      </c>
      <c r="E538" s="317">
        <v>89.063898348526905</v>
      </c>
      <c r="F538" s="318">
        <v>2.4264891112987801E-3</v>
      </c>
      <c r="G538" s="319">
        <v>2.4358310863239999E-3</v>
      </c>
    </row>
    <row r="539" spans="1:7" x14ac:dyDescent="0.3">
      <c r="A539" s="6" t="s">
        <v>6269</v>
      </c>
      <c r="B539" s="6" t="s">
        <v>6270</v>
      </c>
      <c r="C539" s="312">
        <v>8629</v>
      </c>
      <c r="D539" s="312">
        <v>3656407</v>
      </c>
      <c r="E539" s="313">
        <v>9.7965472091048295E-8</v>
      </c>
      <c r="F539" s="314">
        <v>100</v>
      </c>
      <c r="G539" s="315">
        <v>1.45362315675074E-14</v>
      </c>
    </row>
    <row r="540" spans="1:7" x14ac:dyDescent="0.3">
      <c r="A540" s="11" t="s">
        <v>6269</v>
      </c>
      <c r="B540" s="11" t="s">
        <v>6271</v>
      </c>
      <c r="C540" s="316">
        <v>8629</v>
      </c>
      <c r="D540" s="316">
        <v>3656407</v>
      </c>
      <c r="E540" s="317">
        <v>0</v>
      </c>
      <c r="F540" s="318">
        <v>100</v>
      </c>
      <c r="G540" s="319">
        <v>0</v>
      </c>
    </row>
    <row r="541" spans="1:7" x14ac:dyDescent="0.3">
      <c r="A541" s="3299" t="s">
        <v>260</v>
      </c>
      <c r="B541" s="3298"/>
      <c r="C541" s="3298"/>
      <c r="D541" s="3298"/>
      <c r="E541" s="3298"/>
      <c r="F541" s="3298"/>
      <c r="G541" s="3298"/>
    </row>
    <row r="542" spans="1:7" x14ac:dyDescent="0.3">
      <c r="A542" s="11" t="s">
        <v>1001</v>
      </c>
      <c r="B542" s="11" t="s">
        <v>3021</v>
      </c>
      <c r="C542" s="324">
        <v>8611</v>
      </c>
      <c r="D542" s="324">
        <v>3651094.1401852299</v>
      </c>
      <c r="E542" s="325">
        <v>1563.7333978674501</v>
      </c>
      <c r="F542" s="326">
        <v>99.854697252937896</v>
      </c>
      <c r="G542" s="327">
        <v>4.2766940274065697E-2</v>
      </c>
    </row>
    <row r="543" spans="1:7" x14ac:dyDescent="0.3">
      <c r="A543" s="6" t="s">
        <v>3061</v>
      </c>
      <c r="B543" s="6" t="s">
        <v>3062</v>
      </c>
      <c r="C543" s="320">
        <v>5</v>
      </c>
      <c r="D543" s="320">
        <v>1679.70737862295</v>
      </c>
      <c r="E543" s="321">
        <v>849.68676772808897</v>
      </c>
      <c r="F543" s="322">
        <v>4.5938742011569098E-2</v>
      </c>
      <c r="G543" s="323">
        <v>2.32382983548628E-2</v>
      </c>
    </row>
    <row r="544" spans="1:7" x14ac:dyDescent="0.3">
      <c r="A544" s="11" t="s">
        <v>999</v>
      </c>
      <c r="B544" s="11" t="s">
        <v>3020</v>
      </c>
      <c r="C544" s="324">
        <v>6</v>
      </c>
      <c r="D544" s="324">
        <v>1547.35800525952</v>
      </c>
      <c r="E544" s="325">
        <v>769.41292382617598</v>
      </c>
      <c r="F544" s="326">
        <v>4.2319085519186603E-2</v>
      </c>
      <c r="G544" s="327">
        <v>2.10428686912091E-2</v>
      </c>
    </row>
    <row r="545" spans="1:7" x14ac:dyDescent="0.3">
      <c r="A545" s="6" t="s">
        <v>3065</v>
      </c>
      <c r="B545" s="6" t="s">
        <v>3066</v>
      </c>
      <c r="C545" s="320">
        <v>1</v>
      </c>
      <c r="D545" s="320">
        <v>907.38619709857301</v>
      </c>
      <c r="E545" s="321">
        <v>905.47961331886995</v>
      </c>
      <c r="F545" s="322">
        <v>2.48163346448733E-2</v>
      </c>
      <c r="G545" s="323">
        <v>2.4764191002775899E-2</v>
      </c>
    </row>
    <row r="546" spans="1:7" x14ac:dyDescent="0.3">
      <c r="A546" s="11" t="s">
        <v>3049</v>
      </c>
      <c r="B546" s="11" t="s">
        <v>3050</v>
      </c>
      <c r="C546" s="324">
        <v>1</v>
      </c>
      <c r="D546" s="324">
        <v>501.10180310389399</v>
      </c>
      <c r="E546" s="325">
        <v>503.90291310253502</v>
      </c>
      <c r="F546" s="326">
        <v>1.3704759976225099E-2</v>
      </c>
      <c r="G546" s="327">
        <v>1.37813682421715E-2</v>
      </c>
    </row>
    <row r="547" spans="1:7" x14ac:dyDescent="0.3">
      <c r="A547" s="6" t="s">
        <v>1061</v>
      </c>
      <c r="B547" s="6" t="s">
        <v>3046</v>
      </c>
      <c r="C547" s="320">
        <v>1</v>
      </c>
      <c r="D547" s="320">
        <v>319.399872258958</v>
      </c>
      <c r="E547" s="321">
        <v>320.74879731970498</v>
      </c>
      <c r="F547" s="322">
        <v>8.7353479046221594E-3</v>
      </c>
      <c r="G547" s="323">
        <v>8.7722399973445102E-3</v>
      </c>
    </row>
    <row r="548" spans="1:7" x14ac:dyDescent="0.3">
      <c r="A548" s="11" t="s">
        <v>1009</v>
      </c>
      <c r="B548" s="11" t="s">
        <v>3024</v>
      </c>
      <c r="C548" s="324">
        <v>2</v>
      </c>
      <c r="D548" s="324">
        <v>165.52024313733901</v>
      </c>
      <c r="E548" s="325">
        <v>165.88197193380799</v>
      </c>
      <c r="F548" s="326">
        <v>4.5268550010253003E-3</v>
      </c>
      <c r="G548" s="327">
        <v>4.5367480133860398E-3</v>
      </c>
    </row>
    <row r="549" spans="1:7" x14ac:dyDescent="0.3">
      <c r="A549" s="6" t="s">
        <v>968</v>
      </c>
      <c r="B549" s="6" t="s">
        <v>3013</v>
      </c>
      <c r="C549" s="320">
        <v>1</v>
      </c>
      <c r="D549" s="320">
        <v>103.663997568479</v>
      </c>
      <c r="E549" s="321">
        <v>104.769510062752</v>
      </c>
      <c r="F549" s="322">
        <v>2.8351328932604901E-3</v>
      </c>
      <c r="G549" s="323">
        <v>2.8653678341265601E-3</v>
      </c>
    </row>
    <row r="550" spans="1:7" x14ac:dyDescent="0.3">
      <c r="A550" s="11" t="s">
        <v>3075</v>
      </c>
      <c r="B550" s="11" t="s">
        <v>3076</v>
      </c>
      <c r="C550" s="324">
        <v>1</v>
      </c>
      <c r="D550" s="324">
        <v>88.722317719766394</v>
      </c>
      <c r="E550" s="325">
        <v>89.063898348526905</v>
      </c>
      <c r="F550" s="326">
        <v>2.4264891112987801E-3</v>
      </c>
      <c r="G550" s="327">
        <v>2.4358310863239999E-3</v>
      </c>
    </row>
    <row r="551" spans="1:7" x14ac:dyDescent="0.3">
      <c r="A551" s="6" t="s">
        <v>6269</v>
      </c>
      <c r="B551" s="6" t="s">
        <v>6270</v>
      </c>
      <c r="C551" s="320">
        <v>8629</v>
      </c>
      <c r="D551" s="320">
        <v>3656407</v>
      </c>
      <c r="E551" s="321">
        <v>9.7965472091048295E-8</v>
      </c>
      <c r="F551" s="322">
        <v>100</v>
      </c>
      <c r="G551" s="323">
        <v>1.45362315675074E-14</v>
      </c>
    </row>
    <row r="552" spans="1:7" x14ac:dyDescent="0.3">
      <c r="A552" s="11" t="s">
        <v>6269</v>
      </c>
      <c r="B552" s="11" t="s">
        <v>6271</v>
      </c>
      <c r="C552" s="324">
        <v>8629</v>
      </c>
      <c r="D552" s="324">
        <v>3656407</v>
      </c>
      <c r="E552" s="325">
        <v>0</v>
      </c>
      <c r="F552" s="326">
        <v>100</v>
      </c>
      <c r="G552" s="327">
        <v>0</v>
      </c>
    </row>
    <row r="553" spans="1:7" x14ac:dyDescent="0.3">
      <c r="A553" s="3299" t="s">
        <v>370</v>
      </c>
      <c r="B553" s="3298"/>
      <c r="C553" s="3298"/>
      <c r="D553" s="3298"/>
      <c r="E553" s="3298"/>
      <c r="F553" s="3298"/>
      <c r="G553" s="3298"/>
    </row>
    <row r="554" spans="1:7" x14ac:dyDescent="0.3">
      <c r="A554" s="11" t="s">
        <v>6274</v>
      </c>
      <c r="B554" s="11"/>
      <c r="C554" s="332">
        <v>4689</v>
      </c>
      <c r="D554" s="332">
        <v>1828071.2721389199</v>
      </c>
      <c r="E554" s="333">
        <v>14101.7632728188</v>
      </c>
      <c r="F554" s="334">
        <v>49.996383666777803</v>
      </c>
      <c r="G554" s="335">
        <v>0.38567269105487501</v>
      </c>
    </row>
    <row r="555" spans="1:7" x14ac:dyDescent="0.3">
      <c r="A555" s="6" t="s">
        <v>6272</v>
      </c>
      <c r="B555" s="6"/>
      <c r="C555" s="328">
        <v>3092</v>
      </c>
      <c r="D555" s="328">
        <v>1210596.7881092101</v>
      </c>
      <c r="E555" s="329">
        <v>15430.6456750833</v>
      </c>
      <c r="F555" s="330">
        <v>33.1089178012516</v>
      </c>
      <c r="G555" s="331">
        <v>0.42201663204023199</v>
      </c>
    </row>
    <row r="556" spans="1:7" x14ac:dyDescent="0.3">
      <c r="A556" s="11" t="s">
        <v>6273</v>
      </c>
      <c r="B556" s="11"/>
      <c r="C556" s="332">
        <v>661</v>
      </c>
      <c r="D556" s="332">
        <v>462077.52617122402</v>
      </c>
      <c r="E556" s="333">
        <v>14074.203624526501</v>
      </c>
      <c r="F556" s="334">
        <v>12.637475154467801</v>
      </c>
      <c r="G556" s="335">
        <v>0.38491895526200198</v>
      </c>
    </row>
    <row r="557" spans="1:7" x14ac:dyDescent="0.3">
      <c r="A557" s="6" t="s">
        <v>6276</v>
      </c>
      <c r="B557" s="6"/>
      <c r="C557" s="328">
        <v>154</v>
      </c>
      <c r="D557" s="328">
        <v>121403.61283677899</v>
      </c>
      <c r="E557" s="329">
        <v>11210.501213198</v>
      </c>
      <c r="F557" s="330">
        <v>3.3202981188029401</v>
      </c>
      <c r="G557" s="331">
        <v>0.30659883358712398</v>
      </c>
    </row>
    <row r="558" spans="1:7" x14ac:dyDescent="0.3">
      <c r="A558" s="11" t="s">
        <v>6275</v>
      </c>
      <c r="B558" s="11"/>
      <c r="C558" s="332">
        <v>28</v>
      </c>
      <c r="D558" s="332">
        <v>25512.582783866699</v>
      </c>
      <c r="E558" s="333">
        <v>6304.9168783592704</v>
      </c>
      <c r="F558" s="334">
        <v>0.69775008044418196</v>
      </c>
      <c r="G558" s="335">
        <v>0.17243476665369201</v>
      </c>
    </row>
    <row r="559" spans="1:7" x14ac:dyDescent="0.3">
      <c r="A559" s="6" t="s">
        <v>6278</v>
      </c>
      <c r="B559" s="6"/>
      <c r="C559" s="328">
        <v>5</v>
      </c>
      <c r="D559" s="328">
        <v>6269.0785303533303</v>
      </c>
      <c r="E559" s="329">
        <v>2980.40004621457</v>
      </c>
      <c r="F559" s="330">
        <v>0.171454614608093</v>
      </c>
      <c r="G559" s="331">
        <v>8.1511714812234196E-2</v>
      </c>
    </row>
    <row r="560" spans="1:7" x14ac:dyDescent="0.3">
      <c r="A560" s="11" t="s">
        <v>6279</v>
      </c>
      <c r="B560" s="11"/>
      <c r="C560" s="332">
        <v>1</v>
      </c>
      <c r="D560" s="332">
        <v>1933.2496965836399</v>
      </c>
      <c r="E560" s="333">
        <v>1914.0891184987399</v>
      </c>
      <c r="F560" s="334">
        <v>5.2872935003779299E-2</v>
      </c>
      <c r="G560" s="335">
        <v>5.2348907506706503E-2</v>
      </c>
    </row>
    <row r="561" spans="1:7" x14ac:dyDescent="0.3">
      <c r="A561" s="6" t="s">
        <v>6277</v>
      </c>
      <c r="B561" s="6"/>
      <c r="C561" s="328">
        <v>1</v>
      </c>
      <c r="D561" s="328">
        <v>542.88973306652395</v>
      </c>
      <c r="E561" s="329">
        <v>543.04830951460497</v>
      </c>
      <c r="F561" s="330">
        <v>1.48476286438168E-2</v>
      </c>
      <c r="G561" s="331">
        <v>1.4851965591210299E-2</v>
      </c>
    </row>
    <row r="562" spans="1:7" x14ac:dyDescent="0.3">
      <c r="A562" s="11" t="s">
        <v>6269</v>
      </c>
      <c r="B562" s="11" t="s">
        <v>6270</v>
      </c>
      <c r="C562" s="332">
        <v>8631</v>
      </c>
      <c r="D562" s="332">
        <v>3656407.0000000098</v>
      </c>
      <c r="E562" s="333">
        <v>8.0456476180772205E-8</v>
      </c>
      <c r="F562" s="334">
        <v>100</v>
      </c>
      <c r="G562" s="335">
        <v>1.02786679142825E-14</v>
      </c>
    </row>
    <row r="563" spans="1:7" x14ac:dyDescent="0.3">
      <c r="A563" s="6" t="s">
        <v>6269</v>
      </c>
      <c r="B563" s="6" t="s">
        <v>6271</v>
      </c>
      <c r="C563" s="328">
        <v>8631</v>
      </c>
      <c r="D563" s="328">
        <v>3656407.0000000098</v>
      </c>
      <c r="E563" s="329">
        <v>0</v>
      </c>
      <c r="F563" s="330">
        <v>100</v>
      </c>
      <c r="G563" s="331">
        <v>0</v>
      </c>
    </row>
    <row r="564" spans="1:7" x14ac:dyDescent="0.3">
      <c r="A564" s="3299" t="s">
        <v>943</v>
      </c>
      <c r="B564" s="3298"/>
      <c r="C564" s="3298"/>
      <c r="D564" s="3298"/>
      <c r="E564" s="3298"/>
      <c r="F564" s="3298"/>
      <c r="G564" s="3298"/>
    </row>
    <row r="565" spans="1:7" x14ac:dyDescent="0.3">
      <c r="A565" s="11" t="s">
        <v>1152</v>
      </c>
      <c r="B565" s="11"/>
      <c r="C565" s="340">
        <v>7968</v>
      </c>
      <c r="D565" s="340">
        <v>3230549.7850141702</v>
      </c>
      <c r="E565" s="341">
        <v>14404.341282569299</v>
      </c>
      <c r="F565" s="342">
        <v>88.3531232987511</v>
      </c>
      <c r="G565" s="343">
        <v>0.39394797358621098</v>
      </c>
    </row>
    <row r="566" spans="1:7" x14ac:dyDescent="0.3">
      <c r="A566" s="6" t="s">
        <v>6272</v>
      </c>
      <c r="B566" s="6"/>
      <c r="C566" s="336">
        <v>495</v>
      </c>
      <c r="D566" s="336">
        <v>316441.89759151702</v>
      </c>
      <c r="E566" s="337">
        <v>17447.968124997999</v>
      </c>
      <c r="F566" s="338">
        <v>8.6544495071669001</v>
      </c>
      <c r="G566" s="339">
        <v>0.47718889404266801</v>
      </c>
    </row>
    <row r="567" spans="1:7" x14ac:dyDescent="0.3">
      <c r="A567" s="11" t="s">
        <v>6274</v>
      </c>
      <c r="B567" s="11"/>
      <c r="C567" s="340">
        <v>149</v>
      </c>
      <c r="D567" s="340">
        <v>98493.759104260505</v>
      </c>
      <c r="E567" s="341">
        <v>10153.778330052201</v>
      </c>
      <c r="F567" s="342">
        <v>2.6937307335934002</v>
      </c>
      <c r="G567" s="343">
        <v>0.27769825213801702</v>
      </c>
    </row>
    <row r="568" spans="1:7" x14ac:dyDescent="0.3">
      <c r="A568" s="6" t="s">
        <v>6273</v>
      </c>
      <c r="B568" s="6"/>
      <c r="C568" s="336">
        <v>18</v>
      </c>
      <c r="D568" s="336">
        <v>10742.679508675699</v>
      </c>
      <c r="E568" s="337">
        <v>2720.8345882452199</v>
      </c>
      <c r="F568" s="338">
        <v>0.29380425944583599</v>
      </c>
      <c r="G568" s="339">
        <v>7.4412793440260097E-2</v>
      </c>
    </row>
    <row r="569" spans="1:7" x14ac:dyDescent="0.3">
      <c r="A569" s="11" t="s">
        <v>6276</v>
      </c>
      <c r="B569" s="11"/>
      <c r="C569" s="340">
        <v>1</v>
      </c>
      <c r="D569" s="340">
        <v>178.878781381447</v>
      </c>
      <c r="E569" s="341">
        <v>178.658787384909</v>
      </c>
      <c r="F569" s="342">
        <v>4.8922010427571803E-3</v>
      </c>
      <c r="G569" s="343">
        <v>4.8861843712942402E-3</v>
      </c>
    </row>
    <row r="570" spans="1:7" x14ac:dyDescent="0.3">
      <c r="A570" s="6" t="s">
        <v>6269</v>
      </c>
      <c r="B570" s="6" t="s">
        <v>6270</v>
      </c>
      <c r="C570" s="336">
        <v>8631</v>
      </c>
      <c r="D570" s="336">
        <v>3656407.0000000098</v>
      </c>
      <c r="E570" s="337">
        <v>3.3458246094105797E-8</v>
      </c>
      <c r="F570" s="338">
        <v>100</v>
      </c>
      <c r="G570" s="339">
        <v>1.78031750616652E-14</v>
      </c>
    </row>
    <row r="571" spans="1:7" x14ac:dyDescent="0.3">
      <c r="A571" s="11" t="s">
        <v>6269</v>
      </c>
      <c r="B571" s="11" t="s">
        <v>6271</v>
      </c>
      <c r="C571" s="340">
        <v>8631</v>
      </c>
      <c r="D571" s="340">
        <v>3656407.0000000098</v>
      </c>
      <c r="E571" s="341">
        <v>0</v>
      </c>
      <c r="F571" s="342">
        <v>100</v>
      </c>
      <c r="G571" s="343">
        <v>0</v>
      </c>
    </row>
    <row r="572" spans="1:7" x14ac:dyDescent="0.3">
      <c r="A572" s="3299" t="s">
        <v>910</v>
      </c>
      <c r="B572" s="3298"/>
      <c r="C572" s="3298"/>
      <c r="D572" s="3298"/>
      <c r="E572" s="3298"/>
      <c r="F572" s="3298"/>
      <c r="G572" s="3298"/>
    </row>
    <row r="573" spans="1:7" x14ac:dyDescent="0.3">
      <c r="A573" s="11" t="s">
        <v>6272</v>
      </c>
      <c r="B573" s="11"/>
      <c r="C573" s="348">
        <v>3273</v>
      </c>
      <c r="D573" s="348">
        <v>1490849.9906394701</v>
      </c>
      <c r="E573" s="349">
        <v>20152.821137029001</v>
      </c>
      <c r="F573" s="350">
        <v>40.773633532576298</v>
      </c>
      <c r="G573" s="351">
        <v>0.55116460331219597</v>
      </c>
    </row>
    <row r="574" spans="1:7" x14ac:dyDescent="0.3">
      <c r="A574" s="6" t="s">
        <v>6274</v>
      </c>
      <c r="B574" s="6"/>
      <c r="C574" s="344">
        <v>2071</v>
      </c>
      <c r="D574" s="344">
        <v>1009297.5292063199</v>
      </c>
      <c r="E574" s="345">
        <v>14988.8949216479</v>
      </c>
      <c r="F574" s="346">
        <v>27.603533447078402</v>
      </c>
      <c r="G574" s="347">
        <v>0.40993507893536602</v>
      </c>
    </row>
    <row r="575" spans="1:7" x14ac:dyDescent="0.3">
      <c r="A575" s="11" t="s">
        <v>1152</v>
      </c>
      <c r="B575" s="11"/>
      <c r="C575" s="348">
        <v>2979</v>
      </c>
      <c r="D575" s="348">
        <v>934859.00000000105</v>
      </c>
      <c r="E575" s="349">
        <v>2.81123116904142E-8</v>
      </c>
      <c r="F575" s="350">
        <v>25.567695281187198</v>
      </c>
      <c r="G575" s="351">
        <v>1.9731294608549799E-13</v>
      </c>
    </row>
    <row r="576" spans="1:7" x14ac:dyDescent="0.3">
      <c r="A576" s="6" t="s">
        <v>6273</v>
      </c>
      <c r="B576" s="6"/>
      <c r="C576" s="344">
        <v>276</v>
      </c>
      <c r="D576" s="344">
        <v>198733.83779708599</v>
      </c>
      <c r="E576" s="345">
        <v>14347.6133753663</v>
      </c>
      <c r="F576" s="346">
        <v>5.4352220033788798</v>
      </c>
      <c r="G576" s="347">
        <v>0.39239650770185602</v>
      </c>
    </row>
    <row r="577" spans="1:7" x14ac:dyDescent="0.3">
      <c r="A577" s="11" t="s">
        <v>6276</v>
      </c>
      <c r="B577" s="11"/>
      <c r="C577" s="348">
        <v>26</v>
      </c>
      <c r="D577" s="348">
        <v>20531.1395891266</v>
      </c>
      <c r="E577" s="349">
        <v>5080.4871534609802</v>
      </c>
      <c r="F577" s="350">
        <v>0.56151133036137901</v>
      </c>
      <c r="G577" s="351">
        <v>0.13894752836489399</v>
      </c>
    </row>
    <row r="578" spans="1:7" x14ac:dyDescent="0.3">
      <c r="A578" s="6" t="s">
        <v>6275</v>
      </c>
      <c r="B578" s="6"/>
      <c r="C578" s="344">
        <v>6</v>
      </c>
      <c r="D578" s="344">
        <v>2135.5027680059202</v>
      </c>
      <c r="E578" s="345">
        <v>1020.33841709233</v>
      </c>
      <c r="F578" s="346">
        <v>5.8404405417829902E-2</v>
      </c>
      <c r="G578" s="347">
        <v>2.7905493482873502E-2</v>
      </c>
    </row>
    <row r="579" spans="1:7" x14ac:dyDescent="0.3">
      <c r="A579" s="11" t="s">
        <v>6269</v>
      </c>
      <c r="B579" s="11" t="s">
        <v>6270</v>
      </c>
      <c r="C579" s="348">
        <v>8631</v>
      </c>
      <c r="D579" s="348">
        <v>3656407.0000000098</v>
      </c>
      <c r="E579" s="349">
        <v>9.3840364202974898E-8</v>
      </c>
      <c r="F579" s="350">
        <v>100</v>
      </c>
      <c r="G579" s="351">
        <v>1.02786679142825E-14</v>
      </c>
    </row>
    <row r="580" spans="1:7" x14ac:dyDescent="0.3">
      <c r="A580" s="6" t="s">
        <v>6269</v>
      </c>
      <c r="B580" s="6" t="s">
        <v>6271</v>
      </c>
      <c r="C580" s="344">
        <v>8631</v>
      </c>
      <c r="D580" s="344">
        <v>3656407.0000000098</v>
      </c>
      <c r="E580" s="345">
        <v>0</v>
      </c>
      <c r="F580" s="346">
        <v>100</v>
      </c>
      <c r="G580" s="347">
        <v>0</v>
      </c>
    </row>
    <row r="581" spans="1:7" x14ac:dyDescent="0.3">
      <c r="A581" s="3299" t="s">
        <v>598</v>
      </c>
      <c r="B581" s="3298"/>
      <c r="C581" s="3298"/>
      <c r="D581" s="3298"/>
      <c r="E581" s="3298"/>
      <c r="F581" s="3298"/>
      <c r="G581" s="3298"/>
    </row>
    <row r="582" spans="1:7" x14ac:dyDescent="0.3">
      <c r="A582" s="11" t="s">
        <v>6401</v>
      </c>
      <c r="B582" s="11"/>
      <c r="C582" s="356">
        <v>772</v>
      </c>
      <c r="D582" s="356">
        <v>310544.00462834502</v>
      </c>
      <c r="E582" s="357">
        <v>2.7827764781636202E-2</v>
      </c>
      <c r="F582" s="358">
        <v>8.4931465405340507</v>
      </c>
      <c r="G582" s="359">
        <v>7.6106855668464898E-7</v>
      </c>
    </row>
    <row r="583" spans="1:7" x14ac:dyDescent="0.3">
      <c r="A583" s="6" t="s">
        <v>6402</v>
      </c>
      <c r="B583" s="6"/>
      <c r="C583" s="352">
        <v>421</v>
      </c>
      <c r="D583" s="352">
        <v>310544.00214186701</v>
      </c>
      <c r="E583" s="353">
        <v>1.3061438373935299E-2</v>
      </c>
      <c r="F583" s="354">
        <v>8.4931464725307393</v>
      </c>
      <c r="G583" s="355">
        <v>3.5722055602217598E-7</v>
      </c>
    </row>
    <row r="584" spans="1:7" x14ac:dyDescent="0.3">
      <c r="A584" s="11" t="s">
        <v>6403</v>
      </c>
      <c r="B584" s="11"/>
      <c r="C584" s="356">
        <v>853</v>
      </c>
      <c r="D584" s="356">
        <v>310544.00159811397</v>
      </c>
      <c r="E584" s="357">
        <v>9.4903967914217405E-3</v>
      </c>
      <c r="F584" s="358">
        <v>8.4931464576595097</v>
      </c>
      <c r="G584" s="359">
        <v>2.5955524346355501E-7</v>
      </c>
    </row>
    <row r="585" spans="1:7" x14ac:dyDescent="0.3">
      <c r="A585" s="6" t="s">
        <v>6404</v>
      </c>
      <c r="B585" s="6"/>
      <c r="C585" s="352">
        <v>761</v>
      </c>
      <c r="D585" s="352">
        <v>310543.99589282402</v>
      </c>
      <c r="E585" s="353">
        <v>2.4939553301638499E-2</v>
      </c>
      <c r="F585" s="354">
        <v>8.4931463016240798</v>
      </c>
      <c r="G585" s="355">
        <v>6.8207818324784698E-7</v>
      </c>
    </row>
    <row r="586" spans="1:7" x14ac:dyDescent="0.3">
      <c r="A586" s="11" t="s">
        <v>6405</v>
      </c>
      <c r="B586" s="11"/>
      <c r="C586" s="356">
        <v>677</v>
      </c>
      <c r="D586" s="356">
        <v>310543.995806836</v>
      </c>
      <c r="E586" s="357">
        <v>2.56268261640928E-2</v>
      </c>
      <c r="F586" s="358">
        <v>8.4931462992723699</v>
      </c>
      <c r="G586" s="359">
        <v>7.0087457369629795E-7</v>
      </c>
    </row>
    <row r="587" spans="1:7" x14ac:dyDescent="0.3">
      <c r="A587" s="6" t="s">
        <v>6406</v>
      </c>
      <c r="B587" s="6"/>
      <c r="C587" s="352">
        <v>732</v>
      </c>
      <c r="D587" s="352">
        <v>310543.99290760898</v>
      </c>
      <c r="E587" s="353">
        <v>4.2949724098113103E-2</v>
      </c>
      <c r="F587" s="354">
        <v>8.4931462199806802</v>
      </c>
      <c r="G587" s="355">
        <v>1.1746428976428099E-6</v>
      </c>
    </row>
    <row r="588" spans="1:7" x14ac:dyDescent="0.3">
      <c r="A588" s="11" t="s">
        <v>6407</v>
      </c>
      <c r="B588" s="11"/>
      <c r="C588" s="356">
        <v>1032</v>
      </c>
      <c r="D588" s="356">
        <v>310543.99113384902</v>
      </c>
      <c r="E588" s="357">
        <v>5.2023091286054597E-2</v>
      </c>
      <c r="F588" s="358">
        <v>8.4931461714696592</v>
      </c>
      <c r="G588" s="359">
        <v>1.4227927066796501E-6</v>
      </c>
    </row>
    <row r="589" spans="1:7" x14ac:dyDescent="0.3">
      <c r="A589" s="6" t="s">
        <v>6408</v>
      </c>
      <c r="B589" s="6"/>
      <c r="C589" s="352">
        <v>937</v>
      </c>
      <c r="D589" s="352">
        <v>300527.015498508</v>
      </c>
      <c r="E589" s="353">
        <v>9.4172254330206498E-2</v>
      </c>
      <c r="F589" s="354">
        <v>8.2191893708361405</v>
      </c>
      <c r="G589" s="355">
        <v>2.5755407824894898E-6</v>
      </c>
    </row>
    <row r="590" spans="1:7" x14ac:dyDescent="0.3">
      <c r="A590" s="11" t="s">
        <v>6409</v>
      </c>
      <c r="B590" s="11"/>
      <c r="C590" s="356">
        <v>398</v>
      </c>
      <c r="D590" s="356">
        <v>300526.99681697902</v>
      </c>
      <c r="E590" s="357">
        <v>1.92413011747633E-2</v>
      </c>
      <c r="F590" s="358">
        <v>8.2191888599102594</v>
      </c>
      <c r="G590" s="359">
        <v>5.2623524173948303E-7</v>
      </c>
    </row>
    <row r="591" spans="1:7" x14ac:dyDescent="0.3">
      <c r="A591" s="6" t="s">
        <v>6410</v>
      </c>
      <c r="B591" s="6"/>
      <c r="C591" s="352">
        <v>815</v>
      </c>
      <c r="D591" s="352">
        <v>300526.99545202899</v>
      </c>
      <c r="E591" s="353">
        <v>2.6202208640558299E-2</v>
      </c>
      <c r="F591" s="354">
        <v>8.2191888225799001</v>
      </c>
      <c r="G591" s="355">
        <v>7.1661086053555305E-7</v>
      </c>
    </row>
    <row r="592" spans="1:7" x14ac:dyDescent="0.3">
      <c r="A592" s="11" t="s">
        <v>6411</v>
      </c>
      <c r="B592" s="11"/>
      <c r="C592" s="356">
        <v>783</v>
      </c>
      <c r="D592" s="356">
        <v>280491.00757077098</v>
      </c>
      <c r="E592" s="357">
        <v>4.5005628031368698E-2</v>
      </c>
      <c r="F592" s="358">
        <v>7.6712195215349697</v>
      </c>
      <c r="G592" s="359">
        <v>1.23087027853251E-6</v>
      </c>
    </row>
    <row r="593" spans="1:7" x14ac:dyDescent="0.3">
      <c r="A593" s="6" t="s">
        <v>6412</v>
      </c>
      <c r="B593" s="6"/>
      <c r="C593" s="352">
        <v>387</v>
      </c>
      <c r="D593" s="352">
        <v>261643.71148698201</v>
      </c>
      <c r="E593" s="353">
        <v>4792.1033587561897</v>
      </c>
      <c r="F593" s="354">
        <v>7.1557600531609804</v>
      </c>
      <c r="G593" s="355">
        <v>0.13106044701139499</v>
      </c>
    </row>
    <row r="594" spans="1:7" x14ac:dyDescent="0.3">
      <c r="A594" s="11" t="s">
        <v>6413</v>
      </c>
      <c r="B594" s="11"/>
      <c r="C594" s="356">
        <v>63</v>
      </c>
      <c r="D594" s="356">
        <v>38883.289065286401</v>
      </c>
      <c r="E594" s="357">
        <v>4792.10489366191</v>
      </c>
      <c r="F594" s="358">
        <v>1.06342890890665</v>
      </c>
      <c r="G594" s="359">
        <v>0.131060488989928</v>
      </c>
    </row>
    <row r="595" spans="1:7" x14ac:dyDescent="0.3">
      <c r="A595" s="6" t="s">
        <v>6269</v>
      </c>
      <c r="B595" s="6" t="s">
        <v>6270</v>
      </c>
      <c r="C595" s="352">
        <v>8631</v>
      </c>
      <c r="D595" s="352">
        <v>3656407</v>
      </c>
      <c r="E595" s="353">
        <v>1.33716276812258E-8</v>
      </c>
      <c r="F595" s="354">
        <v>100</v>
      </c>
      <c r="G595" s="355">
        <v>1.02786679142825E-14</v>
      </c>
    </row>
    <row r="596" spans="1:7" x14ac:dyDescent="0.3">
      <c r="A596" s="11" t="s">
        <v>6269</v>
      </c>
      <c r="B596" s="11" t="s">
        <v>6271</v>
      </c>
      <c r="C596" s="356">
        <v>8631</v>
      </c>
      <c r="D596" s="356">
        <v>3656407</v>
      </c>
      <c r="E596" s="357">
        <v>0</v>
      </c>
      <c r="F596" s="358">
        <v>100</v>
      </c>
      <c r="G596" s="359">
        <v>0</v>
      </c>
    </row>
    <row r="597" spans="1:7" x14ac:dyDescent="0.3">
      <c r="A597" s="3299" t="s">
        <v>252</v>
      </c>
      <c r="B597" s="3298"/>
      <c r="C597" s="3298"/>
      <c r="D597" s="3298"/>
      <c r="E597" s="3298"/>
      <c r="F597" s="3298"/>
      <c r="G597" s="3298"/>
    </row>
    <row r="598" spans="1:7" x14ac:dyDescent="0.3">
      <c r="A598" s="11" t="s">
        <v>962</v>
      </c>
      <c r="B598" s="11" t="s">
        <v>2996</v>
      </c>
      <c r="C598" s="364">
        <v>8207</v>
      </c>
      <c r="D598" s="364">
        <v>3484857.0401048502</v>
      </c>
      <c r="E598" s="365">
        <v>14655.112177732901</v>
      </c>
      <c r="F598" s="366">
        <v>95.308236750034794</v>
      </c>
      <c r="G598" s="367">
        <v>0.40080637023532001</v>
      </c>
    </row>
    <row r="599" spans="1:7" x14ac:dyDescent="0.3">
      <c r="A599" s="6" t="s">
        <v>964</v>
      </c>
      <c r="B599" s="6" t="s">
        <v>2997</v>
      </c>
      <c r="C599" s="360">
        <v>391</v>
      </c>
      <c r="D599" s="360">
        <v>146167.13858755701</v>
      </c>
      <c r="E599" s="361">
        <v>11072.115317650099</v>
      </c>
      <c r="F599" s="362">
        <v>3.9975620489610999</v>
      </c>
      <c r="G599" s="363">
        <v>0.30281408272247101</v>
      </c>
    </row>
    <row r="600" spans="1:7" x14ac:dyDescent="0.3">
      <c r="A600" s="11" t="s">
        <v>966</v>
      </c>
      <c r="B600" s="11" t="s">
        <v>2998</v>
      </c>
      <c r="C600" s="364">
        <v>24</v>
      </c>
      <c r="D600" s="364">
        <v>19201.747016990299</v>
      </c>
      <c r="E600" s="365">
        <v>6342.48214535641</v>
      </c>
      <c r="F600" s="366">
        <v>0.52515343661114</v>
      </c>
      <c r="G600" s="367">
        <v>0.17346214864363799</v>
      </c>
    </row>
    <row r="601" spans="1:7" x14ac:dyDescent="0.3">
      <c r="A601" s="6" t="s">
        <v>968</v>
      </c>
      <c r="B601" s="6" t="s">
        <v>2999</v>
      </c>
      <c r="C601" s="360">
        <v>7</v>
      </c>
      <c r="D601" s="360">
        <v>6181.07429060709</v>
      </c>
      <c r="E601" s="361">
        <v>5147.2164402376202</v>
      </c>
      <c r="F601" s="362">
        <v>0.169047764392943</v>
      </c>
      <c r="G601" s="363">
        <v>0.14077252450937799</v>
      </c>
    </row>
    <row r="602" spans="1:7" x14ac:dyDescent="0.3">
      <c r="A602" s="11" t="s">
        <v>6269</v>
      </c>
      <c r="B602" s="11" t="s">
        <v>6270</v>
      </c>
      <c r="C602" s="364">
        <v>8629</v>
      </c>
      <c r="D602" s="364">
        <v>3656407</v>
      </c>
      <c r="E602" s="365">
        <v>2.9505649752224302E-8</v>
      </c>
      <c r="F602" s="366">
        <v>100</v>
      </c>
      <c r="G602" s="367">
        <v>1.45362315675074E-14</v>
      </c>
    </row>
    <row r="603" spans="1:7" x14ac:dyDescent="0.3">
      <c r="A603" s="6" t="s">
        <v>6269</v>
      </c>
      <c r="B603" s="6" t="s">
        <v>6271</v>
      </c>
      <c r="C603" s="360">
        <v>8629</v>
      </c>
      <c r="D603" s="360">
        <v>3656407</v>
      </c>
      <c r="E603" s="361">
        <v>0</v>
      </c>
      <c r="F603" s="362">
        <v>100</v>
      </c>
      <c r="G603" s="363">
        <v>0</v>
      </c>
    </row>
    <row r="604" spans="1:7" x14ac:dyDescent="0.3">
      <c r="A604" s="3299" t="s">
        <v>312</v>
      </c>
      <c r="B604" s="3298"/>
      <c r="C604" s="3298"/>
      <c r="D604" s="3298"/>
      <c r="E604" s="3298"/>
      <c r="F604" s="3298"/>
      <c r="G604" s="3298"/>
    </row>
    <row r="605" spans="1:7" x14ac:dyDescent="0.3">
      <c r="A605" s="11" t="s">
        <v>964</v>
      </c>
      <c r="B605" s="11" t="s">
        <v>3095</v>
      </c>
      <c r="C605" s="372">
        <v>1796</v>
      </c>
      <c r="D605" s="372">
        <v>763430.20950615394</v>
      </c>
      <c r="E605" s="373">
        <v>24145.967482960899</v>
      </c>
      <c r="F605" s="374">
        <v>20.879245923830499</v>
      </c>
      <c r="G605" s="375">
        <v>0.66037417286862199</v>
      </c>
    </row>
    <row r="606" spans="1:7" x14ac:dyDescent="0.3">
      <c r="A606" s="6" t="s">
        <v>962</v>
      </c>
      <c r="B606" s="6" t="s">
        <v>3094</v>
      </c>
      <c r="C606" s="368">
        <v>1640</v>
      </c>
      <c r="D606" s="368">
        <v>662211.13520962</v>
      </c>
      <c r="E606" s="369">
        <v>9760.36592260611</v>
      </c>
      <c r="F606" s="370">
        <v>18.1109798556238</v>
      </c>
      <c r="G606" s="371">
        <v>0.26693871668570301</v>
      </c>
    </row>
    <row r="607" spans="1:7" x14ac:dyDescent="0.3">
      <c r="A607" s="11" t="s">
        <v>995</v>
      </c>
      <c r="B607" s="11" t="s">
        <v>3103</v>
      </c>
      <c r="C607" s="372">
        <v>2000</v>
      </c>
      <c r="D607" s="372">
        <v>605374.96184565104</v>
      </c>
      <c r="E607" s="373">
        <v>14215.518795010001</v>
      </c>
      <c r="F607" s="374">
        <v>16.556552972512399</v>
      </c>
      <c r="G607" s="375">
        <v>0.388783819607883</v>
      </c>
    </row>
    <row r="608" spans="1:7" x14ac:dyDescent="0.3">
      <c r="A608" s="6" t="s">
        <v>972</v>
      </c>
      <c r="B608" s="6" t="s">
        <v>3099</v>
      </c>
      <c r="C608" s="368">
        <v>711</v>
      </c>
      <c r="D608" s="368">
        <v>433703.907050943</v>
      </c>
      <c r="E608" s="369">
        <v>17904.949665684799</v>
      </c>
      <c r="F608" s="370">
        <v>11.8614778675061</v>
      </c>
      <c r="G608" s="371">
        <v>0.48968699780098102</v>
      </c>
    </row>
    <row r="609" spans="1:7" x14ac:dyDescent="0.3">
      <c r="A609" s="11" t="s">
        <v>968</v>
      </c>
      <c r="B609" s="11" t="s">
        <v>3097</v>
      </c>
      <c r="C609" s="372">
        <v>659</v>
      </c>
      <c r="D609" s="372">
        <v>411973.84225254098</v>
      </c>
      <c r="E609" s="373">
        <v>20192.138031063601</v>
      </c>
      <c r="F609" s="374">
        <v>11.2671768283055</v>
      </c>
      <c r="G609" s="375">
        <v>0.55223989099309401</v>
      </c>
    </row>
    <row r="610" spans="1:7" x14ac:dyDescent="0.3">
      <c r="A610" s="6" t="s">
        <v>993</v>
      </c>
      <c r="B610" s="6" t="s">
        <v>3102</v>
      </c>
      <c r="C610" s="368">
        <v>1129</v>
      </c>
      <c r="D610" s="368">
        <v>321284.86479037901</v>
      </c>
      <c r="E610" s="369">
        <v>9760.3659226058498</v>
      </c>
      <c r="F610" s="370">
        <v>8.7869010422083598</v>
      </c>
      <c r="G610" s="371">
        <v>0.26693871668569202</v>
      </c>
    </row>
    <row r="611" spans="1:7" x14ac:dyDescent="0.3">
      <c r="A611" s="11" t="s">
        <v>991</v>
      </c>
      <c r="B611" s="11" t="s">
        <v>3101</v>
      </c>
      <c r="C611" s="372">
        <v>290</v>
      </c>
      <c r="D611" s="372">
        <v>175767.92487345901</v>
      </c>
      <c r="E611" s="373">
        <v>9143.2795882689607</v>
      </c>
      <c r="F611" s="374">
        <v>4.8071214411704997</v>
      </c>
      <c r="G611" s="375">
        <v>0.250061866424305</v>
      </c>
    </row>
    <row r="612" spans="1:7" x14ac:dyDescent="0.3">
      <c r="A612" s="6" t="s">
        <v>970</v>
      </c>
      <c r="B612" s="6" t="s">
        <v>3098</v>
      </c>
      <c r="C612" s="368">
        <v>226</v>
      </c>
      <c r="D612" s="368">
        <v>155764.19735954201</v>
      </c>
      <c r="E612" s="369">
        <v>16271.0512237203</v>
      </c>
      <c r="F612" s="370">
        <v>4.2600344370728598</v>
      </c>
      <c r="G612" s="371">
        <v>0.44500109598631399</v>
      </c>
    </row>
    <row r="613" spans="1:7" x14ac:dyDescent="0.3">
      <c r="A613" s="11" t="s">
        <v>966</v>
      </c>
      <c r="B613" s="11" t="s">
        <v>3096</v>
      </c>
      <c r="C613" s="372">
        <v>93</v>
      </c>
      <c r="D613" s="372">
        <v>72058.418901228797</v>
      </c>
      <c r="E613" s="373">
        <v>7022.7800562397497</v>
      </c>
      <c r="F613" s="374">
        <v>1.97074392706361</v>
      </c>
      <c r="G613" s="375">
        <v>0.192067788302554</v>
      </c>
    </row>
    <row r="614" spans="1:7" x14ac:dyDescent="0.3">
      <c r="A614" s="6" t="s">
        <v>981</v>
      </c>
      <c r="B614" s="6" t="s">
        <v>3100</v>
      </c>
      <c r="C614" s="368">
        <v>87</v>
      </c>
      <c r="D614" s="368">
        <v>54837.538210478699</v>
      </c>
      <c r="E614" s="369">
        <v>12590.1657830772</v>
      </c>
      <c r="F614" s="370">
        <v>1.49976570470625</v>
      </c>
      <c r="G614" s="371">
        <v>0.34433162892088398</v>
      </c>
    </row>
    <row r="615" spans="1:7" x14ac:dyDescent="0.3">
      <c r="A615" s="11" t="s">
        <v>6269</v>
      </c>
      <c r="B615" s="11" t="s">
        <v>6270</v>
      </c>
      <c r="C615" s="372">
        <v>8631</v>
      </c>
      <c r="D615" s="372">
        <v>3656407</v>
      </c>
      <c r="E615" s="373">
        <v>1.2390440977783899E-8</v>
      </c>
      <c r="F615" s="374">
        <v>100</v>
      </c>
      <c r="G615" s="375">
        <v>0</v>
      </c>
    </row>
    <row r="616" spans="1:7" x14ac:dyDescent="0.3">
      <c r="A616" s="6" t="s">
        <v>6269</v>
      </c>
      <c r="B616" s="6" t="s">
        <v>6271</v>
      </c>
      <c r="C616" s="368">
        <v>8631</v>
      </c>
      <c r="D616" s="368">
        <v>3656407</v>
      </c>
      <c r="E616" s="369">
        <v>0</v>
      </c>
      <c r="F616" s="370">
        <v>100</v>
      </c>
      <c r="G616" s="371">
        <v>0</v>
      </c>
    </row>
    <row r="617" spans="1:7" x14ac:dyDescent="0.3">
      <c r="A617" s="3299" t="s">
        <v>358</v>
      </c>
      <c r="B617" s="3298"/>
      <c r="C617" s="3298"/>
      <c r="D617" s="3298"/>
      <c r="E617" s="3298"/>
      <c r="F617" s="3298"/>
      <c r="G617" s="3298"/>
    </row>
    <row r="618" spans="1:7" x14ac:dyDescent="0.3">
      <c r="A618" s="11" t="s">
        <v>962</v>
      </c>
      <c r="B618" s="11" t="s">
        <v>5948</v>
      </c>
      <c r="C618" s="380">
        <v>2786</v>
      </c>
      <c r="D618" s="380">
        <v>2030038.33873542</v>
      </c>
      <c r="E618" s="381">
        <v>2506.9028553768799</v>
      </c>
      <c r="F618" s="382">
        <v>55.520032062498103</v>
      </c>
      <c r="G618" s="383">
        <v>6.8561920359992007E-2</v>
      </c>
    </row>
    <row r="619" spans="1:7" x14ac:dyDescent="0.3">
      <c r="A619" s="6" t="s">
        <v>966</v>
      </c>
      <c r="B619" s="6" t="s">
        <v>5950</v>
      </c>
      <c r="C619" s="376">
        <v>5026</v>
      </c>
      <c r="D619" s="376">
        <v>986080.35786709399</v>
      </c>
      <c r="E619" s="377">
        <v>3107.1921513522898</v>
      </c>
      <c r="F619" s="378">
        <v>26.968561154901401</v>
      </c>
      <c r="G619" s="379">
        <v>8.4979384170095706E-2</v>
      </c>
    </row>
    <row r="620" spans="1:7" x14ac:dyDescent="0.3">
      <c r="A620" s="11" t="s">
        <v>968</v>
      </c>
      <c r="B620" s="11" t="s">
        <v>5951</v>
      </c>
      <c r="C620" s="380">
        <v>817</v>
      </c>
      <c r="D620" s="380">
        <v>640092.15971675306</v>
      </c>
      <c r="E620" s="381">
        <v>2756.6081754326801</v>
      </c>
      <c r="F620" s="382">
        <v>17.506042399458099</v>
      </c>
      <c r="G620" s="383">
        <v>7.5391174325851698E-2</v>
      </c>
    </row>
    <row r="621" spans="1:7" x14ac:dyDescent="0.3">
      <c r="A621" s="6" t="s">
        <v>964</v>
      </c>
      <c r="B621" s="6" t="s">
        <v>5949</v>
      </c>
      <c r="C621" s="376">
        <v>2</v>
      </c>
      <c r="D621" s="376">
        <v>196.14368072725301</v>
      </c>
      <c r="E621" s="377">
        <v>197.767622363714</v>
      </c>
      <c r="F621" s="378">
        <v>5.3643831424470398E-3</v>
      </c>
      <c r="G621" s="379">
        <v>5.4087967330692099E-3</v>
      </c>
    </row>
    <row r="622" spans="1:7" x14ac:dyDescent="0.3">
      <c r="A622" s="11" t="s">
        <v>6269</v>
      </c>
      <c r="B622" s="11" t="s">
        <v>6270</v>
      </c>
      <c r="C622" s="380">
        <v>8631</v>
      </c>
      <c r="D622" s="380">
        <v>3656407</v>
      </c>
      <c r="E622" s="381">
        <v>1.3585366648050401E-8</v>
      </c>
      <c r="F622" s="382">
        <v>100</v>
      </c>
      <c r="G622" s="383">
        <v>1.45362315675074E-14</v>
      </c>
    </row>
    <row r="623" spans="1:7" x14ac:dyDescent="0.3">
      <c r="A623" s="6" t="s">
        <v>6269</v>
      </c>
      <c r="B623" s="6" t="s">
        <v>6271</v>
      </c>
      <c r="C623" s="376">
        <v>8631</v>
      </c>
      <c r="D623" s="376">
        <v>3656407</v>
      </c>
      <c r="E623" s="377">
        <v>0</v>
      </c>
      <c r="F623" s="378">
        <v>100</v>
      </c>
      <c r="G623" s="379">
        <v>0</v>
      </c>
    </row>
    <row r="624" spans="1:7" x14ac:dyDescent="0.3">
      <c r="A624" s="3299" t="s">
        <v>360</v>
      </c>
      <c r="B624" s="3298"/>
      <c r="C624" s="3298"/>
      <c r="D624" s="3298"/>
      <c r="E624" s="3298"/>
      <c r="F624" s="3298"/>
      <c r="G624" s="3298"/>
    </row>
    <row r="625" spans="1:7" x14ac:dyDescent="0.3">
      <c r="A625" s="11" t="s">
        <v>970</v>
      </c>
      <c r="B625" s="11" t="s">
        <v>5956</v>
      </c>
      <c r="C625" s="388">
        <v>2785</v>
      </c>
      <c r="D625" s="388">
        <v>2030038.33873542</v>
      </c>
      <c r="E625" s="389">
        <v>2506.9028553768799</v>
      </c>
      <c r="F625" s="390">
        <v>55.520032062497997</v>
      </c>
      <c r="G625" s="391">
        <v>6.8561920359970399E-2</v>
      </c>
    </row>
    <row r="626" spans="1:7" x14ac:dyDescent="0.3">
      <c r="A626" s="6" t="s">
        <v>972</v>
      </c>
      <c r="B626" s="6" t="s">
        <v>5957</v>
      </c>
      <c r="C626" s="384">
        <v>817</v>
      </c>
      <c r="D626" s="384">
        <v>640092.15971675306</v>
      </c>
      <c r="E626" s="385">
        <v>2756.6081754326801</v>
      </c>
      <c r="F626" s="386">
        <v>17.506042399458099</v>
      </c>
      <c r="G626" s="387">
        <v>7.5391174325838903E-2</v>
      </c>
    </row>
    <row r="627" spans="1:7" x14ac:dyDescent="0.3">
      <c r="A627" s="11" t="s">
        <v>962</v>
      </c>
      <c r="B627" s="11" t="s">
        <v>5952</v>
      </c>
      <c r="C627" s="388">
        <v>2862</v>
      </c>
      <c r="D627" s="388">
        <v>546747.43210568803</v>
      </c>
      <c r="E627" s="389">
        <v>11364.135142166901</v>
      </c>
      <c r="F627" s="390">
        <v>14.953133830716499</v>
      </c>
      <c r="G627" s="391">
        <v>0.31080060677507998</v>
      </c>
    </row>
    <row r="628" spans="1:7" x14ac:dyDescent="0.3">
      <c r="A628" s="6" t="s">
        <v>964</v>
      </c>
      <c r="B628" s="6" t="s">
        <v>5953</v>
      </c>
      <c r="C628" s="384">
        <v>1316</v>
      </c>
      <c r="D628" s="384">
        <v>230853.290233657</v>
      </c>
      <c r="E628" s="385">
        <v>4795.8643809055002</v>
      </c>
      <c r="F628" s="386">
        <v>6.3136650332869699</v>
      </c>
      <c r="G628" s="387">
        <v>0.13116330815758701</v>
      </c>
    </row>
    <row r="629" spans="1:7" x14ac:dyDescent="0.3">
      <c r="A629" s="11" t="s">
        <v>966</v>
      </c>
      <c r="B629" s="11" t="s">
        <v>5954</v>
      </c>
      <c r="C629" s="388">
        <v>848</v>
      </c>
      <c r="D629" s="388">
        <v>208479.63552775199</v>
      </c>
      <c r="E629" s="389">
        <v>9084.3048613144601</v>
      </c>
      <c r="F629" s="390">
        <v>5.7017622908979098</v>
      </c>
      <c r="G629" s="391">
        <v>0.248448951698064</v>
      </c>
    </row>
    <row r="630" spans="1:7" x14ac:dyDescent="0.3">
      <c r="A630" s="6" t="s">
        <v>968</v>
      </c>
      <c r="B630" s="6" t="s">
        <v>5955</v>
      </c>
      <c r="C630" s="384">
        <v>3</v>
      </c>
      <c r="D630" s="384">
        <v>196.14368072725301</v>
      </c>
      <c r="E630" s="385">
        <v>197.767622363714</v>
      </c>
      <c r="F630" s="386">
        <v>5.3643831424470302E-3</v>
      </c>
      <c r="G630" s="387">
        <v>5.4087967330692099E-3</v>
      </c>
    </row>
    <row r="631" spans="1:7" x14ac:dyDescent="0.3">
      <c r="A631" s="11" t="s">
        <v>6269</v>
      </c>
      <c r="B631" s="11" t="s">
        <v>6270</v>
      </c>
      <c r="C631" s="388">
        <v>8631</v>
      </c>
      <c r="D631" s="388">
        <v>3656407</v>
      </c>
      <c r="E631" s="389">
        <v>4.1211869549936803E-8</v>
      </c>
      <c r="F631" s="390">
        <v>100</v>
      </c>
      <c r="G631" s="391">
        <v>2.0557335828564899E-14</v>
      </c>
    </row>
    <row r="632" spans="1:7" x14ac:dyDescent="0.3">
      <c r="A632" s="6" t="s">
        <v>6269</v>
      </c>
      <c r="B632" s="6" t="s">
        <v>6271</v>
      </c>
      <c r="C632" s="384">
        <v>8631</v>
      </c>
      <c r="D632" s="384">
        <v>3656407</v>
      </c>
      <c r="E632" s="385">
        <v>0</v>
      </c>
      <c r="F632" s="386">
        <v>100</v>
      </c>
      <c r="G632" s="387">
        <v>0</v>
      </c>
    </row>
    <row r="633" spans="1:7" x14ac:dyDescent="0.3">
      <c r="A633" s="3299" t="s">
        <v>511</v>
      </c>
      <c r="B633" s="3298"/>
      <c r="C633" s="3298"/>
      <c r="D633" s="3298"/>
      <c r="E633" s="3298"/>
      <c r="F633" s="3298"/>
      <c r="G633" s="3298"/>
    </row>
    <row r="634" spans="1:7" x14ac:dyDescent="0.3">
      <c r="A634" s="11" t="s">
        <v>962</v>
      </c>
      <c r="B634" s="11" t="s">
        <v>5976</v>
      </c>
      <c r="C634" s="396">
        <v>2786</v>
      </c>
      <c r="D634" s="396">
        <v>2030038.33873542</v>
      </c>
      <c r="E634" s="397">
        <v>2506.9028553768799</v>
      </c>
      <c r="F634" s="398">
        <v>55.520032062497897</v>
      </c>
      <c r="G634" s="399">
        <v>6.8561920359966597E-2</v>
      </c>
    </row>
    <row r="635" spans="1:7" x14ac:dyDescent="0.3">
      <c r="A635" s="6" t="s">
        <v>964</v>
      </c>
      <c r="B635" s="6" t="s">
        <v>5977</v>
      </c>
      <c r="C635" s="392">
        <v>5845</v>
      </c>
      <c r="D635" s="392">
        <v>1626368.66126459</v>
      </c>
      <c r="E635" s="393">
        <v>2506.9028553756102</v>
      </c>
      <c r="F635" s="394">
        <v>44.479967937502103</v>
      </c>
      <c r="G635" s="395">
        <v>6.8561920359964501E-2</v>
      </c>
    </row>
    <row r="636" spans="1:7" x14ac:dyDescent="0.3">
      <c r="A636" s="11" t="s">
        <v>6269</v>
      </c>
      <c r="B636" s="11" t="s">
        <v>6270</v>
      </c>
      <c r="C636" s="396">
        <v>8631</v>
      </c>
      <c r="D636" s="396">
        <v>3656407.0000000098</v>
      </c>
      <c r="E636" s="397">
        <v>1.2215956246684301E-7</v>
      </c>
      <c r="F636" s="398">
        <v>100</v>
      </c>
      <c r="G636" s="399">
        <v>1.02786679142825E-14</v>
      </c>
    </row>
    <row r="637" spans="1:7" x14ac:dyDescent="0.3">
      <c r="A637" s="6" t="s">
        <v>6269</v>
      </c>
      <c r="B637" s="6" t="s">
        <v>6271</v>
      </c>
      <c r="C637" s="392">
        <v>8631</v>
      </c>
      <c r="D637" s="392">
        <v>3656407.0000000098</v>
      </c>
      <c r="E637" s="393">
        <v>0</v>
      </c>
      <c r="F637" s="394">
        <v>100</v>
      </c>
      <c r="G637" s="395">
        <v>0</v>
      </c>
    </row>
    <row r="638" spans="1:7" x14ac:dyDescent="0.3">
      <c r="A638" s="3299" t="s">
        <v>773</v>
      </c>
      <c r="B638" s="3298"/>
      <c r="C638" s="3298"/>
      <c r="D638" s="3298"/>
      <c r="E638" s="3298"/>
      <c r="F638" s="3298"/>
      <c r="G638" s="3298"/>
    </row>
    <row r="639" spans="1:7" x14ac:dyDescent="0.3">
      <c r="A639" s="11" t="s">
        <v>962</v>
      </c>
      <c r="B639" s="11" t="s">
        <v>6084</v>
      </c>
      <c r="C639" s="404">
        <v>5986</v>
      </c>
      <c r="D639" s="404">
        <v>2532797.4867268498</v>
      </c>
      <c r="E639" s="405">
        <v>19506.9472027997</v>
      </c>
      <c r="F639" s="406">
        <v>69.270119183308793</v>
      </c>
      <c r="G639" s="407">
        <v>0.53350043369888001</v>
      </c>
    </row>
    <row r="640" spans="1:7" x14ac:dyDescent="0.3">
      <c r="A640" s="6" t="s">
        <v>968</v>
      </c>
      <c r="B640" s="6" t="s">
        <v>6087</v>
      </c>
      <c r="C640" s="400">
        <v>2094</v>
      </c>
      <c r="D640" s="400">
        <v>795321.58200455306</v>
      </c>
      <c r="E640" s="401">
        <v>26528.5090987642</v>
      </c>
      <c r="F640" s="402">
        <v>21.751451137812399</v>
      </c>
      <c r="G640" s="403">
        <v>0.72553490622800998</v>
      </c>
    </row>
    <row r="641" spans="1:7" x14ac:dyDescent="0.3">
      <c r="A641" s="11" t="s">
        <v>964</v>
      </c>
      <c r="B641" s="11" t="s">
        <v>6085</v>
      </c>
      <c r="C641" s="404">
        <v>548</v>
      </c>
      <c r="D641" s="404">
        <v>327672.33887803101</v>
      </c>
      <c r="E641" s="405">
        <v>14313.5588426009</v>
      </c>
      <c r="F641" s="406">
        <v>8.9615936868633792</v>
      </c>
      <c r="G641" s="407">
        <v>0.39146514167053398</v>
      </c>
    </row>
    <row r="642" spans="1:7" x14ac:dyDescent="0.3">
      <c r="A642" s="6" t="s">
        <v>966</v>
      </c>
      <c r="B642" s="6" t="s">
        <v>6086</v>
      </c>
      <c r="C642" s="400">
        <v>3</v>
      </c>
      <c r="D642" s="400">
        <v>615.59239057226102</v>
      </c>
      <c r="E642" s="401">
        <v>418.61735298098301</v>
      </c>
      <c r="F642" s="402">
        <v>1.6835992015447401E-2</v>
      </c>
      <c r="G642" s="403">
        <v>1.14488718838188E-2</v>
      </c>
    </row>
    <row r="643" spans="1:7" x14ac:dyDescent="0.3">
      <c r="A643" s="11" t="s">
        <v>6269</v>
      </c>
      <c r="B643" s="11" t="s">
        <v>6270</v>
      </c>
      <c r="C643" s="404">
        <v>8631</v>
      </c>
      <c r="D643" s="404">
        <v>3656407.0000000098</v>
      </c>
      <c r="E643" s="405">
        <v>4.2269412414253598E-8</v>
      </c>
      <c r="F643" s="406">
        <v>100</v>
      </c>
      <c r="G643" s="407">
        <v>1.45362315675074E-14</v>
      </c>
    </row>
    <row r="644" spans="1:7" x14ac:dyDescent="0.3">
      <c r="A644" s="6" t="s">
        <v>6269</v>
      </c>
      <c r="B644" s="6" t="s">
        <v>6271</v>
      </c>
      <c r="C644" s="400">
        <v>8631</v>
      </c>
      <c r="D644" s="400">
        <v>3656407.0000000098</v>
      </c>
      <c r="E644" s="401">
        <v>0</v>
      </c>
      <c r="F644" s="402">
        <v>100</v>
      </c>
      <c r="G644" s="403">
        <v>0</v>
      </c>
    </row>
    <row r="645" spans="1:7" x14ac:dyDescent="0.3">
      <c r="A645" s="3299" t="s">
        <v>775</v>
      </c>
      <c r="B645" s="3298"/>
      <c r="C645" s="3298"/>
      <c r="D645" s="3298"/>
      <c r="E645" s="3298"/>
      <c r="F645" s="3298"/>
      <c r="G645" s="3298"/>
    </row>
    <row r="646" spans="1:7" x14ac:dyDescent="0.3">
      <c r="A646" s="11" t="s">
        <v>970</v>
      </c>
      <c r="B646" s="11" t="s">
        <v>6092</v>
      </c>
      <c r="C646" s="412">
        <v>2320</v>
      </c>
      <c r="D646" s="412">
        <v>1808849.26537679</v>
      </c>
      <c r="E646" s="413">
        <v>12745.8662594363</v>
      </c>
      <c r="F646" s="414">
        <v>49.470676141271703</v>
      </c>
      <c r="G646" s="415">
        <v>0.348589920636172</v>
      </c>
    </row>
    <row r="647" spans="1:7" x14ac:dyDescent="0.3">
      <c r="A647" s="6" t="s">
        <v>972</v>
      </c>
      <c r="B647" s="6" t="s">
        <v>6093</v>
      </c>
      <c r="C647" s="408">
        <v>2645</v>
      </c>
      <c r="D647" s="408">
        <v>1123609.51327316</v>
      </c>
      <c r="E647" s="409">
        <v>19506.9472027966</v>
      </c>
      <c r="F647" s="410">
        <v>30.7298808166912</v>
      </c>
      <c r="G647" s="411">
        <v>0.53350043369891498</v>
      </c>
    </row>
    <row r="648" spans="1:7" x14ac:dyDescent="0.3">
      <c r="A648" s="11" t="s">
        <v>962</v>
      </c>
      <c r="B648" s="11" t="s">
        <v>6088</v>
      </c>
      <c r="C648" s="412">
        <v>1912</v>
      </c>
      <c r="D648" s="412">
        <v>379761.54669962102</v>
      </c>
      <c r="E648" s="413">
        <v>20237.1022283149</v>
      </c>
      <c r="F648" s="414">
        <v>10.386194608522</v>
      </c>
      <c r="G648" s="415">
        <v>0.55346962819824597</v>
      </c>
    </row>
    <row r="649" spans="1:7" x14ac:dyDescent="0.3">
      <c r="A649" s="6" t="s">
        <v>964</v>
      </c>
      <c r="B649" s="6" t="s">
        <v>6089</v>
      </c>
      <c r="C649" s="408">
        <v>1688</v>
      </c>
      <c r="D649" s="408">
        <v>336158.833001166</v>
      </c>
      <c r="E649" s="409">
        <v>5516.5029704894196</v>
      </c>
      <c r="F649" s="410">
        <v>9.1936929614555005</v>
      </c>
      <c r="G649" s="411">
        <v>0.15087223524321799</v>
      </c>
    </row>
    <row r="650" spans="1:7" x14ac:dyDescent="0.3">
      <c r="A650" s="11" t="s">
        <v>968</v>
      </c>
      <c r="B650" s="11" t="s">
        <v>6091</v>
      </c>
      <c r="C650" s="412">
        <v>63</v>
      </c>
      <c r="D650" s="412">
        <v>7664.2546112456403</v>
      </c>
      <c r="E650" s="413">
        <v>1680.93264636822</v>
      </c>
      <c r="F650" s="414">
        <v>0.20961163818047701</v>
      </c>
      <c r="G650" s="415">
        <v>4.5972252169089102E-2</v>
      </c>
    </row>
    <row r="651" spans="1:7" x14ac:dyDescent="0.3">
      <c r="A651" s="6" t="s">
        <v>966</v>
      </c>
      <c r="B651" s="6" t="s">
        <v>6090</v>
      </c>
      <c r="C651" s="408">
        <v>3</v>
      </c>
      <c r="D651" s="408">
        <v>363.587038022549</v>
      </c>
      <c r="E651" s="409">
        <v>365.83863277556998</v>
      </c>
      <c r="F651" s="410">
        <v>9.9438338790662096E-3</v>
      </c>
      <c r="G651" s="411">
        <v>1.0005413313549901E-2</v>
      </c>
    </row>
    <row r="652" spans="1:7" x14ac:dyDescent="0.3">
      <c r="A652" s="11" t="s">
        <v>6269</v>
      </c>
      <c r="B652" s="11" t="s">
        <v>6270</v>
      </c>
      <c r="C652" s="412">
        <v>8631</v>
      </c>
      <c r="D652" s="412">
        <v>3656407</v>
      </c>
      <c r="E652" s="413">
        <v>4.9898134467187902E-8</v>
      </c>
      <c r="F652" s="414">
        <v>100</v>
      </c>
      <c r="G652" s="415">
        <v>9.5873031797334296E-14</v>
      </c>
    </row>
    <row r="653" spans="1:7" x14ac:dyDescent="0.3">
      <c r="A653" s="6" t="s">
        <v>6269</v>
      </c>
      <c r="B653" s="6" t="s">
        <v>6271</v>
      </c>
      <c r="C653" s="408">
        <v>8631</v>
      </c>
      <c r="D653" s="408">
        <v>3656407</v>
      </c>
      <c r="E653" s="409">
        <v>0</v>
      </c>
      <c r="F653" s="410">
        <v>100</v>
      </c>
      <c r="G653" s="411">
        <v>0</v>
      </c>
    </row>
    <row r="654" spans="1:7" x14ac:dyDescent="0.3">
      <c r="A654" s="3299" t="s">
        <v>777</v>
      </c>
      <c r="B654" s="3298"/>
      <c r="C654" s="3298"/>
      <c r="D654" s="3298"/>
      <c r="E654" s="3298"/>
      <c r="F654" s="3298"/>
      <c r="G654" s="3298"/>
    </row>
    <row r="655" spans="1:7" x14ac:dyDescent="0.3">
      <c r="A655" s="11" t="s">
        <v>962</v>
      </c>
      <c r="B655" s="11" t="s">
        <v>6094</v>
      </c>
      <c r="C655" s="420">
        <v>6534</v>
      </c>
      <c r="D655" s="420">
        <v>2860469.8256048802</v>
      </c>
      <c r="E655" s="421">
        <v>26605.618246831</v>
      </c>
      <c r="F655" s="422">
        <v>78.231712870172203</v>
      </c>
      <c r="G655" s="423">
        <v>0.72764378382478101</v>
      </c>
    </row>
    <row r="656" spans="1:7" x14ac:dyDescent="0.3">
      <c r="A656" s="6" t="s">
        <v>964</v>
      </c>
      <c r="B656" s="6" t="s">
        <v>6095</v>
      </c>
      <c r="C656" s="416">
        <v>2097</v>
      </c>
      <c r="D656" s="416">
        <v>795937.17439512501</v>
      </c>
      <c r="E656" s="417">
        <v>26605.618246835202</v>
      </c>
      <c r="F656" s="418">
        <v>21.768287129827801</v>
      </c>
      <c r="G656" s="419">
        <v>0.72764378382478501</v>
      </c>
    </row>
    <row r="657" spans="1:7" x14ac:dyDescent="0.3">
      <c r="A657" s="11" t="s">
        <v>6269</v>
      </c>
      <c r="B657" s="11" t="s">
        <v>6270</v>
      </c>
      <c r="C657" s="420">
        <v>8631</v>
      </c>
      <c r="D657" s="420">
        <v>3656407.0000000098</v>
      </c>
      <c r="E657" s="421">
        <v>2.9341412361427801E-8</v>
      </c>
      <c r="F657" s="422">
        <v>100</v>
      </c>
      <c r="G657" s="423">
        <v>0</v>
      </c>
    </row>
    <row r="658" spans="1:7" x14ac:dyDescent="0.3">
      <c r="A658" s="6" t="s">
        <v>6269</v>
      </c>
      <c r="B658" s="6" t="s">
        <v>6271</v>
      </c>
      <c r="C658" s="416">
        <v>8631</v>
      </c>
      <c r="D658" s="416">
        <v>3656407.0000000098</v>
      </c>
      <c r="E658" s="417">
        <v>0</v>
      </c>
      <c r="F658" s="418">
        <v>100</v>
      </c>
      <c r="G658" s="419">
        <v>0</v>
      </c>
    </row>
    <row r="659" spans="1:7" x14ac:dyDescent="0.3">
      <c r="A659" s="3299" t="s">
        <v>209</v>
      </c>
      <c r="B659" s="3298"/>
      <c r="C659" s="3298"/>
      <c r="D659" s="3298"/>
      <c r="E659" s="3298"/>
      <c r="F659" s="3298"/>
      <c r="G659" s="3298"/>
    </row>
    <row r="660" spans="1:7" x14ac:dyDescent="0.3">
      <c r="A660" s="11" t="s">
        <v>6414</v>
      </c>
      <c r="B660" s="11"/>
      <c r="C660" s="428">
        <v>389</v>
      </c>
      <c r="D660" s="428">
        <v>215402.77886826199</v>
      </c>
      <c r="E660" s="429">
        <v>12078.957902324</v>
      </c>
      <c r="F660" s="430">
        <v>5.8911050894569996</v>
      </c>
      <c r="G660" s="431">
        <v>0.33035047527050199</v>
      </c>
    </row>
    <row r="661" spans="1:7" x14ac:dyDescent="0.3">
      <c r="A661" s="6" t="s">
        <v>6415</v>
      </c>
      <c r="B661" s="6"/>
      <c r="C661" s="424">
        <v>379</v>
      </c>
      <c r="D661" s="424">
        <v>153894.19142542701</v>
      </c>
      <c r="E661" s="425">
        <v>8536.9481620591105</v>
      </c>
      <c r="F661" s="426">
        <v>4.2088911717275099</v>
      </c>
      <c r="G661" s="427">
        <v>0.23347915486594201</v>
      </c>
    </row>
    <row r="662" spans="1:7" x14ac:dyDescent="0.3">
      <c r="A662" s="11" t="s">
        <v>6416</v>
      </c>
      <c r="B662" s="11"/>
      <c r="C662" s="428">
        <v>377</v>
      </c>
      <c r="D662" s="428">
        <v>148576.556459949</v>
      </c>
      <c r="E662" s="429">
        <v>7648.7579501255896</v>
      </c>
      <c r="F662" s="430">
        <v>4.0634578278607698</v>
      </c>
      <c r="G662" s="431">
        <v>0.20918781607533299</v>
      </c>
    </row>
    <row r="663" spans="1:7" x14ac:dyDescent="0.3">
      <c r="A663" s="6" t="s">
        <v>6417</v>
      </c>
      <c r="B663" s="6"/>
      <c r="C663" s="424">
        <v>354</v>
      </c>
      <c r="D663" s="424">
        <v>148071.078543899</v>
      </c>
      <c r="E663" s="425">
        <v>10250.801580487499</v>
      </c>
      <c r="F663" s="426">
        <v>4.0496333844645598</v>
      </c>
      <c r="G663" s="427">
        <v>0.28035176555803498</v>
      </c>
    </row>
    <row r="664" spans="1:7" x14ac:dyDescent="0.3">
      <c r="A664" s="11" t="s">
        <v>6418</v>
      </c>
      <c r="B664" s="11"/>
      <c r="C664" s="428">
        <v>226</v>
      </c>
      <c r="D664" s="428">
        <v>131556.97304377699</v>
      </c>
      <c r="E664" s="429">
        <v>11535.3974417502</v>
      </c>
      <c r="F664" s="430">
        <v>3.5979849355877902</v>
      </c>
      <c r="G664" s="431">
        <v>0.315484502730421</v>
      </c>
    </row>
    <row r="665" spans="1:7" x14ac:dyDescent="0.3">
      <c r="A665" s="6" t="s">
        <v>6419</v>
      </c>
      <c r="B665" s="6"/>
      <c r="C665" s="424">
        <v>265</v>
      </c>
      <c r="D665" s="424">
        <v>129386.701740654</v>
      </c>
      <c r="E665" s="425">
        <v>11231.271263799899</v>
      </c>
      <c r="F665" s="426">
        <v>3.5386296367076699</v>
      </c>
      <c r="G665" s="427">
        <v>0.30716687895521499</v>
      </c>
    </row>
    <row r="666" spans="1:7" x14ac:dyDescent="0.3">
      <c r="A666" s="11" t="s">
        <v>6420</v>
      </c>
      <c r="B666" s="11"/>
      <c r="C666" s="428">
        <v>352</v>
      </c>
      <c r="D666" s="428">
        <v>114612.98946158899</v>
      </c>
      <c r="E666" s="429">
        <v>6696.68227615452</v>
      </c>
      <c r="F666" s="430">
        <v>3.1345796422988199</v>
      </c>
      <c r="G666" s="431">
        <v>0.18314925762242901</v>
      </c>
    </row>
    <row r="667" spans="1:7" x14ac:dyDescent="0.3">
      <c r="A667" s="6" t="s">
        <v>6421</v>
      </c>
      <c r="B667" s="6"/>
      <c r="C667" s="424">
        <v>124</v>
      </c>
      <c r="D667" s="424">
        <v>108572.863450177</v>
      </c>
      <c r="E667" s="425">
        <v>10262.011346237399</v>
      </c>
      <c r="F667" s="426">
        <v>2.9693867080491101</v>
      </c>
      <c r="G667" s="427">
        <v>0.28065834427724901</v>
      </c>
    </row>
    <row r="668" spans="1:7" x14ac:dyDescent="0.3">
      <c r="A668" s="11" t="s">
        <v>6422</v>
      </c>
      <c r="B668" s="11"/>
      <c r="C668" s="428">
        <v>216</v>
      </c>
      <c r="D668" s="428">
        <v>102700.835266964</v>
      </c>
      <c r="E668" s="429">
        <v>7918.9105777369004</v>
      </c>
      <c r="F668" s="430">
        <v>2.8087911238263201</v>
      </c>
      <c r="G668" s="431">
        <v>0.21657628862806699</v>
      </c>
    </row>
    <row r="669" spans="1:7" x14ac:dyDescent="0.3">
      <c r="A669" s="6" t="s">
        <v>6423</v>
      </c>
      <c r="B669" s="6"/>
      <c r="C669" s="424">
        <v>267</v>
      </c>
      <c r="D669" s="424">
        <v>96938.663435604205</v>
      </c>
      <c r="E669" s="425">
        <v>6678.70095341656</v>
      </c>
      <c r="F669" s="426">
        <v>2.6512000287605901</v>
      </c>
      <c r="G669" s="427">
        <v>0.182657481878154</v>
      </c>
    </row>
    <row r="670" spans="1:7" x14ac:dyDescent="0.3">
      <c r="A670" s="11" t="s">
        <v>6424</v>
      </c>
      <c r="B670" s="11"/>
      <c r="C670" s="428">
        <v>263</v>
      </c>
      <c r="D670" s="428">
        <v>94346.049502713795</v>
      </c>
      <c r="E670" s="429">
        <v>10739.520991366</v>
      </c>
      <c r="F670" s="430">
        <v>2.58029397445946</v>
      </c>
      <c r="G670" s="431">
        <v>0.29371787635692598</v>
      </c>
    </row>
    <row r="671" spans="1:7" x14ac:dyDescent="0.3">
      <c r="A671" s="6" t="s">
        <v>6425</v>
      </c>
      <c r="B671" s="6"/>
      <c r="C671" s="424">
        <v>238</v>
      </c>
      <c r="D671" s="424">
        <v>88815.625480530696</v>
      </c>
      <c r="E671" s="425">
        <v>4406.8534909661603</v>
      </c>
      <c r="F671" s="426">
        <v>2.4290410088518799</v>
      </c>
      <c r="G671" s="427">
        <v>0.12052415092100301</v>
      </c>
    </row>
    <row r="672" spans="1:7" x14ac:dyDescent="0.3">
      <c r="A672" s="11" t="s">
        <v>6426</v>
      </c>
      <c r="B672" s="11"/>
      <c r="C672" s="428">
        <v>224</v>
      </c>
      <c r="D672" s="428">
        <v>85717.242737374894</v>
      </c>
      <c r="E672" s="429">
        <v>8208.4775020587895</v>
      </c>
      <c r="F672" s="430">
        <v>2.3443025554150498</v>
      </c>
      <c r="G672" s="431">
        <v>0.224495727692753</v>
      </c>
    </row>
    <row r="673" spans="1:7" x14ac:dyDescent="0.3">
      <c r="A673" s="6" t="s">
        <v>6427</v>
      </c>
      <c r="B673" s="6"/>
      <c r="C673" s="424">
        <v>102</v>
      </c>
      <c r="D673" s="424">
        <v>85362.536061197097</v>
      </c>
      <c r="E673" s="425">
        <v>15989.058712136701</v>
      </c>
      <c r="F673" s="426">
        <v>2.33460159279853</v>
      </c>
      <c r="G673" s="427">
        <v>0.43728881145169801</v>
      </c>
    </row>
    <row r="674" spans="1:7" x14ac:dyDescent="0.3">
      <c r="A674" s="11" t="s">
        <v>6428</v>
      </c>
      <c r="B674" s="11"/>
      <c r="C674" s="428">
        <v>190</v>
      </c>
      <c r="D674" s="428">
        <v>85019.105577460898</v>
      </c>
      <c r="E674" s="429">
        <v>7791.8107365248698</v>
      </c>
      <c r="F674" s="430">
        <v>2.3252090256216298</v>
      </c>
      <c r="G674" s="431">
        <v>0.21310020291846199</v>
      </c>
    </row>
    <row r="675" spans="1:7" x14ac:dyDescent="0.3">
      <c r="A675" s="6" t="s">
        <v>6429</v>
      </c>
      <c r="B675" s="6"/>
      <c r="C675" s="424">
        <v>190</v>
      </c>
      <c r="D675" s="424">
        <v>79609.188533644206</v>
      </c>
      <c r="E675" s="425">
        <v>8644.7383959005492</v>
      </c>
      <c r="F675" s="426">
        <v>2.1772518358499</v>
      </c>
      <c r="G675" s="427">
        <v>0.23642713723884101</v>
      </c>
    </row>
    <row r="676" spans="1:7" x14ac:dyDescent="0.3">
      <c r="A676" s="11" t="s">
        <v>6430</v>
      </c>
      <c r="B676" s="11"/>
      <c r="C676" s="428">
        <v>193</v>
      </c>
      <c r="D676" s="428">
        <v>78566.554144093199</v>
      </c>
      <c r="E676" s="429">
        <v>8652.3692096931609</v>
      </c>
      <c r="F676" s="430">
        <v>2.1487365641760698</v>
      </c>
      <c r="G676" s="431">
        <v>0.236635834295612</v>
      </c>
    </row>
    <row r="677" spans="1:7" x14ac:dyDescent="0.3">
      <c r="A677" s="6" t="s">
        <v>6431</v>
      </c>
      <c r="B677" s="6"/>
      <c r="C677" s="424">
        <v>275</v>
      </c>
      <c r="D677" s="424">
        <v>77480.828584634204</v>
      </c>
      <c r="E677" s="425">
        <v>7098.9335489655996</v>
      </c>
      <c r="F677" s="426">
        <v>2.1190427811957</v>
      </c>
      <c r="G677" s="427">
        <v>0.19415052943957101</v>
      </c>
    </row>
    <row r="678" spans="1:7" x14ac:dyDescent="0.3">
      <c r="A678" s="11" t="s">
        <v>6432</v>
      </c>
      <c r="B678" s="11"/>
      <c r="C678" s="428">
        <v>106</v>
      </c>
      <c r="D678" s="428">
        <v>76049.418997119894</v>
      </c>
      <c r="E678" s="429">
        <v>6386.6315389544397</v>
      </c>
      <c r="F678" s="430">
        <v>2.07989479828476</v>
      </c>
      <c r="G678" s="431">
        <v>0.174669601577572</v>
      </c>
    </row>
    <row r="679" spans="1:7" x14ac:dyDescent="0.3">
      <c r="A679" s="6" t="s">
        <v>6433</v>
      </c>
      <c r="B679" s="6"/>
      <c r="C679" s="424">
        <v>104</v>
      </c>
      <c r="D679" s="424">
        <v>75931.994099337506</v>
      </c>
      <c r="E679" s="425">
        <v>7144.7431511607201</v>
      </c>
      <c r="F679" s="426">
        <v>2.0766833150504702</v>
      </c>
      <c r="G679" s="427">
        <v>0.19540338783840899</v>
      </c>
    </row>
    <row r="680" spans="1:7" x14ac:dyDescent="0.3">
      <c r="A680" s="11" t="s">
        <v>6434</v>
      </c>
      <c r="B680" s="11"/>
      <c r="C680" s="428">
        <v>168</v>
      </c>
      <c r="D680" s="428">
        <v>74646.149801512307</v>
      </c>
      <c r="E680" s="429">
        <v>4837.50742371458</v>
      </c>
      <c r="F680" s="430">
        <v>2.0415164340707199</v>
      </c>
      <c r="G680" s="431">
        <v>0.13230221426976099</v>
      </c>
    </row>
    <row r="681" spans="1:7" x14ac:dyDescent="0.3">
      <c r="A681" s="6" t="s">
        <v>6435</v>
      </c>
      <c r="B681" s="6"/>
      <c r="C681" s="424">
        <v>248</v>
      </c>
      <c r="D681" s="424">
        <v>74379.591013552999</v>
      </c>
      <c r="E681" s="425">
        <v>3403.59968849701</v>
      </c>
      <c r="F681" s="426">
        <v>2.0342262503477602</v>
      </c>
      <c r="G681" s="427">
        <v>9.3085908885334107E-2</v>
      </c>
    </row>
    <row r="682" spans="1:7" x14ac:dyDescent="0.3">
      <c r="A682" s="11" t="s">
        <v>6436</v>
      </c>
      <c r="B682" s="11"/>
      <c r="C682" s="428">
        <v>201</v>
      </c>
      <c r="D682" s="428">
        <v>73038.6212951411</v>
      </c>
      <c r="E682" s="429">
        <v>11002.244985335699</v>
      </c>
      <c r="F682" s="430">
        <v>1.99755173029537</v>
      </c>
      <c r="G682" s="431">
        <v>0.30090318132898503</v>
      </c>
    </row>
    <row r="683" spans="1:7" x14ac:dyDescent="0.3">
      <c r="A683" s="6" t="s">
        <v>6437</v>
      </c>
      <c r="B683" s="6"/>
      <c r="C683" s="424">
        <v>166</v>
      </c>
      <c r="D683" s="424">
        <v>69880.091480489995</v>
      </c>
      <c r="E683" s="425">
        <v>6433.5433728241096</v>
      </c>
      <c r="F683" s="426">
        <v>1.91116829938489</v>
      </c>
      <c r="G683" s="427">
        <v>0.175952605189306</v>
      </c>
    </row>
    <row r="684" spans="1:7" x14ac:dyDescent="0.3">
      <c r="A684" s="11" t="s">
        <v>6438</v>
      </c>
      <c r="B684" s="11"/>
      <c r="C684" s="428">
        <v>208</v>
      </c>
      <c r="D684" s="428">
        <v>69429.082972000993</v>
      </c>
      <c r="E684" s="429">
        <v>5001.6657591204403</v>
      </c>
      <c r="F684" s="430">
        <v>1.89883355359513</v>
      </c>
      <c r="G684" s="431">
        <v>0.136791822111719</v>
      </c>
    </row>
    <row r="685" spans="1:7" x14ac:dyDescent="0.3">
      <c r="A685" s="6" t="s">
        <v>6439</v>
      </c>
      <c r="B685" s="6"/>
      <c r="C685" s="424">
        <v>188</v>
      </c>
      <c r="D685" s="424">
        <v>69101.960108345695</v>
      </c>
      <c r="E685" s="425">
        <v>7861.1970636578098</v>
      </c>
      <c r="F685" s="426">
        <v>1.8898869876451301</v>
      </c>
      <c r="G685" s="427">
        <v>0.214997867131798</v>
      </c>
    </row>
    <row r="686" spans="1:7" x14ac:dyDescent="0.3">
      <c r="A686" s="11" t="s">
        <v>6440</v>
      </c>
      <c r="B686" s="11"/>
      <c r="C686" s="428">
        <v>90</v>
      </c>
      <c r="D686" s="428">
        <v>68766.135155869895</v>
      </c>
      <c r="E686" s="429">
        <v>6807.2661325808604</v>
      </c>
      <c r="F686" s="430">
        <v>1.8807024260666301</v>
      </c>
      <c r="G686" s="431">
        <v>0.18617364348610099</v>
      </c>
    </row>
    <row r="687" spans="1:7" x14ac:dyDescent="0.3">
      <c r="A687" s="6" t="s">
        <v>6441</v>
      </c>
      <c r="B687" s="6"/>
      <c r="C687" s="424">
        <v>239</v>
      </c>
      <c r="D687" s="424">
        <v>68211.425169934897</v>
      </c>
      <c r="E687" s="425">
        <v>5286.1773229144401</v>
      </c>
      <c r="F687" s="426">
        <v>1.86553152233695</v>
      </c>
      <c r="G687" s="427">
        <v>0.14457300084247801</v>
      </c>
    </row>
    <row r="688" spans="1:7" x14ac:dyDescent="0.3">
      <c r="A688" s="11" t="s">
        <v>6442</v>
      </c>
      <c r="B688" s="11"/>
      <c r="C688" s="428">
        <v>168</v>
      </c>
      <c r="D688" s="428">
        <v>65134.477462958901</v>
      </c>
      <c r="E688" s="429">
        <v>3836.5953117436602</v>
      </c>
      <c r="F688" s="430">
        <v>1.78137930112701</v>
      </c>
      <c r="G688" s="431">
        <v>0.104928015719904</v>
      </c>
    </row>
    <row r="689" spans="1:7" x14ac:dyDescent="0.3">
      <c r="A689" s="6" t="s">
        <v>6443</v>
      </c>
      <c r="B689" s="6"/>
      <c r="C689" s="424">
        <v>173</v>
      </c>
      <c r="D689" s="424">
        <v>61941.045450054102</v>
      </c>
      <c r="E689" s="425">
        <v>8285.8568994865109</v>
      </c>
      <c r="F689" s="426">
        <v>1.69404132116731</v>
      </c>
      <c r="G689" s="427">
        <v>0.22661199640758101</v>
      </c>
    </row>
    <row r="690" spans="1:7" x14ac:dyDescent="0.3">
      <c r="A690" s="11" t="s">
        <v>6444</v>
      </c>
      <c r="B690" s="11"/>
      <c r="C690" s="428">
        <v>107</v>
      </c>
      <c r="D690" s="428">
        <v>60954.174788597003</v>
      </c>
      <c r="E690" s="429">
        <v>11236.336896966101</v>
      </c>
      <c r="F690" s="430">
        <v>1.66705114579961</v>
      </c>
      <c r="G690" s="431">
        <v>0.30730542023812302</v>
      </c>
    </row>
    <row r="691" spans="1:7" x14ac:dyDescent="0.3">
      <c r="A691" s="6" t="s">
        <v>6445</v>
      </c>
      <c r="B691" s="6"/>
      <c r="C691" s="424">
        <v>141</v>
      </c>
      <c r="D691" s="424">
        <v>60539.852890953902</v>
      </c>
      <c r="E691" s="425">
        <v>5044.82223073154</v>
      </c>
      <c r="F691" s="426">
        <v>1.65571975141044</v>
      </c>
      <c r="G691" s="427">
        <v>0.137972119371052</v>
      </c>
    </row>
    <row r="692" spans="1:7" x14ac:dyDescent="0.3">
      <c r="A692" s="11" t="s">
        <v>6446</v>
      </c>
      <c r="B692" s="11"/>
      <c r="C692" s="428">
        <v>163</v>
      </c>
      <c r="D692" s="428">
        <v>60261.342850927103</v>
      </c>
      <c r="E692" s="429">
        <v>5568.9999992627399</v>
      </c>
      <c r="F692" s="430">
        <v>1.6481027098713901</v>
      </c>
      <c r="G692" s="431">
        <v>0.15230798976325</v>
      </c>
    </row>
    <row r="693" spans="1:7" x14ac:dyDescent="0.3">
      <c r="A693" s="6" t="s">
        <v>6447</v>
      </c>
      <c r="B693" s="6"/>
      <c r="C693" s="424">
        <v>140</v>
      </c>
      <c r="D693" s="424">
        <v>58981.705273571803</v>
      </c>
      <c r="E693" s="425">
        <v>6772.8758575432803</v>
      </c>
      <c r="F693" s="426">
        <v>1.61310557805988</v>
      </c>
      <c r="G693" s="427">
        <v>0.18523309515443001</v>
      </c>
    </row>
    <row r="694" spans="1:7" x14ac:dyDescent="0.3">
      <c r="A694" s="11" t="s">
        <v>6448</v>
      </c>
      <c r="B694" s="11"/>
      <c r="C694" s="428">
        <v>137</v>
      </c>
      <c r="D694" s="428">
        <v>58566.878734850601</v>
      </c>
      <c r="E694" s="429">
        <v>6036.48639311226</v>
      </c>
      <c r="F694" s="430">
        <v>1.6017603821142099</v>
      </c>
      <c r="G694" s="431">
        <v>0.16509339340812601</v>
      </c>
    </row>
    <row r="695" spans="1:7" x14ac:dyDescent="0.3">
      <c r="A695" s="6" t="s">
        <v>6449</v>
      </c>
      <c r="B695" s="6"/>
      <c r="C695" s="424">
        <v>170</v>
      </c>
      <c r="D695" s="424">
        <v>58434.928778420697</v>
      </c>
      <c r="E695" s="425">
        <v>5010.6108914730403</v>
      </c>
      <c r="F695" s="426">
        <v>1.5981516493765799</v>
      </c>
      <c r="G695" s="427">
        <v>0.13703646479927001</v>
      </c>
    </row>
    <row r="696" spans="1:7" x14ac:dyDescent="0.3">
      <c r="A696" s="11" t="s">
        <v>6450</v>
      </c>
      <c r="B696" s="11"/>
      <c r="C696" s="428">
        <v>102</v>
      </c>
      <c r="D696" s="428">
        <v>57070.3425267368</v>
      </c>
      <c r="E696" s="429">
        <v>8014.9717802896903</v>
      </c>
      <c r="F696" s="430">
        <v>1.5608312347814901</v>
      </c>
      <c r="G696" s="431">
        <v>0.21920349075717499</v>
      </c>
    </row>
    <row r="697" spans="1:7" x14ac:dyDescent="0.3">
      <c r="A697" s="6" t="s">
        <v>6451</v>
      </c>
      <c r="B697" s="6"/>
      <c r="C697" s="424">
        <v>189</v>
      </c>
      <c r="D697" s="424">
        <v>52987.115756489402</v>
      </c>
      <c r="E697" s="425">
        <v>3676.0043617851502</v>
      </c>
      <c r="F697" s="426">
        <v>1.4491580329128999</v>
      </c>
      <c r="G697" s="427">
        <v>0.100535973204984</v>
      </c>
    </row>
    <row r="698" spans="1:7" x14ac:dyDescent="0.3">
      <c r="A698" s="11" t="s">
        <v>6452</v>
      </c>
      <c r="B698" s="11"/>
      <c r="C698" s="428">
        <v>111</v>
      </c>
      <c r="D698" s="428">
        <v>52619.500308769399</v>
      </c>
      <c r="E698" s="429">
        <v>7861.8974468166198</v>
      </c>
      <c r="F698" s="430">
        <v>1.4391040250379501</v>
      </c>
      <c r="G698" s="431">
        <v>0.21501702208798501</v>
      </c>
    </row>
    <row r="699" spans="1:7" x14ac:dyDescent="0.3">
      <c r="A699" s="6" t="s">
        <v>6453</v>
      </c>
      <c r="B699" s="6"/>
      <c r="C699" s="424">
        <v>143</v>
      </c>
      <c r="D699" s="424">
        <v>52335.108452992201</v>
      </c>
      <c r="E699" s="425">
        <v>7395.9252823598399</v>
      </c>
      <c r="F699" s="426">
        <v>1.43132612023203</v>
      </c>
      <c r="G699" s="427">
        <v>0.20227303148582301</v>
      </c>
    </row>
    <row r="700" spans="1:7" x14ac:dyDescent="0.3">
      <c r="A700" s="11" t="s">
        <v>6454</v>
      </c>
      <c r="B700" s="11"/>
      <c r="C700" s="428">
        <v>193</v>
      </c>
      <c r="D700" s="428">
        <v>50291.202754207501</v>
      </c>
      <c r="E700" s="429">
        <v>4533.1978493295901</v>
      </c>
      <c r="F700" s="430">
        <v>1.3754268262315299</v>
      </c>
      <c r="G700" s="431">
        <v>0.12397957473906999</v>
      </c>
    </row>
    <row r="701" spans="1:7" x14ac:dyDescent="0.3">
      <c r="A701" s="6" t="s">
        <v>6455</v>
      </c>
      <c r="B701" s="6"/>
      <c r="C701" s="424">
        <v>170</v>
      </c>
      <c r="D701" s="424">
        <v>45897.717610913598</v>
      </c>
      <c r="E701" s="425">
        <v>5086.6122636460004</v>
      </c>
      <c r="F701" s="426">
        <v>1.25526828963279</v>
      </c>
      <c r="G701" s="427">
        <v>0.13911504555280599</v>
      </c>
    </row>
    <row r="702" spans="1:7" x14ac:dyDescent="0.3">
      <c r="A702" s="11" t="s">
        <v>6456</v>
      </c>
      <c r="B702" s="11"/>
      <c r="C702" s="428">
        <v>66</v>
      </c>
      <c r="D702" s="428">
        <v>40175.8442240351</v>
      </c>
      <c r="E702" s="429">
        <v>6889.38592951595</v>
      </c>
      <c r="F702" s="430">
        <v>1.0987793269194299</v>
      </c>
      <c r="G702" s="431">
        <v>0.188419558586228</v>
      </c>
    </row>
    <row r="703" spans="1:7" x14ac:dyDescent="0.3">
      <c r="A703" s="6" t="s">
        <v>6457</v>
      </c>
      <c r="B703" s="6"/>
      <c r="C703" s="424">
        <v>66</v>
      </c>
      <c r="D703" s="424">
        <v>38883.289065286401</v>
      </c>
      <c r="E703" s="425">
        <v>4792.10489366191</v>
      </c>
      <c r="F703" s="426">
        <v>1.06342890890665</v>
      </c>
      <c r="G703" s="427">
        <v>0.131060488989927</v>
      </c>
    </row>
    <row r="704" spans="1:7" x14ac:dyDescent="0.3">
      <c r="A704" s="11" t="s">
        <v>6458</v>
      </c>
      <c r="B704" s="11"/>
      <c r="C704" s="428">
        <v>42</v>
      </c>
      <c r="D704" s="428">
        <v>36088.832425189801</v>
      </c>
      <c r="E704" s="429">
        <v>7113.2857176301704</v>
      </c>
      <c r="F704" s="430">
        <v>0.98700260734622103</v>
      </c>
      <c r="G704" s="431">
        <v>0.19454305053103199</v>
      </c>
    </row>
    <row r="705" spans="1:7" x14ac:dyDescent="0.3">
      <c r="A705" s="6" t="s">
        <v>6459</v>
      </c>
      <c r="B705" s="6"/>
      <c r="C705" s="424">
        <v>1</v>
      </c>
      <c r="D705" s="424">
        <v>501.10180310389399</v>
      </c>
      <c r="E705" s="425">
        <v>503.90291310253502</v>
      </c>
      <c r="F705" s="426">
        <v>1.3704759976225099E-2</v>
      </c>
      <c r="G705" s="427">
        <v>1.37813682421715E-2</v>
      </c>
    </row>
    <row r="706" spans="1:7" x14ac:dyDescent="0.3">
      <c r="A706" s="11" t="s">
        <v>6460</v>
      </c>
      <c r="B706" s="11"/>
      <c r="C706" s="428">
        <v>1</v>
      </c>
      <c r="D706" s="428">
        <v>319.399872258958</v>
      </c>
      <c r="E706" s="429">
        <v>320.74879731970498</v>
      </c>
      <c r="F706" s="430">
        <v>8.7353479046221594E-3</v>
      </c>
      <c r="G706" s="431">
        <v>8.7722399973445102E-3</v>
      </c>
    </row>
    <row r="707" spans="1:7" x14ac:dyDescent="0.3">
      <c r="A707" s="6" t="s">
        <v>6461</v>
      </c>
      <c r="B707" s="6"/>
      <c r="C707" s="424">
        <v>1</v>
      </c>
      <c r="D707" s="424">
        <v>165.52024313733901</v>
      </c>
      <c r="E707" s="425">
        <v>165.88197193380799</v>
      </c>
      <c r="F707" s="426">
        <v>4.5268550010253003E-3</v>
      </c>
      <c r="G707" s="427">
        <v>4.5367480133860503E-3</v>
      </c>
    </row>
    <row r="708" spans="1:7" x14ac:dyDescent="0.3">
      <c r="A708" s="11" t="s">
        <v>6462</v>
      </c>
      <c r="B708" s="11"/>
      <c r="C708" s="428">
        <v>1</v>
      </c>
      <c r="D708" s="428">
        <v>103.663997568479</v>
      </c>
      <c r="E708" s="429">
        <v>104.769510062752</v>
      </c>
      <c r="F708" s="430">
        <v>2.8351328932604901E-3</v>
      </c>
      <c r="G708" s="431">
        <v>2.8653678341265601E-3</v>
      </c>
    </row>
    <row r="709" spans="1:7" x14ac:dyDescent="0.3">
      <c r="A709" s="6" t="s">
        <v>6463</v>
      </c>
      <c r="B709" s="6"/>
      <c r="C709" s="424">
        <v>1</v>
      </c>
      <c r="D709" s="424">
        <v>88.722317719766394</v>
      </c>
      <c r="E709" s="425">
        <v>89.063898348526905</v>
      </c>
      <c r="F709" s="426">
        <v>2.4264891112987801E-3</v>
      </c>
      <c r="G709" s="427">
        <v>2.4358310863239999E-3</v>
      </c>
    </row>
    <row r="710" spans="1:7" x14ac:dyDescent="0.3">
      <c r="A710" s="11" t="s">
        <v>6269</v>
      </c>
      <c r="B710" s="11" t="s">
        <v>6270</v>
      </c>
      <c r="C710" s="428">
        <v>8628</v>
      </c>
      <c r="D710" s="428">
        <v>3656407</v>
      </c>
      <c r="E710" s="429">
        <v>9.8120921783640406E-9</v>
      </c>
      <c r="F710" s="430">
        <v>100</v>
      </c>
      <c r="G710" s="431">
        <v>9.4764635797477106E-14</v>
      </c>
    </row>
    <row r="711" spans="1:7" x14ac:dyDescent="0.3">
      <c r="A711" s="6" t="s">
        <v>6269</v>
      </c>
      <c r="B711" s="6" t="s">
        <v>6271</v>
      </c>
      <c r="C711" s="424">
        <v>8628</v>
      </c>
      <c r="D711" s="424">
        <v>3656407</v>
      </c>
      <c r="E711" s="425">
        <v>0</v>
      </c>
      <c r="F711" s="426">
        <v>100</v>
      </c>
      <c r="G711" s="427">
        <v>0</v>
      </c>
    </row>
    <row r="712" spans="1:7" x14ac:dyDescent="0.3">
      <c r="A712" s="3299" t="s">
        <v>310</v>
      </c>
      <c r="B712" s="3298"/>
      <c r="C712" s="3298"/>
      <c r="D712" s="3298"/>
      <c r="E712" s="3298"/>
      <c r="F712" s="3298"/>
      <c r="G712" s="3298"/>
    </row>
    <row r="713" spans="1:7" x14ac:dyDescent="0.3">
      <c r="A713" s="11" t="s">
        <v>960</v>
      </c>
      <c r="B713" s="11" t="s">
        <v>961</v>
      </c>
      <c r="C713" s="436">
        <v>8631</v>
      </c>
      <c r="D713" s="436">
        <v>3656407</v>
      </c>
      <c r="E713" s="437">
        <v>9.4030312632811204E-8</v>
      </c>
      <c r="F713" s="438">
        <v>100</v>
      </c>
      <c r="G713" s="439">
        <v>0</v>
      </c>
    </row>
    <row r="714" spans="1:7" x14ac:dyDescent="0.3">
      <c r="A714" s="6" t="s">
        <v>6269</v>
      </c>
      <c r="B714" s="6" t="s">
        <v>6270</v>
      </c>
      <c r="C714" s="432">
        <v>0</v>
      </c>
      <c r="D714" s="432">
        <v>0</v>
      </c>
      <c r="E714" s="433">
        <v>0</v>
      </c>
      <c r="F714" s="434">
        <v>0</v>
      </c>
      <c r="G714" s="435">
        <v>0</v>
      </c>
    </row>
    <row r="715" spans="1:7" x14ac:dyDescent="0.3">
      <c r="A715" s="11" t="s">
        <v>6269</v>
      </c>
      <c r="B715" s="11" t="s">
        <v>6271</v>
      </c>
      <c r="C715" s="436">
        <v>8631</v>
      </c>
      <c r="D715" s="436">
        <v>3656407</v>
      </c>
      <c r="E715" s="437">
        <v>0</v>
      </c>
      <c r="F715" s="438">
        <v>100</v>
      </c>
      <c r="G715" s="439">
        <v>0</v>
      </c>
    </row>
    <row r="716" spans="1:7" x14ac:dyDescent="0.3">
      <c r="A716" s="3299" t="s">
        <v>564</v>
      </c>
      <c r="B716" s="3298"/>
      <c r="C716" s="3298"/>
      <c r="D716" s="3298"/>
      <c r="E716" s="3298"/>
      <c r="F716" s="3298"/>
      <c r="G716" s="3298"/>
    </row>
    <row r="717" spans="1:7" x14ac:dyDescent="0.3">
      <c r="A717" s="11" t="s">
        <v>962</v>
      </c>
      <c r="B717" s="11"/>
      <c r="C717" s="444">
        <v>8631</v>
      </c>
      <c r="D717" s="444">
        <v>3656407</v>
      </c>
      <c r="E717" s="445">
        <v>9.4030312632811204E-8</v>
      </c>
      <c r="F717" s="446">
        <v>100</v>
      </c>
      <c r="G717" s="447">
        <v>0</v>
      </c>
    </row>
    <row r="718" spans="1:7" x14ac:dyDescent="0.3">
      <c r="A718" s="6" t="s">
        <v>6269</v>
      </c>
      <c r="B718" s="6" t="s">
        <v>6270</v>
      </c>
      <c r="C718" s="440">
        <v>8631</v>
      </c>
      <c r="D718" s="440">
        <v>3656407</v>
      </c>
      <c r="E718" s="441">
        <v>9.4030312632811204E-8</v>
      </c>
      <c r="F718" s="442">
        <v>100</v>
      </c>
      <c r="G718" s="443">
        <v>0</v>
      </c>
    </row>
    <row r="719" spans="1:7" x14ac:dyDescent="0.3">
      <c r="A719" s="11" t="s">
        <v>6269</v>
      </c>
      <c r="B719" s="11" t="s">
        <v>6271</v>
      </c>
      <c r="C719" s="444">
        <v>8631</v>
      </c>
      <c r="D719" s="444">
        <v>3656407</v>
      </c>
      <c r="E719" s="445">
        <v>0</v>
      </c>
      <c r="F719" s="446">
        <v>100</v>
      </c>
      <c r="G719" s="447">
        <v>0</v>
      </c>
    </row>
    <row r="720" spans="1:7" x14ac:dyDescent="0.3">
      <c r="A720" s="3299" t="s">
        <v>98</v>
      </c>
      <c r="B720" s="3298"/>
      <c r="C720" s="3298"/>
      <c r="D720" s="3298"/>
      <c r="E720" s="3298"/>
      <c r="F720" s="3298"/>
      <c r="G720" s="3298"/>
    </row>
    <row r="721" spans="1:7" x14ac:dyDescent="0.3">
      <c r="A721" s="11" t="s">
        <v>970</v>
      </c>
      <c r="B721" s="11" t="s">
        <v>1115</v>
      </c>
      <c r="C721" s="452">
        <v>8631</v>
      </c>
      <c r="D721" s="452">
        <v>3656407</v>
      </c>
      <c r="E721" s="453">
        <v>9.4030312632811204E-8</v>
      </c>
      <c r="F721" s="454">
        <v>100</v>
      </c>
      <c r="G721" s="455">
        <v>0</v>
      </c>
    </row>
    <row r="722" spans="1:7" x14ac:dyDescent="0.3">
      <c r="A722" s="6" t="s">
        <v>6269</v>
      </c>
      <c r="B722" s="6" t="s">
        <v>6270</v>
      </c>
      <c r="C722" s="448">
        <v>8631</v>
      </c>
      <c r="D722" s="448">
        <v>3656407</v>
      </c>
      <c r="E722" s="449">
        <v>9.4030312632811204E-8</v>
      </c>
      <c r="F722" s="450">
        <v>100</v>
      </c>
      <c r="G722" s="451">
        <v>0</v>
      </c>
    </row>
    <row r="723" spans="1:7" x14ac:dyDescent="0.3">
      <c r="A723" s="11" t="s">
        <v>6269</v>
      </c>
      <c r="B723" s="11" t="s">
        <v>6271</v>
      </c>
      <c r="C723" s="452">
        <v>8631</v>
      </c>
      <c r="D723" s="452">
        <v>3656407</v>
      </c>
      <c r="E723" s="453">
        <v>0</v>
      </c>
      <c r="F723" s="454">
        <v>100</v>
      </c>
      <c r="G723" s="455">
        <v>0</v>
      </c>
    </row>
    <row r="724" spans="1:7" x14ac:dyDescent="0.3">
      <c r="A724" s="3299" t="s">
        <v>100</v>
      </c>
      <c r="B724" s="3298"/>
      <c r="C724" s="3298"/>
      <c r="D724" s="3298"/>
      <c r="E724" s="3298"/>
      <c r="F724" s="3298"/>
      <c r="G724" s="3298"/>
    </row>
    <row r="725" spans="1:7" x14ac:dyDescent="0.3">
      <c r="A725" s="11" t="s">
        <v>966</v>
      </c>
      <c r="B725" s="11" t="s">
        <v>1122</v>
      </c>
      <c r="C725" s="460">
        <v>8631</v>
      </c>
      <c r="D725" s="460">
        <v>3656407</v>
      </c>
      <c r="E725" s="461">
        <v>9.4030312632811204E-8</v>
      </c>
      <c r="F725" s="462">
        <v>100</v>
      </c>
      <c r="G725" s="463">
        <v>0</v>
      </c>
    </row>
    <row r="726" spans="1:7" x14ac:dyDescent="0.3">
      <c r="A726" s="6" t="s">
        <v>6269</v>
      </c>
      <c r="B726" s="6" t="s">
        <v>6270</v>
      </c>
      <c r="C726" s="456">
        <v>8631</v>
      </c>
      <c r="D726" s="456">
        <v>3656407</v>
      </c>
      <c r="E726" s="457">
        <v>9.4030312632811204E-8</v>
      </c>
      <c r="F726" s="458">
        <v>100</v>
      </c>
      <c r="G726" s="459">
        <v>0</v>
      </c>
    </row>
    <row r="727" spans="1:7" x14ac:dyDescent="0.3">
      <c r="A727" s="11" t="s">
        <v>6269</v>
      </c>
      <c r="B727" s="11" t="s">
        <v>6271</v>
      </c>
      <c r="C727" s="460">
        <v>8631</v>
      </c>
      <c r="D727" s="460">
        <v>3656407</v>
      </c>
      <c r="E727" s="461">
        <v>0</v>
      </c>
      <c r="F727" s="462">
        <v>100</v>
      </c>
      <c r="G727" s="463">
        <v>0</v>
      </c>
    </row>
    <row r="728" spans="1:7" x14ac:dyDescent="0.3">
      <c r="A728" s="3299" t="s">
        <v>96</v>
      </c>
      <c r="B728" s="3298"/>
      <c r="C728" s="3298"/>
      <c r="D728" s="3298"/>
      <c r="E728" s="3298"/>
      <c r="F728" s="3298"/>
      <c r="G728" s="3298"/>
    </row>
    <row r="729" spans="1:7" x14ac:dyDescent="0.3">
      <c r="A729" s="11" t="s">
        <v>1071</v>
      </c>
      <c r="B729" s="11" t="s">
        <v>1072</v>
      </c>
      <c r="C729" s="468">
        <v>2786</v>
      </c>
      <c r="D729" s="468">
        <v>2030038.33873542</v>
      </c>
      <c r="E729" s="469">
        <v>2506.9028553768799</v>
      </c>
      <c r="F729" s="470">
        <v>55.520032062498103</v>
      </c>
      <c r="G729" s="471">
        <v>6.8561920359992007E-2</v>
      </c>
    </row>
    <row r="730" spans="1:7" x14ac:dyDescent="0.3">
      <c r="A730" s="6" t="s">
        <v>1075</v>
      </c>
      <c r="B730" s="6" t="s">
        <v>1076</v>
      </c>
      <c r="C730" s="464">
        <v>5026</v>
      </c>
      <c r="D730" s="464">
        <v>986080.35786709399</v>
      </c>
      <c r="E730" s="465">
        <v>3107.1921513522898</v>
      </c>
      <c r="F730" s="466">
        <v>26.968561154901401</v>
      </c>
      <c r="G730" s="467">
        <v>8.4979384170095706E-2</v>
      </c>
    </row>
    <row r="731" spans="1:7" x14ac:dyDescent="0.3">
      <c r="A731" s="11" t="s">
        <v>1077</v>
      </c>
      <c r="B731" s="11" t="s">
        <v>1078</v>
      </c>
      <c r="C731" s="468">
        <v>817</v>
      </c>
      <c r="D731" s="468">
        <v>640092.15971675306</v>
      </c>
      <c r="E731" s="469">
        <v>2756.6081754326801</v>
      </c>
      <c r="F731" s="470">
        <v>17.506042399458099</v>
      </c>
      <c r="G731" s="471">
        <v>7.5391174325851698E-2</v>
      </c>
    </row>
    <row r="732" spans="1:7" x14ac:dyDescent="0.3">
      <c r="A732" s="6" t="s">
        <v>1073</v>
      </c>
      <c r="B732" s="6" t="s">
        <v>1074</v>
      </c>
      <c r="C732" s="464">
        <v>2</v>
      </c>
      <c r="D732" s="464">
        <v>196.14368072725301</v>
      </c>
      <c r="E732" s="465">
        <v>197.767622363714</v>
      </c>
      <c r="F732" s="466">
        <v>5.3643831424470398E-3</v>
      </c>
      <c r="G732" s="467">
        <v>5.4087967330692099E-3</v>
      </c>
    </row>
    <row r="733" spans="1:7" x14ac:dyDescent="0.3">
      <c r="A733" s="11" t="s">
        <v>6269</v>
      </c>
      <c r="B733" s="11" t="s">
        <v>6270</v>
      </c>
      <c r="C733" s="468">
        <v>8631</v>
      </c>
      <c r="D733" s="468">
        <v>3656407</v>
      </c>
      <c r="E733" s="469">
        <v>1.3585366648050401E-8</v>
      </c>
      <c r="F733" s="470">
        <v>100</v>
      </c>
      <c r="G733" s="471">
        <v>1.45362315675074E-14</v>
      </c>
    </row>
    <row r="734" spans="1:7" x14ac:dyDescent="0.3">
      <c r="A734" s="6" t="s">
        <v>6269</v>
      </c>
      <c r="B734" s="6" t="s">
        <v>6271</v>
      </c>
      <c r="C734" s="464">
        <v>8631</v>
      </c>
      <c r="D734" s="464">
        <v>3656407</v>
      </c>
      <c r="E734" s="465">
        <v>0</v>
      </c>
      <c r="F734" s="466">
        <v>100</v>
      </c>
      <c r="G734" s="467">
        <v>0</v>
      </c>
    </row>
    <row r="735" spans="1:7" x14ac:dyDescent="0.3">
      <c r="A735" s="3299" t="s">
        <v>248</v>
      </c>
      <c r="B735" s="3298"/>
      <c r="C735" s="3298"/>
      <c r="D735" s="3298"/>
      <c r="E735" s="3298"/>
      <c r="F735" s="3298"/>
      <c r="G735" s="3298"/>
    </row>
    <row r="736" spans="1:7" x14ac:dyDescent="0.3">
      <c r="A736" s="11" t="s">
        <v>962</v>
      </c>
      <c r="B736" s="11" t="s">
        <v>2989</v>
      </c>
      <c r="C736" s="476">
        <v>6154</v>
      </c>
      <c r="D736" s="476">
        <v>2264659.0183634302</v>
      </c>
      <c r="E736" s="477">
        <v>15281.5034596184</v>
      </c>
      <c r="F736" s="478">
        <v>62.248797806346303</v>
      </c>
      <c r="G736" s="479">
        <v>0.38411063623945901</v>
      </c>
    </row>
    <row r="737" spans="1:7" x14ac:dyDescent="0.3">
      <c r="A737" s="6" t="s">
        <v>964</v>
      </c>
      <c r="B737" s="6" t="s">
        <v>2990</v>
      </c>
      <c r="C737" s="472">
        <v>1966</v>
      </c>
      <c r="D737" s="472">
        <v>1107516.9632426</v>
      </c>
      <c r="E737" s="473">
        <v>2570.3355135551901</v>
      </c>
      <c r="F737" s="474">
        <v>30.442375188918401</v>
      </c>
      <c r="G737" s="475">
        <v>4.7963652849771402E-2</v>
      </c>
    </row>
    <row r="738" spans="1:7" x14ac:dyDescent="0.3">
      <c r="A738" s="11" t="s">
        <v>966</v>
      </c>
      <c r="B738" s="11" t="s">
        <v>2991</v>
      </c>
      <c r="C738" s="476">
        <v>184</v>
      </c>
      <c r="D738" s="476">
        <v>115511.33813024699</v>
      </c>
      <c r="E738" s="477">
        <v>7377.6500461351598</v>
      </c>
      <c r="F738" s="478">
        <v>3.1750660356835798</v>
      </c>
      <c r="G738" s="479">
        <v>0.20144190456460501</v>
      </c>
    </row>
    <row r="739" spans="1:7" x14ac:dyDescent="0.3">
      <c r="A739" s="6" t="s">
        <v>972</v>
      </c>
      <c r="B739" s="6" t="s">
        <v>2994</v>
      </c>
      <c r="C739" s="472">
        <v>208</v>
      </c>
      <c r="D739" s="472">
        <v>89043.440978568004</v>
      </c>
      <c r="E739" s="473">
        <v>9542.3457071172106</v>
      </c>
      <c r="F739" s="474">
        <v>2.44754159832052</v>
      </c>
      <c r="G739" s="475">
        <v>0.262892029262149</v>
      </c>
    </row>
    <row r="740" spans="1:7" x14ac:dyDescent="0.3">
      <c r="A740" s="11" t="s">
        <v>983</v>
      </c>
      <c r="B740" s="11" t="s">
        <v>2995</v>
      </c>
      <c r="C740" s="476">
        <v>54</v>
      </c>
      <c r="D740" s="476">
        <v>40569.519745133897</v>
      </c>
      <c r="E740" s="477">
        <v>8007.1365170036997</v>
      </c>
      <c r="F740" s="478">
        <v>1.11513645596873</v>
      </c>
      <c r="G740" s="479">
        <v>0.22099021610709399</v>
      </c>
    </row>
    <row r="741" spans="1:7" x14ac:dyDescent="0.3">
      <c r="A741" s="6" t="s">
        <v>968</v>
      </c>
      <c r="B741" s="6" t="s">
        <v>2992</v>
      </c>
      <c r="C741" s="472">
        <v>28</v>
      </c>
      <c r="D741" s="472">
        <v>15923.473257039201</v>
      </c>
      <c r="E741" s="473">
        <v>4848.7615519085803</v>
      </c>
      <c r="F741" s="474">
        <v>0.43768932060620103</v>
      </c>
      <c r="G741" s="475">
        <v>0.133527293827719</v>
      </c>
    </row>
    <row r="742" spans="1:7" x14ac:dyDescent="0.3">
      <c r="A742" s="11" t="s">
        <v>970</v>
      </c>
      <c r="B742" s="11" t="s">
        <v>2993</v>
      </c>
      <c r="C742" s="476">
        <v>4</v>
      </c>
      <c r="D742" s="476">
        <v>4852.9612883067102</v>
      </c>
      <c r="E742" s="477">
        <v>3064.3457133856</v>
      </c>
      <c r="F742" s="478">
        <v>0.133393594156236</v>
      </c>
      <c r="G742" s="479">
        <v>8.4141287396528305E-2</v>
      </c>
    </row>
    <row r="743" spans="1:7" x14ac:dyDescent="0.3">
      <c r="A743" s="6" t="s">
        <v>958</v>
      </c>
      <c r="B743" s="6" t="s">
        <v>2987</v>
      </c>
      <c r="C743" s="472">
        <v>30</v>
      </c>
      <c r="D743" s="472">
        <v>15353.539515554899</v>
      </c>
      <c r="E743" s="473">
        <v>3302.6963048770799</v>
      </c>
      <c r="F743" s="474">
        <v>83.760506287880403</v>
      </c>
      <c r="G743" s="475">
        <v>14.1115872456988</v>
      </c>
    </row>
    <row r="744" spans="1:7" x14ac:dyDescent="0.3">
      <c r="A744" s="11" t="s">
        <v>956</v>
      </c>
      <c r="B744" s="11" t="s">
        <v>2988</v>
      </c>
      <c r="C744" s="476">
        <v>3</v>
      </c>
      <c r="D744" s="476">
        <v>2976.74547912457</v>
      </c>
      <c r="E744" s="477">
        <v>2731.07306857515</v>
      </c>
      <c r="F744" s="478">
        <v>16.2394937121196</v>
      </c>
      <c r="G744" s="479">
        <v>14.1115872456988</v>
      </c>
    </row>
    <row r="745" spans="1:7" x14ac:dyDescent="0.3">
      <c r="A745" s="6" t="s">
        <v>6269</v>
      </c>
      <c r="B745" s="6" t="s">
        <v>6270</v>
      </c>
      <c r="C745" s="472">
        <v>8598</v>
      </c>
      <c r="D745" s="472">
        <v>3638076.7150053298</v>
      </c>
      <c r="E745" s="473">
        <v>5074.8850152411696</v>
      </c>
      <c r="F745" s="474">
        <v>99.4986803986898</v>
      </c>
      <c r="G745" s="475">
        <v>0.138794314069518</v>
      </c>
    </row>
    <row r="746" spans="1:7" x14ac:dyDescent="0.3">
      <c r="A746" s="11" t="s">
        <v>6269</v>
      </c>
      <c r="B746" s="11" t="s">
        <v>6271</v>
      </c>
      <c r="C746" s="476">
        <v>8631</v>
      </c>
      <c r="D746" s="476">
        <v>3656407.0000000098</v>
      </c>
      <c r="E746" s="477">
        <v>0</v>
      </c>
      <c r="F746" s="478">
        <v>100</v>
      </c>
      <c r="G746" s="479">
        <v>0</v>
      </c>
    </row>
    <row r="747" spans="1:7" x14ac:dyDescent="0.3">
      <c r="A747" s="3299" t="s">
        <v>242</v>
      </c>
      <c r="B747" s="3298"/>
      <c r="C747" s="3298"/>
      <c r="D747" s="3298"/>
      <c r="E747" s="3298"/>
      <c r="F747" s="3298"/>
      <c r="G747" s="3298"/>
    </row>
    <row r="748" spans="1:7" x14ac:dyDescent="0.3">
      <c r="A748" s="11" t="s">
        <v>964</v>
      </c>
      <c r="B748" s="11" t="s">
        <v>1040</v>
      </c>
      <c r="C748" s="484">
        <v>8369</v>
      </c>
      <c r="D748" s="484">
        <v>3414347.0406941702</v>
      </c>
      <c r="E748" s="485">
        <v>1577.1782630928201</v>
      </c>
      <c r="F748" s="486">
        <v>93.485179283406595</v>
      </c>
      <c r="G748" s="487">
        <v>2.8134474200891099E-3</v>
      </c>
    </row>
    <row r="749" spans="1:7" x14ac:dyDescent="0.3">
      <c r="A749" s="6" t="s">
        <v>962</v>
      </c>
      <c r="B749" s="6" t="s">
        <v>1039</v>
      </c>
      <c r="C749" s="480">
        <v>256</v>
      </c>
      <c r="D749" s="480">
        <v>237939.94946428799</v>
      </c>
      <c r="E749" s="481">
        <v>0.29560490944719497</v>
      </c>
      <c r="F749" s="482">
        <v>6.51482071659336</v>
      </c>
      <c r="G749" s="483">
        <v>2.81344742009216E-3</v>
      </c>
    </row>
    <row r="750" spans="1:7" x14ac:dyDescent="0.3">
      <c r="A750" s="11" t="s">
        <v>958</v>
      </c>
      <c r="B750" s="11" t="s">
        <v>2987</v>
      </c>
      <c r="C750" s="484">
        <v>5</v>
      </c>
      <c r="D750" s="484">
        <v>2864.0795160493699</v>
      </c>
      <c r="E750" s="485">
        <v>1397.6748531380999</v>
      </c>
      <c r="F750" s="486">
        <v>69.516327052698699</v>
      </c>
      <c r="G750" s="487">
        <v>33.338063286433602</v>
      </c>
    </row>
    <row r="751" spans="1:7" x14ac:dyDescent="0.3">
      <c r="A751" s="6" t="s">
        <v>956</v>
      </c>
      <c r="B751" s="6" t="s">
        <v>2986</v>
      </c>
      <c r="C751" s="480">
        <v>1</v>
      </c>
      <c r="D751" s="480">
        <v>1255.9303254921399</v>
      </c>
      <c r="E751" s="481">
        <v>1285.73754746482</v>
      </c>
      <c r="F751" s="482">
        <v>30.483672947301301</v>
      </c>
      <c r="G751" s="483">
        <v>33.338063286433602</v>
      </c>
    </row>
    <row r="752" spans="1:7" x14ac:dyDescent="0.3">
      <c r="A752" s="11" t="s">
        <v>6269</v>
      </c>
      <c r="B752" s="11" t="s">
        <v>6270</v>
      </c>
      <c r="C752" s="484">
        <v>8625</v>
      </c>
      <c r="D752" s="484">
        <v>3652286.9901584601</v>
      </c>
      <c r="E752" s="485">
        <v>1577.16928911075</v>
      </c>
      <c r="F752" s="486">
        <v>99.887320808609601</v>
      </c>
      <c r="G752" s="487">
        <v>4.31344018625789E-2</v>
      </c>
    </row>
    <row r="753" spans="1:7" x14ac:dyDescent="0.3">
      <c r="A753" s="6" t="s">
        <v>6269</v>
      </c>
      <c r="B753" s="6" t="s">
        <v>6271</v>
      </c>
      <c r="C753" s="480">
        <v>8631</v>
      </c>
      <c r="D753" s="480">
        <v>3656407</v>
      </c>
      <c r="E753" s="481">
        <v>0</v>
      </c>
      <c r="F753" s="482">
        <v>100</v>
      </c>
      <c r="G753" s="483">
        <v>0</v>
      </c>
    </row>
    <row r="754" spans="1:7" x14ac:dyDescent="0.3">
      <c r="A754" s="3299" t="s">
        <v>237</v>
      </c>
      <c r="B754" s="3298"/>
      <c r="C754" s="3298"/>
      <c r="D754" s="3298"/>
      <c r="E754" s="3298"/>
      <c r="F754" s="3298"/>
      <c r="G754" s="3298"/>
    </row>
    <row r="755" spans="1:7" x14ac:dyDescent="0.3">
      <c r="A755" s="11" t="s">
        <v>1283</v>
      </c>
      <c r="B755" s="11" t="s">
        <v>1284</v>
      </c>
      <c r="C755" s="492">
        <v>2783</v>
      </c>
      <c r="D755" s="492">
        <v>2029371.7166891799</v>
      </c>
      <c r="E755" s="493">
        <v>2568.2048266945599</v>
      </c>
      <c r="F755" s="494">
        <v>55.5018004475208</v>
      </c>
      <c r="G755" s="495">
        <v>7.0238483481027E-2</v>
      </c>
    </row>
    <row r="756" spans="1:7" x14ac:dyDescent="0.3">
      <c r="A756" s="6" t="s">
        <v>6464</v>
      </c>
      <c r="B756" s="6"/>
      <c r="C756" s="488">
        <v>301</v>
      </c>
      <c r="D756" s="488">
        <v>252785.81155189199</v>
      </c>
      <c r="E756" s="489">
        <v>12040.8608513706</v>
      </c>
      <c r="F756" s="490">
        <v>6.9135031070636304</v>
      </c>
      <c r="G756" s="491">
        <v>0.32930854938660697</v>
      </c>
    </row>
    <row r="757" spans="1:7" x14ac:dyDescent="0.3">
      <c r="A757" s="11" t="s">
        <v>1293</v>
      </c>
      <c r="B757" s="11" t="s">
        <v>1294</v>
      </c>
      <c r="C757" s="492">
        <v>772</v>
      </c>
      <c r="D757" s="492">
        <v>165348.01003290899</v>
      </c>
      <c r="E757" s="493">
        <v>8101.3383918487798</v>
      </c>
      <c r="F757" s="494">
        <v>4.5221445542826197</v>
      </c>
      <c r="G757" s="495">
        <v>0.221565553064766</v>
      </c>
    </row>
    <row r="758" spans="1:7" x14ac:dyDescent="0.3">
      <c r="A758" s="6" t="s">
        <v>2647</v>
      </c>
      <c r="B758" s="6" t="s">
        <v>2648</v>
      </c>
      <c r="C758" s="488">
        <v>811</v>
      </c>
      <c r="D758" s="488">
        <v>136742.801073515</v>
      </c>
      <c r="E758" s="489">
        <v>4993.8528732831201</v>
      </c>
      <c r="F758" s="490">
        <v>3.7398134582259202</v>
      </c>
      <c r="G758" s="491">
        <v>0.13657814552054101</v>
      </c>
    </row>
    <row r="759" spans="1:7" x14ac:dyDescent="0.3">
      <c r="A759" s="11" t="s">
        <v>1539</v>
      </c>
      <c r="B759" s="11" t="s">
        <v>1540</v>
      </c>
      <c r="C759" s="492">
        <v>503</v>
      </c>
      <c r="D759" s="492">
        <v>93485.884762994901</v>
      </c>
      <c r="E759" s="493">
        <v>2727.7996627733901</v>
      </c>
      <c r="F759" s="494">
        <v>2.5567691113980202</v>
      </c>
      <c r="G759" s="495">
        <v>7.4603283025477293E-2</v>
      </c>
    </row>
    <row r="760" spans="1:7" x14ac:dyDescent="0.3">
      <c r="A760" s="6" t="s">
        <v>1281</v>
      </c>
      <c r="B760" s="6" t="s">
        <v>1282</v>
      </c>
      <c r="C760" s="488">
        <v>502</v>
      </c>
      <c r="D760" s="488">
        <v>86136.312599085606</v>
      </c>
      <c r="E760" s="489">
        <v>3354.6273270349702</v>
      </c>
      <c r="F760" s="490">
        <v>2.35576380307459</v>
      </c>
      <c r="G760" s="491">
        <v>9.1746551383227903E-2</v>
      </c>
    </row>
    <row r="761" spans="1:7" x14ac:dyDescent="0.3">
      <c r="A761" s="11" t="s">
        <v>2149</v>
      </c>
      <c r="B761" s="11" t="s">
        <v>2150</v>
      </c>
      <c r="C761" s="492">
        <v>419</v>
      </c>
      <c r="D761" s="492">
        <v>83425.393933975502</v>
      </c>
      <c r="E761" s="493">
        <v>5379.9890617185802</v>
      </c>
      <c r="F761" s="494">
        <v>2.2816222027245701</v>
      </c>
      <c r="G761" s="495">
        <v>0.147138681818479</v>
      </c>
    </row>
    <row r="762" spans="1:7" x14ac:dyDescent="0.3">
      <c r="A762" s="6" t="s">
        <v>2889</v>
      </c>
      <c r="B762" s="6" t="s">
        <v>2890</v>
      </c>
      <c r="C762" s="488">
        <v>334</v>
      </c>
      <c r="D762" s="488">
        <v>62506.039443160698</v>
      </c>
      <c r="E762" s="489">
        <v>3620.6657683266799</v>
      </c>
      <c r="F762" s="490">
        <v>1.70949348481065</v>
      </c>
      <c r="G762" s="491">
        <v>9.9022504013548299E-2</v>
      </c>
    </row>
    <row r="763" spans="1:7" x14ac:dyDescent="0.3">
      <c r="A763" s="11" t="s">
        <v>1791</v>
      </c>
      <c r="B763" s="11" t="s">
        <v>1792</v>
      </c>
      <c r="C763" s="492">
        <v>384</v>
      </c>
      <c r="D763" s="492">
        <v>60575.086672808102</v>
      </c>
      <c r="E763" s="493">
        <v>5429.1801238207299</v>
      </c>
      <c r="F763" s="494">
        <v>1.6566833690234199</v>
      </c>
      <c r="G763" s="495">
        <v>0.148484020619715</v>
      </c>
    </row>
    <row r="764" spans="1:7" x14ac:dyDescent="0.3">
      <c r="A764" s="6" t="s">
        <v>2851</v>
      </c>
      <c r="B764" s="6" t="s">
        <v>2852</v>
      </c>
      <c r="C764" s="488">
        <v>238</v>
      </c>
      <c r="D764" s="488">
        <v>57340.8318011058</v>
      </c>
      <c r="E764" s="489">
        <v>6467.8071016572303</v>
      </c>
      <c r="F764" s="490">
        <v>1.56822891437156</v>
      </c>
      <c r="G764" s="491">
        <v>0.176889692576818</v>
      </c>
    </row>
    <row r="765" spans="1:7" x14ac:dyDescent="0.3">
      <c r="A765" s="11" t="s">
        <v>1209</v>
      </c>
      <c r="B765" s="11" t="s">
        <v>1210</v>
      </c>
      <c r="C765" s="492">
        <v>241</v>
      </c>
      <c r="D765" s="492">
        <v>55401.701545322598</v>
      </c>
      <c r="E765" s="493">
        <v>6748.5156341292204</v>
      </c>
      <c r="F765" s="494">
        <v>1.5151951504666299</v>
      </c>
      <c r="G765" s="495">
        <v>0.184566861241902</v>
      </c>
    </row>
    <row r="766" spans="1:7" x14ac:dyDescent="0.3">
      <c r="A766" s="6" t="s">
        <v>1591</v>
      </c>
      <c r="B766" s="6" t="s">
        <v>1592</v>
      </c>
      <c r="C766" s="488">
        <v>201</v>
      </c>
      <c r="D766" s="488">
        <v>43588.622111548299</v>
      </c>
      <c r="E766" s="489">
        <v>4620.2365732176204</v>
      </c>
      <c r="F766" s="490">
        <v>1.1921162526914599</v>
      </c>
      <c r="G766" s="491">
        <v>0.126360018816769</v>
      </c>
    </row>
    <row r="767" spans="1:7" x14ac:dyDescent="0.3">
      <c r="A767" s="11" t="s">
        <v>1495</v>
      </c>
      <c r="B767" s="11" t="s">
        <v>1496</v>
      </c>
      <c r="C767" s="492">
        <v>71</v>
      </c>
      <c r="D767" s="492">
        <v>41798.746146393998</v>
      </c>
      <c r="E767" s="493">
        <v>8132.4551720709997</v>
      </c>
      <c r="F767" s="494">
        <v>1.1431644821376299</v>
      </c>
      <c r="G767" s="495">
        <v>0.22241657375863799</v>
      </c>
    </row>
    <row r="768" spans="1:7" x14ac:dyDescent="0.3">
      <c r="A768" s="6" t="s">
        <v>1421</v>
      </c>
      <c r="B768" s="6" t="s">
        <v>1422</v>
      </c>
      <c r="C768" s="488">
        <v>257</v>
      </c>
      <c r="D768" s="488">
        <v>41476.159788403304</v>
      </c>
      <c r="E768" s="489">
        <v>3610.2792703473601</v>
      </c>
      <c r="F768" s="490">
        <v>1.1343419862286499</v>
      </c>
      <c r="G768" s="491">
        <v>9.8738441052850595E-2</v>
      </c>
    </row>
    <row r="769" spans="1:7" x14ac:dyDescent="0.3">
      <c r="A769" s="11" t="s">
        <v>2605</v>
      </c>
      <c r="B769" s="11" t="s">
        <v>2606</v>
      </c>
      <c r="C769" s="492">
        <v>33</v>
      </c>
      <c r="D769" s="492">
        <v>30392.572566823899</v>
      </c>
      <c r="E769" s="493">
        <v>7860.8392214969099</v>
      </c>
      <c r="F769" s="494">
        <v>0.83121415550358402</v>
      </c>
      <c r="G769" s="495">
        <v>0.214988080416017</v>
      </c>
    </row>
    <row r="770" spans="1:7" x14ac:dyDescent="0.3">
      <c r="A770" s="6" t="s">
        <v>2579</v>
      </c>
      <c r="B770" s="6" t="s">
        <v>2580</v>
      </c>
      <c r="C770" s="488">
        <v>167</v>
      </c>
      <c r="D770" s="488">
        <v>28629.597454529001</v>
      </c>
      <c r="E770" s="489">
        <v>2497.6044266992699</v>
      </c>
      <c r="F770" s="490">
        <v>0.782998103179678</v>
      </c>
      <c r="G770" s="491">
        <v>6.8307615281867295E-2</v>
      </c>
    </row>
    <row r="771" spans="1:7" x14ac:dyDescent="0.3">
      <c r="A771" s="11" t="s">
        <v>1641</v>
      </c>
      <c r="B771" s="11" t="s">
        <v>1642</v>
      </c>
      <c r="C771" s="492">
        <v>30</v>
      </c>
      <c r="D771" s="492">
        <v>27691.439455504202</v>
      </c>
      <c r="E771" s="493">
        <v>6131.4907136844904</v>
      </c>
      <c r="F771" s="494">
        <v>0.75734018273961901</v>
      </c>
      <c r="G771" s="495">
        <v>0.167691690604588</v>
      </c>
    </row>
    <row r="772" spans="1:7" x14ac:dyDescent="0.3">
      <c r="A772" s="6" t="s">
        <v>1907</v>
      </c>
      <c r="B772" s="6" t="s">
        <v>1908</v>
      </c>
      <c r="C772" s="488">
        <v>115</v>
      </c>
      <c r="D772" s="488">
        <v>26814.872369517001</v>
      </c>
      <c r="E772" s="489">
        <v>2920.67132452743</v>
      </c>
      <c r="F772" s="490">
        <v>0.73336672776080403</v>
      </c>
      <c r="G772" s="491">
        <v>7.9878178893307894E-2</v>
      </c>
    </row>
    <row r="773" spans="1:7" x14ac:dyDescent="0.3">
      <c r="A773" s="11" t="s">
        <v>2803</v>
      </c>
      <c r="B773" s="11" t="s">
        <v>2804</v>
      </c>
      <c r="C773" s="492">
        <v>32</v>
      </c>
      <c r="D773" s="492">
        <v>26627.9479863979</v>
      </c>
      <c r="E773" s="493">
        <v>3922.9716320717598</v>
      </c>
      <c r="F773" s="494">
        <v>0.72825448552083705</v>
      </c>
      <c r="G773" s="495">
        <v>0.107290343555074</v>
      </c>
    </row>
    <row r="774" spans="1:7" x14ac:dyDescent="0.3">
      <c r="A774" s="6" t="s">
        <v>2743</v>
      </c>
      <c r="B774" s="6" t="s">
        <v>2744</v>
      </c>
      <c r="C774" s="488">
        <v>27</v>
      </c>
      <c r="D774" s="488">
        <v>26541.323957935801</v>
      </c>
      <c r="E774" s="489">
        <v>7627.3342562648504</v>
      </c>
      <c r="F774" s="490">
        <v>0.72588538305325001</v>
      </c>
      <c r="G774" s="491">
        <v>0.20860189405241</v>
      </c>
    </row>
    <row r="775" spans="1:7" x14ac:dyDescent="0.3">
      <c r="A775" s="11" t="s">
        <v>1983</v>
      </c>
      <c r="B775" s="11" t="s">
        <v>1984</v>
      </c>
      <c r="C775" s="492">
        <v>128</v>
      </c>
      <c r="D775" s="492">
        <v>24758.804604579698</v>
      </c>
      <c r="E775" s="493">
        <v>3902.5840940304602</v>
      </c>
      <c r="F775" s="494">
        <v>0.67713481033647904</v>
      </c>
      <c r="G775" s="495">
        <v>0.10673275961977</v>
      </c>
    </row>
    <row r="776" spans="1:7" x14ac:dyDescent="0.3">
      <c r="A776" s="6" t="s">
        <v>2913</v>
      </c>
      <c r="B776" s="6" t="s">
        <v>2914</v>
      </c>
      <c r="C776" s="488">
        <v>26</v>
      </c>
      <c r="D776" s="488">
        <v>24396.669889527999</v>
      </c>
      <c r="E776" s="489">
        <v>6486.03354249123</v>
      </c>
      <c r="F776" s="490">
        <v>0.66723069640573296</v>
      </c>
      <c r="G776" s="491">
        <v>0.177388172117908</v>
      </c>
    </row>
    <row r="777" spans="1:7" x14ac:dyDescent="0.3">
      <c r="A777" s="11" t="s">
        <v>2059</v>
      </c>
      <c r="B777" s="11" t="s">
        <v>2060</v>
      </c>
      <c r="C777" s="492">
        <v>23</v>
      </c>
      <c r="D777" s="492">
        <v>20738.792693229901</v>
      </c>
      <c r="E777" s="493">
        <v>6182.9394064527096</v>
      </c>
      <c r="F777" s="494">
        <v>0.56719048763526403</v>
      </c>
      <c r="G777" s="495">
        <v>0.169098773918022</v>
      </c>
    </row>
    <row r="778" spans="1:7" x14ac:dyDescent="0.3">
      <c r="A778" s="6" t="s">
        <v>2283</v>
      </c>
      <c r="B778" s="6" t="s">
        <v>2284</v>
      </c>
      <c r="C778" s="488">
        <v>18</v>
      </c>
      <c r="D778" s="488">
        <v>20136.829185167499</v>
      </c>
      <c r="E778" s="489">
        <v>4106.3794807467102</v>
      </c>
      <c r="F778" s="490">
        <v>0.55072723537526103</v>
      </c>
      <c r="G778" s="491">
        <v>0.11230641120495399</v>
      </c>
    </row>
    <row r="779" spans="1:7" x14ac:dyDescent="0.3">
      <c r="A779" s="11" t="s">
        <v>2243</v>
      </c>
      <c r="B779" s="11" t="s">
        <v>2244</v>
      </c>
      <c r="C779" s="492">
        <v>18</v>
      </c>
      <c r="D779" s="492">
        <v>19213.688739335801</v>
      </c>
      <c r="E779" s="493">
        <v>4945.3511718940699</v>
      </c>
      <c r="F779" s="494">
        <v>0.52548003379644903</v>
      </c>
      <c r="G779" s="495">
        <v>0.13525166021983001</v>
      </c>
    </row>
    <row r="780" spans="1:7" x14ac:dyDescent="0.3">
      <c r="A780" s="6" t="s">
        <v>2869</v>
      </c>
      <c r="B780" s="6" t="s">
        <v>2870</v>
      </c>
      <c r="C780" s="488">
        <v>18</v>
      </c>
      <c r="D780" s="488">
        <v>18930.909554734601</v>
      </c>
      <c r="E780" s="489">
        <v>1801.68504157845</v>
      </c>
      <c r="F780" s="490">
        <v>0.51774623434247402</v>
      </c>
      <c r="G780" s="491">
        <v>4.9274739972285597E-2</v>
      </c>
    </row>
    <row r="781" spans="1:7" x14ac:dyDescent="0.3">
      <c r="A781" s="11" t="s">
        <v>2801</v>
      </c>
      <c r="B781" s="11" t="s">
        <v>2802</v>
      </c>
      <c r="C781" s="492">
        <v>19</v>
      </c>
      <c r="D781" s="492">
        <v>18720.521376144199</v>
      </c>
      <c r="E781" s="493">
        <v>4432.3719813903199</v>
      </c>
      <c r="F781" s="494">
        <v>0.51199227482455201</v>
      </c>
      <c r="G781" s="495">
        <v>0.12122206257099701</v>
      </c>
    </row>
    <row r="782" spans="1:7" x14ac:dyDescent="0.3">
      <c r="A782" s="6" t="s">
        <v>2767</v>
      </c>
      <c r="B782" s="6" t="s">
        <v>2768</v>
      </c>
      <c r="C782" s="488">
        <v>15</v>
      </c>
      <c r="D782" s="488">
        <v>18277.4661337092</v>
      </c>
      <c r="E782" s="489">
        <v>3949.2890577766302</v>
      </c>
      <c r="F782" s="490">
        <v>0.49987504492003099</v>
      </c>
      <c r="G782" s="491">
        <v>0.108010105488164</v>
      </c>
    </row>
    <row r="783" spans="1:7" x14ac:dyDescent="0.3">
      <c r="A783" s="11" t="s">
        <v>2807</v>
      </c>
      <c r="B783" s="11" t="s">
        <v>2808</v>
      </c>
      <c r="C783" s="492">
        <v>20</v>
      </c>
      <c r="D783" s="492">
        <v>17430.990148644501</v>
      </c>
      <c r="E783" s="493">
        <v>4402.41935127342</v>
      </c>
      <c r="F783" s="494">
        <v>0.47672455907245698</v>
      </c>
      <c r="G783" s="495">
        <v>0.120402880512848</v>
      </c>
    </row>
    <row r="784" spans="1:7" x14ac:dyDescent="0.3">
      <c r="A784" s="6" t="s">
        <v>1559</v>
      </c>
      <c r="B784" s="6" t="s">
        <v>1560</v>
      </c>
      <c r="C784" s="488">
        <v>16</v>
      </c>
      <c r="D784" s="488">
        <v>13731.007762984</v>
      </c>
      <c r="E784" s="489">
        <v>4123.9814121351301</v>
      </c>
      <c r="F784" s="490">
        <v>0.375532804826815</v>
      </c>
      <c r="G784" s="491">
        <v>0.11278781087923601</v>
      </c>
    </row>
    <row r="785" spans="1:7" x14ac:dyDescent="0.3">
      <c r="A785" s="11" t="s">
        <v>1637</v>
      </c>
      <c r="B785" s="11" t="s">
        <v>1638</v>
      </c>
      <c r="C785" s="492">
        <v>13</v>
      </c>
      <c r="D785" s="492">
        <v>13269.709448964401</v>
      </c>
      <c r="E785" s="493">
        <v>6222.3310976786497</v>
      </c>
      <c r="F785" s="494">
        <v>0.36291664054259798</v>
      </c>
      <c r="G785" s="495">
        <v>0.17017610724623</v>
      </c>
    </row>
    <row r="786" spans="1:7" x14ac:dyDescent="0.3">
      <c r="A786" s="6" t="s">
        <v>1439</v>
      </c>
      <c r="B786" s="6" t="s">
        <v>1440</v>
      </c>
      <c r="C786" s="488">
        <v>15</v>
      </c>
      <c r="D786" s="488">
        <v>12944.1619982996</v>
      </c>
      <c r="E786" s="489">
        <v>2568.4871393155199</v>
      </c>
      <c r="F786" s="490">
        <v>0.35401316096100899</v>
      </c>
      <c r="G786" s="491">
        <v>7.0246204520325997E-2</v>
      </c>
    </row>
    <row r="787" spans="1:7" x14ac:dyDescent="0.3">
      <c r="A787" s="11" t="s">
        <v>2809</v>
      </c>
      <c r="B787" s="11" t="s">
        <v>2810</v>
      </c>
      <c r="C787" s="492">
        <v>17</v>
      </c>
      <c r="D787" s="492">
        <v>10679.870451881399</v>
      </c>
      <c r="E787" s="493">
        <v>4169.9093786861904</v>
      </c>
      <c r="F787" s="494">
        <v>0.29208647866283499</v>
      </c>
      <c r="G787" s="495">
        <v>0.114043906454785</v>
      </c>
    </row>
    <row r="788" spans="1:7" x14ac:dyDescent="0.3">
      <c r="A788" s="6" t="s">
        <v>1241</v>
      </c>
      <c r="B788" s="6" t="s">
        <v>1242</v>
      </c>
      <c r="C788" s="488">
        <v>14</v>
      </c>
      <c r="D788" s="488">
        <v>10218.7994739315</v>
      </c>
      <c r="E788" s="489">
        <v>2752.5229333430998</v>
      </c>
      <c r="F788" s="490">
        <v>0.27947653185029803</v>
      </c>
      <c r="G788" s="491">
        <v>7.5279446006505796E-2</v>
      </c>
    </row>
    <row r="789" spans="1:7" x14ac:dyDescent="0.3">
      <c r="A789" s="11" t="s">
        <v>1987</v>
      </c>
      <c r="B789" s="11" t="s">
        <v>1988</v>
      </c>
      <c r="C789" s="492">
        <v>8</v>
      </c>
      <c r="D789" s="492">
        <v>8230.8579787964409</v>
      </c>
      <c r="E789" s="493">
        <v>2728.36125811377</v>
      </c>
      <c r="F789" s="494">
        <v>0.22510781701261501</v>
      </c>
      <c r="G789" s="495">
        <v>7.4618642238508101E-2</v>
      </c>
    </row>
    <row r="790" spans="1:7" x14ac:dyDescent="0.3">
      <c r="A790" s="6" t="s">
        <v>1473</v>
      </c>
      <c r="B790" s="6" t="s">
        <v>1474</v>
      </c>
      <c r="C790" s="488">
        <v>8</v>
      </c>
      <c r="D790" s="488">
        <v>7695.5124634039003</v>
      </c>
      <c r="E790" s="489">
        <v>3746.2042382928198</v>
      </c>
      <c r="F790" s="490">
        <v>0.21046651708641501</v>
      </c>
      <c r="G790" s="491">
        <v>0.102455887385973</v>
      </c>
    </row>
    <row r="791" spans="1:7" x14ac:dyDescent="0.3">
      <c r="A791" s="11" t="s">
        <v>1301</v>
      </c>
      <c r="B791" s="11" t="s">
        <v>1302</v>
      </c>
      <c r="C791" s="492">
        <v>8</v>
      </c>
      <c r="D791" s="492">
        <v>7181.4414884614398</v>
      </c>
      <c r="E791" s="493">
        <v>2284.6231850129102</v>
      </c>
      <c r="F791" s="494">
        <v>0.19640705994878099</v>
      </c>
      <c r="G791" s="495">
        <v>6.2482737425371901E-2</v>
      </c>
    </row>
    <row r="792" spans="1:7" x14ac:dyDescent="0.3">
      <c r="A792" s="6" t="s">
        <v>1555</v>
      </c>
      <c r="B792" s="6" t="s">
        <v>1556</v>
      </c>
      <c r="C792" s="488">
        <v>5</v>
      </c>
      <c r="D792" s="488">
        <v>6043.0399212620496</v>
      </c>
      <c r="E792" s="489">
        <v>3336.8958704899201</v>
      </c>
      <c r="F792" s="490">
        <v>0.16527262750733299</v>
      </c>
      <c r="G792" s="491">
        <v>9.1261609292672199E-2</v>
      </c>
    </row>
    <row r="793" spans="1:7" x14ac:dyDescent="0.3">
      <c r="A793" s="11" t="s">
        <v>1743</v>
      </c>
      <c r="B793" s="11" t="s">
        <v>1744</v>
      </c>
      <c r="C793" s="492">
        <v>5</v>
      </c>
      <c r="D793" s="492">
        <v>3453.9908851413702</v>
      </c>
      <c r="E793" s="493">
        <v>2364.4372152928299</v>
      </c>
      <c r="F793" s="494">
        <v>9.44640704697636E-2</v>
      </c>
      <c r="G793" s="495">
        <v>6.4665591529959196E-2</v>
      </c>
    </row>
    <row r="794" spans="1:7" x14ac:dyDescent="0.3">
      <c r="A794" s="6" t="s">
        <v>1851</v>
      </c>
      <c r="B794" s="6" t="s">
        <v>1852</v>
      </c>
      <c r="C794" s="488">
        <v>2</v>
      </c>
      <c r="D794" s="488">
        <v>969.29231042638605</v>
      </c>
      <c r="E794" s="489">
        <v>897.860950596865</v>
      </c>
      <c r="F794" s="490">
        <v>2.6509420598592699E-2</v>
      </c>
      <c r="G794" s="491">
        <v>2.4555826268707601E-2</v>
      </c>
    </row>
    <row r="795" spans="1:7" x14ac:dyDescent="0.3">
      <c r="A795" s="11" t="s">
        <v>2345</v>
      </c>
      <c r="B795" s="11" t="s">
        <v>2346</v>
      </c>
      <c r="C795" s="492">
        <v>1</v>
      </c>
      <c r="D795" s="492">
        <v>501.10180310389399</v>
      </c>
      <c r="E795" s="493">
        <v>503.90291310253502</v>
      </c>
      <c r="F795" s="494">
        <v>1.3704759976225099E-2</v>
      </c>
      <c r="G795" s="495">
        <v>1.37813682421715E-2</v>
      </c>
    </row>
    <row r="796" spans="1:7" x14ac:dyDescent="0.3">
      <c r="A796" s="6" t="s">
        <v>1579</v>
      </c>
      <c r="B796" s="6" t="s">
        <v>1580</v>
      </c>
      <c r="C796" s="488">
        <v>1</v>
      </c>
      <c r="D796" s="488">
        <v>454.10172422120502</v>
      </c>
      <c r="E796" s="489">
        <v>459.10400468527303</v>
      </c>
      <c r="F796" s="490">
        <v>1.2419342929307501E-2</v>
      </c>
      <c r="G796" s="491">
        <v>1.25561515631403E-2</v>
      </c>
    </row>
    <row r="797" spans="1:7" x14ac:dyDescent="0.3">
      <c r="A797" s="11" t="s">
        <v>2433</v>
      </c>
      <c r="B797" s="11" t="s">
        <v>2434</v>
      </c>
      <c r="C797" s="492">
        <v>1</v>
      </c>
      <c r="D797" s="492">
        <v>398.71266201208402</v>
      </c>
      <c r="E797" s="493">
        <v>398.48978624205802</v>
      </c>
      <c r="F797" s="494">
        <v>1.0904493455244E-2</v>
      </c>
      <c r="G797" s="495">
        <v>1.0898397969429E-2</v>
      </c>
    </row>
    <row r="798" spans="1:7" x14ac:dyDescent="0.3">
      <c r="A798" s="6" t="s">
        <v>1285</v>
      </c>
      <c r="B798" s="6" t="s">
        <v>1286</v>
      </c>
      <c r="C798" s="488">
        <v>1</v>
      </c>
      <c r="D798" s="488">
        <v>319.399872258958</v>
      </c>
      <c r="E798" s="489">
        <v>320.74879731970498</v>
      </c>
      <c r="F798" s="490">
        <v>8.7353479046221507E-3</v>
      </c>
      <c r="G798" s="491">
        <v>8.7722399973445102E-3</v>
      </c>
    </row>
    <row r="799" spans="1:7" x14ac:dyDescent="0.3">
      <c r="A799" s="11" t="s">
        <v>2503</v>
      </c>
      <c r="B799" s="11" t="s">
        <v>2504</v>
      </c>
      <c r="C799" s="492">
        <v>1</v>
      </c>
      <c r="D799" s="492">
        <v>305.20452488842301</v>
      </c>
      <c r="E799" s="493">
        <v>305.00290198834</v>
      </c>
      <c r="F799" s="494">
        <v>8.3471157584049799E-3</v>
      </c>
      <c r="G799" s="495">
        <v>8.3416015227063007E-3</v>
      </c>
    </row>
    <row r="800" spans="1:7" x14ac:dyDescent="0.3">
      <c r="A800" s="6" t="s">
        <v>1537</v>
      </c>
      <c r="B800" s="6" t="s">
        <v>1538</v>
      </c>
      <c r="C800" s="488">
        <v>1</v>
      </c>
      <c r="D800" s="488">
        <v>259.92304045407002</v>
      </c>
      <c r="E800" s="489">
        <v>262.58688567236197</v>
      </c>
      <c r="F800" s="490">
        <v>7.1087009858057304E-3</v>
      </c>
      <c r="G800" s="491">
        <v>7.1815551625506197E-3</v>
      </c>
    </row>
    <row r="801" spans="1:7" x14ac:dyDescent="0.3">
      <c r="A801" s="11" t="s">
        <v>1499</v>
      </c>
      <c r="B801" s="11" t="s">
        <v>1500</v>
      </c>
      <c r="C801" s="492">
        <v>1</v>
      </c>
      <c r="D801" s="492">
        <v>165.52024313733901</v>
      </c>
      <c r="E801" s="493">
        <v>165.88197193380799</v>
      </c>
      <c r="F801" s="494">
        <v>4.5268550010252899E-3</v>
      </c>
      <c r="G801" s="495">
        <v>4.5367480133860503E-3</v>
      </c>
    </row>
    <row r="802" spans="1:7" x14ac:dyDescent="0.3">
      <c r="A802" s="6" t="s">
        <v>1967</v>
      </c>
      <c r="B802" s="6" t="s">
        <v>1968</v>
      </c>
      <c r="C802" s="488">
        <v>1</v>
      </c>
      <c r="D802" s="488">
        <v>107.421363007487</v>
      </c>
      <c r="E802" s="489">
        <v>108.777844079735</v>
      </c>
      <c r="F802" s="490">
        <v>2.9378940311482501E-3</v>
      </c>
      <c r="G802" s="491">
        <v>2.9749927751405798E-3</v>
      </c>
    </row>
    <row r="803" spans="1:7" x14ac:dyDescent="0.3">
      <c r="A803" s="11" t="s">
        <v>2825</v>
      </c>
      <c r="B803" s="11" t="s">
        <v>2826</v>
      </c>
      <c r="C803" s="492">
        <v>1</v>
      </c>
      <c r="D803" s="492">
        <v>103.663997568479</v>
      </c>
      <c r="E803" s="493">
        <v>104.769510062752</v>
      </c>
      <c r="F803" s="494">
        <v>2.8351328932604901E-3</v>
      </c>
      <c r="G803" s="495">
        <v>2.8653678341265601E-3</v>
      </c>
    </row>
    <row r="804" spans="1:7" x14ac:dyDescent="0.3">
      <c r="A804" s="6" t="s">
        <v>2245</v>
      </c>
      <c r="B804" s="6" t="s">
        <v>2246</v>
      </c>
      <c r="C804" s="488">
        <v>1</v>
      </c>
      <c r="D804" s="488">
        <v>88.722317719766394</v>
      </c>
      <c r="E804" s="489">
        <v>89.063898348526905</v>
      </c>
      <c r="F804" s="490">
        <v>2.4264891112987801E-3</v>
      </c>
      <c r="G804" s="491">
        <v>2.4358310863239999E-3</v>
      </c>
    </row>
    <row r="805" spans="1:7" x14ac:dyDescent="0.3">
      <c r="A805" s="11" t="s">
        <v>6269</v>
      </c>
      <c r="B805" s="11" t="s">
        <v>6270</v>
      </c>
      <c r="C805" s="492">
        <v>8627</v>
      </c>
      <c r="D805" s="492">
        <v>3656407</v>
      </c>
      <c r="E805" s="493">
        <v>3.41673373987868E-8</v>
      </c>
      <c r="F805" s="494">
        <v>100</v>
      </c>
      <c r="G805" s="495">
        <v>1.78031750616652E-14</v>
      </c>
    </row>
    <row r="806" spans="1:7" x14ac:dyDescent="0.3">
      <c r="A806" s="6" t="s">
        <v>6269</v>
      </c>
      <c r="B806" s="6" t="s">
        <v>6271</v>
      </c>
      <c r="C806" s="488">
        <v>8627</v>
      </c>
      <c r="D806" s="488">
        <v>3656407</v>
      </c>
      <c r="E806" s="489">
        <v>0</v>
      </c>
      <c r="F806" s="490">
        <v>100</v>
      </c>
      <c r="G806" s="491">
        <v>0</v>
      </c>
    </row>
    <row r="807" spans="1:7" x14ac:dyDescent="0.3">
      <c r="A807" s="3299" t="s">
        <v>515</v>
      </c>
      <c r="B807" s="3298"/>
      <c r="C807" s="3298"/>
      <c r="D807" s="3298"/>
      <c r="E807" s="3298"/>
      <c r="F807" s="3298"/>
      <c r="G807" s="3298"/>
    </row>
    <row r="808" spans="1:7" x14ac:dyDescent="0.3">
      <c r="A808" s="11" t="s">
        <v>6274</v>
      </c>
      <c r="B808" s="11"/>
      <c r="C808" s="500">
        <v>3585</v>
      </c>
      <c r="D808" s="500">
        <v>1206497</v>
      </c>
      <c r="E808" s="501">
        <v>1.71108460450814E-8</v>
      </c>
      <c r="F808" s="502">
        <v>32.996791659134303</v>
      </c>
      <c r="G808" s="503">
        <v>4.6116753069507897E-13</v>
      </c>
    </row>
    <row r="809" spans="1:7" x14ac:dyDescent="0.3">
      <c r="A809" s="6" t="s">
        <v>6272</v>
      </c>
      <c r="B809" s="6"/>
      <c r="C809" s="496">
        <v>2769</v>
      </c>
      <c r="D809" s="496">
        <v>983495.99999999802</v>
      </c>
      <c r="E809" s="497">
        <v>1.7831261972536399E-8</v>
      </c>
      <c r="F809" s="498">
        <v>26.897880897832199</v>
      </c>
      <c r="G809" s="499">
        <v>4.6866668144586002E-13</v>
      </c>
    </row>
    <row r="810" spans="1:7" x14ac:dyDescent="0.3">
      <c r="A810" s="11" t="s">
        <v>6273</v>
      </c>
      <c r="B810" s="11"/>
      <c r="C810" s="500">
        <v>1065</v>
      </c>
      <c r="D810" s="500">
        <v>615797.99999999895</v>
      </c>
      <c r="E810" s="501">
        <v>9.5139577884325093E-9</v>
      </c>
      <c r="F810" s="502">
        <v>16.841615279699401</v>
      </c>
      <c r="G810" s="503">
        <v>2.50631464637092E-13</v>
      </c>
    </row>
    <row r="811" spans="1:7" x14ac:dyDescent="0.3">
      <c r="A811" s="6" t="s">
        <v>6276</v>
      </c>
      <c r="B811" s="6"/>
      <c r="C811" s="496">
        <v>797</v>
      </c>
      <c r="D811" s="496">
        <v>548215.82926808205</v>
      </c>
      <c r="E811" s="497">
        <v>16181.7402267302</v>
      </c>
      <c r="F811" s="498">
        <v>14.9932933961696</v>
      </c>
      <c r="G811" s="499">
        <v>0.44255850693675902</v>
      </c>
    </row>
    <row r="812" spans="1:7" x14ac:dyDescent="0.3">
      <c r="A812" s="11" t="s">
        <v>6275</v>
      </c>
      <c r="B812" s="11"/>
      <c r="C812" s="500">
        <v>298</v>
      </c>
      <c r="D812" s="500">
        <v>196844.962201082</v>
      </c>
      <c r="E812" s="501">
        <v>16192.6764730059</v>
      </c>
      <c r="F812" s="502">
        <v>5.3835626668771299</v>
      </c>
      <c r="G812" s="503">
        <v>0.44285760510264999</v>
      </c>
    </row>
    <row r="813" spans="1:7" x14ac:dyDescent="0.3">
      <c r="A813" s="6" t="s">
        <v>6278</v>
      </c>
      <c r="B813" s="6"/>
      <c r="C813" s="496">
        <v>78</v>
      </c>
      <c r="D813" s="496">
        <v>71823.724550589293</v>
      </c>
      <c r="E813" s="497">
        <v>6227.84838909668</v>
      </c>
      <c r="F813" s="498">
        <v>1.96432521189762</v>
      </c>
      <c r="G813" s="499">
        <v>0.17032700104492199</v>
      </c>
    </row>
    <row r="814" spans="1:7" x14ac:dyDescent="0.3">
      <c r="A814" s="11" t="s">
        <v>6277</v>
      </c>
      <c r="B814" s="11"/>
      <c r="C814" s="500">
        <v>24</v>
      </c>
      <c r="D814" s="500">
        <v>22698.684345385002</v>
      </c>
      <c r="E814" s="501">
        <v>4626.2431210637496</v>
      </c>
      <c r="F814" s="502">
        <v>0.62079206022155098</v>
      </c>
      <c r="G814" s="503">
        <v>0.126524293413281</v>
      </c>
    </row>
    <row r="815" spans="1:7" x14ac:dyDescent="0.3">
      <c r="A815" s="6" t="s">
        <v>6279</v>
      </c>
      <c r="B815" s="6"/>
      <c r="C815" s="496">
        <v>14</v>
      </c>
      <c r="D815" s="496">
        <v>10489.909901795399</v>
      </c>
      <c r="E815" s="497">
        <v>3312.08337952689</v>
      </c>
      <c r="F815" s="498">
        <v>0.28689119952443598</v>
      </c>
      <c r="G815" s="499">
        <v>9.0583006200537899E-2</v>
      </c>
    </row>
    <row r="816" spans="1:7" x14ac:dyDescent="0.3">
      <c r="A816" s="11" t="s">
        <v>995</v>
      </c>
      <c r="B816" s="11"/>
      <c r="C816" s="500">
        <v>1</v>
      </c>
      <c r="D816" s="500">
        <v>542.88973306652395</v>
      </c>
      <c r="E816" s="501">
        <v>543.04830951460497</v>
      </c>
      <c r="F816" s="502">
        <v>1.48476286438168E-2</v>
      </c>
      <c r="G816" s="503">
        <v>1.4851965591210299E-2</v>
      </c>
    </row>
    <row r="817" spans="1:7" x14ac:dyDescent="0.3">
      <c r="A817" s="6" t="s">
        <v>6269</v>
      </c>
      <c r="B817" s="6" t="s">
        <v>6270</v>
      </c>
      <c r="C817" s="496">
        <v>8631</v>
      </c>
      <c r="D817" s="496">
        <v>3656407</v>
      </c>
      <c r="E817" s="497">
        <v>9.9438040070527305E-9</v>
      </c>
      <c r="F817" s="498">
        <v>100</v>
      </c>
      <c r="G817" s="499">
        <v>1.02786679142825E-14</v>
      </c>
    </row>
    <row r="818" spans="1:7" x14ac:dyDescent="0.3">
      <c r="A818" s="11" t="s">
        <v>6269</v>
      </c>
      <c r="B818" s="11" t="s">
        <v>6271</v>
      </c>
      <c r="C818" s="500">
        <v>8631</v>
      </c>
      <c r="D818" s="500">
        <v>3656407</v>
      </c>
      <c r="E818" s="501">
        <v>0</v>
      </c>
      <c r="F818" s="502">
        <v>100</v>
      </c>
      <c r="G818" s="503">
        <v>0</v>
      </c>
    </row>
    <row r="819" spans="1:7" x14ac:dyDescent="0.3">
      <c r="A819" s="3299" t="s">
        <v>186</v>
      </c>
      <c r="B819" s="3298"/>
      <c r="C819" s="3298"/>
      <c r="D819" s="3298"/>
      <c r="E819" s="3298"/>
      <c r="F819" s="3298"/>
      <c r="G819" s="3298"/>
    </row>
    <row r="820" spans="1:7" x14ac:dyDescent="0.3">
      <c r="A820" s="11" t="s">
        <v>962</v>
      </c>
      <c r="B820" s="11" t="s">
        <v>1039</v>
      </c>
      <c r="C820" s="508">
        <v>8631</v>
      </c>
      <c r="D820" s="508">
        <v>3656407</v>
      </c>
      <c r="E820" s="509">
        <v>9.4030312632811204E-8</v>
      </c>
      <c r="F820" s="510">
        <v>100</v>
      </c>
      <c r="G820" s="511">
        <v>0</v>
      </c>
    </row>
    <row r="821" spans="1:7" x14ac:dyDescent="0.3">
      <c r="A821" s="6" t="s">
        <v>6269</v>
      </c>
      <c r="B821" s="6" t="s">
        <v>6270</v>
      </c>
      <c r="C821" s="504">
        <v>8631</v>
      </c>
      <c r="D821" s="504">
        <v>3656407</v>
      </c>
      <c r="E821" s="505">
        <v>9.4030312632811204E-8</v>
      </c>
      <c r="F821" s="506">
        <v>100</v>
      </c>
      <c r="G821" s="507">
        <v>0</v>
      </c>
    </row>
    <row r="822" spans="1:7" x14ac:dyDescent="0.3">
      <c r="A822" s="11" t="s">
        <v>6269</v>
      </c>
      <c r="B822" s="11" t="s">
        <v>6271</v>
      </c>
      <c r="C822" s="508">
        <v>8631</v>
      </c>
      <c r="D822" s="508">
        <v>3656407</v>
      </c>
      <c r="E822" s="509">
        <v>0</v>
      </c>
      <c r="F822" s="510">
        <v>100</v>
      </c>
      <c r="G822" s="511">
        <v>0</v>
      </c>
    </row>
    <row r="823" spans="1:7" x14ac:dyDescent="0.3">
      <c r="A823" s="3299" t="s">
        <v>216</v>
      </c>
      <c r="B823" s="3298"/>
      <c r="C823" s="3298"/>
      <c r="D823" s="3298"/>
      <c r="E823" s="3298"/>
      <c r="F823" s="3298"/>
      <c r="G823" s="3298"/>
    </row>
    <row r="824" spans="1:7" x14ac:dyDescent="0.3">
      <c r="A824" s="11" t="s">
        <v>970</v>
      </c>
      <c r="B824" s="11" t="s">
        <v>1154</v>
      </c>
      <c r="C824" s="516">
        <v>1537</v>
      </c>
      <c r="D824" s="516">
        <v>657235.97794678097</v>
      </c>
      <c r="E824" s="517">
        <v>21009.870916104901</v>
      </c>
      <c r="F824" s="518">
        <v>17.974913021082699</v>
      </c>
      <c r="G824" s="519">
        <v>0.57460427452701102</v>
      </c>
    </row>
    <row r="825" spans="1:7" x14ac:dyDescent="0.3">
      <c r="A825" s="6" t="s">
        <v>1155</v>
      </c>
      <c r="B825" s="6" t="s">
        <v>1156</v>
      </c>
      <c r="C825" s="512">
        <v>1801</v>
      </c>
      <c r="D825" s="512">
        <v>622279.32478297502</v>
      </c>
      <c r="E825" s="513">
        <v>20384.2926194256</v>
      </c>
      <c r="F825" s="514">
        <v>17.018874670762202</v>
      </c>
      <c r="G825" s="515">
        <v>0.55749517543932503</v>
      </c>
    </row>
    <row r="826" spans="1:7" x14ac:dyDescent="0.3">
      <c r="A826" s="11" t="s">
        <v>1157</v>
      </c>
      <c r="B826" s="11" t="s">
        <v>1158</v>
      </c>
      <c r="C826" s="516">
        <v>1409</v>
      </c>
      <c r="D826" s="516">
        <v>566579.89201699197</v>
      </c>
      <c r="E826" s="517">
        <v>9662.2635969619405</v>
      </c>
      <c r="F826" s="518">
        <v>15.495536793825</v>
      </c>
      <c r="G826" s="519">
        <v>0.26425569136482002</v>
      </c>
    </row>
    <row r="827" spans="1:7" x14ac:dyDescent="0.3">
      <c r="A827" s="6" t="s">
        <v>1159</v>
      </c>
      <c r="B827" s="6" t="s">
        <v>1160</v>
      </c>
      <c r="C827" s="512">
        <v>981</v>
      </c>
      <c r="D827" s="512">
        <v>411806.80695268902</v>
      </c>
      <c r="E827" s="513">
        <v>24193.928510252699</v>
      </c>
      <c r="F827" s="514">
        <v>11.262608537635099</v>
      </c>
      <c r="G827" s="515">
        <v>0.66168587113668498</v>
      </c>
    </row>
    <row r="828" spans="1:7" x14ac:dyDescent="0.3">
      <c r="A828" s="11" t="s">
        <v>1163</v>
      </c>
      <c r="B828" s="11" t="s">
        <v>1164</v>
      </c>
      <c r="C828" s="516">
        <v>638</v>
      </c>
      <c r="D828" s="516">
        <v>315808.27248442097</v>
      </c>
      <c r="E828" s="517">
        <v>17818.643274966798</v>
      </c>
      <c r="F828" s="518">
        <v>8.6371203338255498</v>
      </c>
      <c r="G828" s="519">
        <v>0.48732658248840299</v>
      </c>
    </row>
    <row r="829" spans="1:7" x14ac:dyDescent="0.3">
      <c r="A829" s="6" t="s">
        <v>1161</v>
      </c>
      <c r="B829" s="6" t="s">
        <v>1162</v>
      </c>
      <c r="C829" s="512">
        <v>722</v>
      </c>
      <c r="D829" s="512">
        <v>307798.67782250501</v>
      </c>
      <c r="E829" s="513">
        <v>14534.3583395799</v>
      </c>
      <c r="F829" s="514">
        <v>8.4180639032390197</v>
      </c>
      <c r="G829" s="515">
        <v>0.39750384296878399</v>
      </c>
    </row>
    <row r="830" spans="1:7" x14ac:dyDescent="0.3">
      <c r="A830" s="11" t="s">
        <v>1165</v>
      </c>
      <c r="B830" s="11" t="s">
        <v>1166</v>
      </c>
      <c r="C830" s="516">
        <v>464</v>
      </c>
      <c r="D830" s="516">
        <v>215642.75220102101</v>
      </c>
      <c r="E830" s="517">
        <v>16377.1621063435</v>
      </c>
      <c r="F830" s="518">
        <v>5.8976681808403999</v>
      </c>
      <c r="G830" s="519">
        <v>0.44790314935792502</v>
      </c>
    </row>
    <row r="831" spans="1:7" x14ac:dyDescent="0.3">
      <c r="A831" s="6" t="s">
        <v>1152</v>
      </c>
      <c r="B831" s="6" t="s">
        <v>1153</v>
      </c>
      <c r="C831" s="512">
        <v>415</v>
      </c>
      <c r="D831" s="512">
        <v>176771.727424529</v>
      </c>
      <c r="E831" s="513">
        <v>11061.769968828599</v>
      </c>
      <c r="F831" s="514">
        <v>4.8345746910704799</v>
      </c>
      <c r="G831" s="515">
        <v>0.302531145160499</v>
      </c>
    </row>
    <row r="832" spans="1:7" x14ac:dyDescent="0.3">
      <c r="A832" s="11" t="s">
        <v>1167</v>
      </c>
      <c r="B832" s="11" t="s">
        <v>1168</v>
      </c>
      <c r="C832" s="516">
        <v>319</v>
      </c>
      <c r="D832" s="516">
        <v>169638.69588520701</v>
      </c>
      <c r="E832" s="517">
        <v>13413.0686990226</v>
      </c>
      <c r="F832" s="518">
        <v>4.6394916070669003</v>
      </c>
      <c r="G832" s="519">
        <v>0.36683740893786498</v>
      </c>
    </row>
    <row r="833" spans="1:7" x14ac:dyDescent="0.3">
      <c r="A833" s="6" t="s">
        <v>1169</v>
      </c>
      <c r="B833" s="6" t="s">
        <v>1170</v>
      </c>
      <c r="C833" s="512">
        <v>210</v>
      </c>
      <c r="D833" s="512">
        <v>131459.400192678</v>
      </c>
      <c r="E833" s="513">
        <v>14655.695830455301</v>
      </c>
      <c r="F833" s="514">
        <v>3.59531639100019</v>
      </c>
      <c r="G833" s="515">
        <v>0.40082233270134299</v>
      </c>
    </row>
    <row r="834" spans="1:7" x14ac:dyDescent="0.3">
      <c r="A834" s="11" t="s">
        <v>1171</v>
      </c>
      <c r="B834" s="11" t="s">
        <v>1172</v>
      </c>
      <c r="C834" s="516">
        <v>135</v>
      </c>
      <c r="D834" s="516">
        <v>81385.472290201797</v>
      </c>
      <c r="E834" s="517">
        <v>9835.5215942697596</v>
      </c>
      <c r="F834" s="518">
        <v>2.22583186965241</v>
      </c>
      <c r="G834" s="519">
        <v>0.268994168162072</v>
      </c>
    </row>
    <row r="835" spans="1:7" x14ac:dyDescent="0.3">
      <c r="A835" s="6" t="s">
        <v>6269</v>
      </c>
      <c r="B835" s="6" t="s">
        <v>6270</v>
      </c>
      <c r="C835" s="512">
        <v>8631</v>
      </c>
      <c r="D835" s="512">
        <v>3656407</v>
      </c>
      <c r="E835" s="513">
        <v>2.4215666195461501E-8</v>
      </c>
      <c r="F835" s="514">
        <v>100</v>
      </c>
      <c r="G835" s="515">
        <v>0</v>
      </c>
    </row>
    <row r="836" spans="1:7" x14ac:dyDescent="0.3">
      <c r="A836" s="11" t="s">
        <v>6269</v>
      </c>
      <c r="B836" s="11" t="s">
        <v>6271</v>
      </c>
      <c r="C836" s="516">
        <v>8631</v>
      </c>
      <c r="D836" s="516">
        <v>3656407</v>
      </c>
      <c r="E836" s="517">
        <v>0</v>
      </c>
      <c r="F836" s="518">
        <v>100</v>
      </c>
      <c r="G836" s="519">
        <v>0</v>
      </c>
    </row>
    <row r="837" spans="1:7" x14ac:dyDescent="0.3">
      <c r="A837" s="3299" t="s">
        <v>220</v>
      </c>
      <c r="B837" s="3298"/>
      <c r="C837" s="3298"/>
      <c r="D837" s="3298"/>
      <c r="E837" s="3298"/>
      <c r="F837" s="3298"/>
      <c r="G837" s="3298"/>
    </row>
    <row r="838" spans="1:7" x14ac:dyDescent="0.3">
      <c r="A838" s="11" t="s">
        <v>1180</v>
      </c>
      <c r="B838" s="11" t="s">
        <v>1181</v>
      </c>
      <c r="C838" s="524">
        <v>1885</v>
      </c>
      <c r="D838" s="524">
        <v>884622.306768729</v>
      </c>
      <c r="E838" s="525">
        <v>29575.471105195302</v>
      </c>
      <c r="F838" s="526">
        <v>24.193759249687702</v>
      </c>
      <c r="G838" s="527">
        <v>0.80886704092829198</v>
      </c>
    </row>
    <row r="839" spans="1:7" x14ac:dyDescent="0.3">
      <c r="A839" s="6" t="s">
        <v>1178</v>
      </c>
      <c r="B839" s="6" t="s">
        <v>1179</v>
      </c>
      <c r="C839" s="520">
        <v>1785</v>
      </c>
      <c r="D839" s="520">
        <v>761224.21442744602</v>
      </c>
      <c r="E839" s="521">
        <v>33129.288028724201</v>
      </c>
      <c r="F839" s="522">
        <v>20.818913606374998</v>
      </c>
      <c r="G839" s="523">
        <v>0.90606127897480504</v>
      </c>
    </row>
    <row r="840" spans="1:7" x14ac:dyDescent="0.3">
      <c r="A840" s="11" t="s">
        <v>1174</v>
      </c>
      <c r="B840" s="11" t="s">
        <v>1175</v>
      </c>
      <c r="C840" s="524">
        <v>1818</v>
      </c>
      <c r="D840" s="524">
        <v>598150.03614936699</v>
      </c>
      <c r="E840" s="525">
        <v>21954.444027629299</v>
      </c>
      <c r="F840" s="526">
        <v>16.358956651963702</v>
      </c>
      <c r="G840" s="527">
        <v>0.60043764350165796</v>
      </c>
    </row>
    <row r="841" spans="1:7" x14ac:dyDescent="0.3">
      <c r="A841" s="6" t="s">
        <v>1176</v>
      </c>
      <c r="B841" s="6" t="s">
        <v>1177</v>
      </c>
      <c r="C841" s="520">
        <v>1317</v>
      </c>
      <c r="D841" s="520">
        <v>487002.60712468799</v>
      </c>
      <c r="E841" s="521">
        <v>16069.962664826</v>
      </c>
      <c r="F841" s="522">
        <v>13.3191574987327</v>
      </c>
      <c r="G841" s="523">
        <v>0.43950147411997398</v>
      </c>
    </row>
    <row r="842" spans="1:7" x14ac:dyDescent="0.3">
      <c r="A842" s="11" t="s">
        <v>1182</v>
      </c>
      <c r="B842" s="11" t="s">
        <v>1183</v>
      </c>
      <c r="C842" s="524">
        <v>745</v>
      </c>
      <c r="D842" s="524">
        <v>429112.06428846798</v>
      </c>
      <c r="E842" s="525">
        <v>19678.362565303902</v>
      </c>
      <c r="F842" s="526">
        <v>11.735894398202101</v>
      </c>
      <c r="G842" s="527">
        <v>0.53818851581084903</v>
      </c>
    </row>
    <row r="843" spans="1:7" x14ac:dyDescent="0.3">
      <c r="A843" s="6" t="s">
        <v>1161</v>
      </c>
      <c r="B843" s="6" t="s">
        <v>1173</v>
      </c>
      <c r="C843" s="520">
        <v>987</v>
      </c>
      <c r="D843" s="520">
        <v>427161.56452857697</v>
      </c>
      <c r="E843" s="521">
        <v>23551.147572193498</v>
      </c>
      <c r="F843" s="522">
        <v>11.6825496868532</v>
      </c>
      <c r="G843" s="523">
        <v>0.644106292658157</v>
      </c>
    </row>
    <row r="844" spans="1:7" x14ac:dyDescent="0.3">
      <c r="A844" s="11" t="s">
        <v>1184</v>
      </c>
      <c r="B844" s="11" t="s">
        <v>1185</v>
      </c>
      <c r="C844" s="524">
        <v>90</v>
      </c>
      <c r="D844" s="524">
        <v>65338.235071353702</v>
      </c>
      <c r="E844" s="525">
        <v>8722.2015306656194</v>
      </c>
      <c r="F844" s="526">
        <v>1.7869519195033201</v>
      </c>
      <c r="G844" s="527">
        <v>0.23854569610728901</v>
      </c>
    </row>
    <row r="845" spans="1:7" x14ac:dyDescent="0.3">
      <c r="A845" s="6" t="s">
        <v>1186</v>
      </c>
      <c r="B845" s="6" t="s">
        <v>1187</v>
      </c>
      <c r="C845" s="520">
        <v>4</v>
      </c>
      <c r="D845" s="520">
        <v>3795.9716413689298</v>
      </c>
      <c r="E845" s="521">
        <v>1967.2552373850999</v>
      </c>
      <c r="F845" s="522">
        <v>0.103816988682303</v>
      </c>
      <c r="G845" s="523">
        <v>5.3802961141500301E-2</v>
      </c>
    </row>
    <row r="846" spans="1:7" x14ac:dyDescent="0.3">
      <c r="A846" s="11" t="s">
        <v>6269</v>
      </c>
      <c r="B846" s="11" t="s">
        <v>6270</v>
      </c>
      <c r="C846" s="524">
        <v>8631</v>
      </c>
      <c r="D846" s="524">
        <v>3656407</v>
      </c>
      <c r="E846" s="525">
        <v>8.0770039976899407E-9</v>
      </c>
      <c r="F846" s="526">
        <v>100</v>
      </c>
      <c r="G846" s="527">
        <v>1.45362315675074E-14</v>
      </c>
    </row>
    <row r="847" spans="1:7" x14ac:dyDescent="0.3">
      <c r="A847" s="6" t="s">
        <v>6269</v>
      </c>
      <c r="B847" s="6" t="s">
        <v>6271</v>
      </c>
      <c r="C847" s="520">
        <v>8631</v>
      </c>
      <c r="D847" s="520">
        <v>3656407</v>
      </c>
      <c r="E847" s="521">
        <v>0</v>
      </c>
      <c r="F847" s="522">
        <v>100</v>
      </c>
      <c r="G847" s="523">
        <v>0</v>
      </c>
    </row>
    <row r="848" spans="1:7" x14ac:dyDescent="0.3">
      <c r="A848" s="3299" t="s">
        <v>224</v>
      </c>
      <c r="B848" s="3298"/>
      <c r="C848" s="3298"/>
      <c r="D848" s="3298"/>
      <c r="E848" s="3298"/>
      <c r="F848" s="3298"/>
      <c r="G848" s="3298"/>
    </row>
    <row r="849" spans="1:7" x14ac:dyDescent="0.3">
      <c r="A849" s="11" t="s">
        <v>1174</v>
      </c>
      <c r="B849" s="11" t="s">
        <v>1175</v>
      </c>
      <c r="C849" s="532">
        <v>2559</v>
      </c>
      <c r="D849" s="532">
        <v>965029.82969269506</v>
      </c>
      <c r="E849" s="533">
        <v>29801.928832778402</v>
      </c>
      <c r="F849" s="534">
        <v>26.392844934732299</v>
      </c>
      <c r="G849" s="535">
        <v>0.81506049060673902</v>
      </c>
    </row>
    <row r="850" spans="1:7" x14ac:dyDescent="0.3">
      <c r="A850" s="6" t="s">
        <v>1176</v>
      </c>
      <c r="B850" s="6" t="s">
        <v>1177</v>
      </c>
      <c r="C850" s="528">
        <v>1847</v>
      </c>
      <c r="D850" s="528">
        <v>826963.60119939398</v>
      </c>
      <c r="E850" s="529">
        <v>30567.520731394201</v>
      </c>
      <c r="F850" s="530">
        <v>22.6168367252167</v>
      </c>
      <c r="G850" s="531">
        <v>0.83599885711285105</v>
      </c>
    </row>
    <row r="851" spans="1:7" x14ac:dyDescent="0.3">
      <c r="A851" s="11" t="s">
        <v>1178</v>
      </c>
      <c r="B851" s="11" t="s">
        <v>1179</v>
      </c>
      <c r="C851" s="532">
        <v>1603</v>
      </c>
      <c r="D851" s="532">
        <v>734233.25014572905</v>
      </c>
      <c r="E851" s="533">
        <v>23909.998224963401</v>
      </c>
      <c r="F851" s="534">
        <v>20.080730896361601</v>
      </c>
      <c r="G851" s="535">
        <v>0.653920589938771</v>
      </c>
    </row>
    <row r="852" spans="1:7" x14ac:dyDescent="0.3">
      <c r="A852" s="6" t="s">
        <v>1161</v>
      </c>
      <c r="B852" s="6" t="s">
        <v>1173</v>
      </c>
      <c r="C852" s="528">
        <v>1920</v>
      </c>
      <c r="D852" s="528">
        <v>723048.49132489203</v>
      </c>
      <c r="E852" s="529">
        <v>24887.231071336399</v>
      </c>
      <c r="F852" s="530">
        <v>19.7748360979752</v>
      </c>
      <c r="G852" s="531">
        <v>0.68064717826370202</v>
      </c>
    </row>
    <row r="853" spans="1:7" x14ac:dyDescent="0.3">
      <c r="A853" s="11" t="s">
        <v>1180</v>
      </c>
      <c r="B853" s="11" t="s">
        <v>1181</v>
      </c>
      <c r="C853" s="532">
        <v>520</v>
      </c>
      <c r="D853" s="532">
        <v>276934.55450674403</v>
      </c>
      <c r="E853" s="533">
        <v>10372.3237487101</v>
      </c>
      <c r="F853" s="534">
        <v>7.5739531870151398</v>
      </c>
      <c r="G853" s="535">
        <v>0.28367530607807601</v>
      </c>
    </row>
    <row r="854" spans="1:7" x14ac:dyDescent="0.3">
      <c r="A854" s="6" t="s">
        <v>1182</v>
      </c>
      <c r="B854" s="6" t="s">
        <v>1183</v>
      </c>
      <c r="C854" s="528">
        <v>151</v>
      </c>
      <c r="D854" s="528">
        <v>106865.66423863301</v>
      </c>
      <c r="E854" s="529">
        <v>10555.714346180401</v>
      </c>
      <c r="F854" s="530">
        <v>2.9226960849444001</v>
      </c>
      <c r="G854" s="531">
        <v>0.28869090192039298</v>
      </c>
    </row>
    <row r="855" spans="1:7" x14ac:dyDescent="0.3">
      <c r="A855" s="11" t="s">
        <v>1184</v>
      </c>
      <c r="B855" s="11" t="s">
        <v>1185</v>
      </c>
      <c r="C855" s="532">
        <v>29</v>
      </c>
      <c r="D855" s="532">
        <v>20772.646002620699</v>
      </c>
      <c r="E855" s="533">
        <v>3203.2612005907799</v>
      </c>
      <c r="F855" s="534">
        <v>0.56811635035762498</v>
      </c>
      <c r="G855" s="535">
        <v>8.7606800900194501E-2</v>
      </c>
    </row>
    <row r="856" spans="1:7" x14ac:dyDescent="0.3">
      <c r="A856" s="6" t="s">
        <v>1186</v>
      </c>
      <c r="B856" s="6" t="s">
        <v>1187</v>
      </c>
      <c r="C856" s="528">
        <v>2</v>
      </c>
      <c r="D856" s="528">
        <v>2558.96288928901</v>
      </c>
      <c r="E856" s="529">
        <v>1921.4544308231</v>
      </c>
      <c r="F856" s="530">
        <v>6.9985723397012797E-2</v>
      </c>
      <c r="G856" s="531">
        <v>5.25503432966598E-2</v>
      </c>
    </row>
    <row r="857" spans="1:7" x14ac:dyDescent="0.3">
      <c r="A857" s="11" t="s">
        <v>6269</v>
      </c>
      <c r="B857" s="11" t="s">
        <v>6270</v>
      </c>
      <c r="C857" s="532">
        <v>8631</v>
      </c>
      <c r="D857" s="532">
        <v>3656407</v>
      </c>
      <c r="E857" s="533">
        <v>1.8979013117246401E-8</v>
      </c>
      <c r="F857" s="534">
        <v>100</v>
      </c>
      <c r="G857" s="535">
        <v>9.5320444878948101E-14</v>
      </c>
    </row>
    <row r="858" spans="1:7" x14ac:dyDescent="0.3">
      <c r="A858" s="6" t="s">
        <v>6269</v>
      </c>
      <c r="B858" s="6" t="s">
        <v>6271</v>
      </c>
      <c r="C858" s="528">
        <v>8631</v>
      </c>
      <c r="D858" s="528">
        <v>3656407</v>
      </c>
      <c r="E858" s="529">
        <v>0</v>
      </c>
      <c r="F858" s="530">
        <v>100</v>
      </c>
      <c r="G858" s="531">
        <v>0</v>
      </c>
    </row>
    <row r="859" spans="1:7" x14ac:dyDescent="0.3">
      <c r="A859" s="3299" t="s">
        <v>281</v>
      </c>
      <c r="B859" s="3298"/>
      <c r="C859" s="3298"/>
      <c r="D859" s="3298"/>
      <c r="E859" s="3298"/>
      <c r="F859" s="3298"/>
      <c r="G859" s="3298"/>
    </row>
    <row r="860" spans="1:7" x14ac:dyDescent="0.3">
      <c r="A860" s="11" t="s">
        <v>1176</v>
      </c>
      <c r="B860" s="11" t="s">
        <v>1177</v>
      </c>
      <c r="C860" s="540">
        <v>2019</v>
      </c>
      <c r="D860" s="540">
        <v>811334.91902900196</v>
      </c>
      <c r="E860" s="541">
        <v>20771.9565254915</v>
      </c>
      <c r="F860" s="542">
        <v>22.1894039429692</v>
      </c>
      <c r="G860" s="543">
        <v>0.56809749367320805</v>
      </c>
    </row>
    <row r="861" spans="1:7" x14ac:dyDescent="0.3">
      <c r="A861" s="6" t="s">
        <v>1178</v>
      </c>
      <c r="B861" s="6" t="s">
        <v>1179</v>
      </c>
      <c r="C861" s="536">
        <v>1427</v>
      </c>
      <c r="D861" s="536">
        <v>762725.01716803503</v>
      </c>
      <c r="E861" s="537">
        <v>25528.6317884118</v>
      </c>
      <c r="F861" s="538">
        <v>20.859959440183701</v>
      </c>
      <c r="G861" s="539">
        <v>0.69818900872936696</v>
      </c>
    </row>
    <row r="862" spans="1:7" x14ac:dyDescent="0.3">
      <c r="A862" s="11" t="s">
        <v>3032</v>
      </c>
      <c r="B862" s="11" t="s">
        <v>3082</v>
      </c>
      <c r="C862" s="540">
        <v>1228</v>
      </c>
      <c r="D862" s="540">
        <v>570117.36938448402</v>
      </c>
      <c r="E862" s="541">
        <v>25233.305817876098</v>
      </c>
      <c r="F862" s="542">
        <v>15.59228415722</v>
      </c>
      <c r="G862" s="543">
        <v>0.69011206405292902</v>
      </c>
    </row>
    <row r="863" spans="1:7" x14ac:dyDescent="0.3">
      <c r="A863" s="6" t="s">
        <v>3087</v>
      </c>
      <c r="B863" s="6" t="s">
        <v>3088</v>
      </c>
      <c r="C863" s="536">
        <v>1276</v>
      </c>
      <c r="D863" s="536">
        <v>485989.54594689998</v>
      </c>
      <c r="E863" s="537">
        <v>18256.8592059933</v>
      </c>
      <c r="F863" s="538">
        <v>13.291451032308499</v>
      </c>
      <c r="G863" s="539">
        <v>0.49931146084102701</v>
      </c>
    </row>
    <row r="864" spans="1:7" x14ac:dyDescent="0.3">
      <c r="A864" s="11" t="s">
        <v>3085</v>
      </c>
      <c r="B864" s="11" t="s">
        <v>3086</v>
      </c>
      <c r="C864" s="540">
        <v>1142</v>
      </c>
      <c r="D864" s="540">
        <v>377437.61031373602</v>
      </c>
      <c r="E864" s="541">
        <v>18162.172836961501</v>
      </c>
      <c r="F864" s="542">
        <v>10.322636684420999</v>
      </c>
      <c r="G864" s="543">
        <v>0.49672185938167801</v>
      </c>
    </row>
    <row r="865" spans="1:7" x14ac:dyDescent="0.3">
      <c r="A865" s="6" t="s">
        <v>3083</v>
      </c>
      <c r="B865" s="6" t="s">
        <v>3084</v>
      </c>
      <c r="C865" s="536">
        <v>1008</v>
      </c>
      <c r="D865" s="536">
        <v>309437.25580544298</v>
      </c>
      <c r="E865" s="537">
        <v>23717.623969642598</v>
      </c>
      <c r="F865" s="538">
        <v>8.4628777870035599</v>
      </c>
      <c r="G865" s="539">
        <v>0.64865929776533904</v>
      </c>
    </row>
    <row r="866" spans="1:7" x14ac:dyDescent="0.3">
      <c r="A866" s="11" t="s">
        <v>1180</v>
      </c>
      <c r="B866" s="11" t="s">
        <v>1181</v>
      </c>
      <c r="C866" s="540">
        <v>406</v>
      </c>
      <c r="D866" s="540">
        <v>247785.82056236701</v>
      </c>
      <c r="E866" s="541">
        <v>16457.0361055873</v>
      </c>
      <c r="F866" s="542">
        <v>6.7767570886492496</v>
      </c>
      <c r="G866" s="543">
        <v>0.45008764356887199</v>
      </c>
    </row>
    <row r="867" spans="1:7" x14ac:dyDescent="0.3">
      <c r="A867" s="6" t="s">
        <v>3089</v>
      </c>
      <c r="B867" s="6" t="s">
        <v>3090</v>
      </c>
      <c r="C867" s="536">
        <v>125</v>
      </c>
      <c r="D867" s="536">
        <v>91579.461790030196</v>
      </c>
      <c r="E867" s="537">
        <v>7193.5575129578601</v>
      </c>
      <c r="F867" s="538">
        <v>2.50462986724482</v>
      </c>
      <c r="G867" s="539">
        <v>0.19673842416771101</v>
      </c>
    </row>
    <row r="868" spans="1:7" x14ac:dyDescent="0.3">
      <c r="A868" s="11" t="s">
        <v>6269</v>
      </c>
      <c r="B868" s="11" t="s">
        <v>6270</v>
      </c>
      <c r="C868" s="540">
        <v>8631</v>
      </c>
      <c r="D868" s="540">
        <v>3656407</v>
      </c>
      <c r="E868" s="541">
        <v>8.1571463261168599E-9</v>
      </c>
      <c r="F868" s="542">
        <v>100</v>
      </c>
      <c r="G868" s="543">
        <v>1.45362315675074E-14</v>
      </c>
    </row>
    <row r="869" spans="1:7" x14ac:dyDescent="0.3">
      <c r="A869" s="6" t="s">
        <v>6269</v>
      </c>
      <c r="B869" s="6" t="s">
        <v>6271</v>
      </c>
      <c r="C869" s="536">
        <v>8631</v>
      </c>
      <c r="D869" s="536">
        <v>3656407</v>
      </c>
      <c r="E869" s="537">
        <v>0</v>
      </c>
      <c r="F869" s="538">
        <v>100</v>
      </c>
      <c r="G869" s="539">
        <v>0</v>
      </c>
    </row>
    <row r="870" spans="1:7" x14ac:dyDescent="0.3">
      <c r="A870" s="3299" t="s">
        <v>285</v>
      </c>
      <c r="B870" s="3298"/>
      <c r="C870" s="3298"/>
      <c r="D870" s="3298"/>
      <c r="E870" s="3298"/>
      <c r="F870" s="3298"/>
      <c r="G870" s="3298"/>
    </row>
    <row r="871" spans="1:7" x14ac:dyDescent="0.3">
      <c r="A871" s="11" t="s">
        <v>1155</v>
      </c>
      <c r="B871" s="11" t="s">
        <v>1156</v>
      </c>
      <c r="C871" s="548">
        <v>2106</v>
      </c>
      <c r="D871" s="548">
        <v>748467.21231679001</v>
      </c>
      <c r="E871" s="549">
        <v>19792.214701747602</v>
      </c>
      <c r="F871" s="550">
        <v>20.470019128526701</v>
      </c>
      <c r="G871" s="551">
        <v>0.54130228669148595</v>
      </c>
    </row>
    <row r="872" spans="1:7" x14ac:dyDescent="0.3">
      <c r="A872" s="6" t="s">
        <v>1157</v>
      </c>
      <c r="B872" s="6" t="s">
        <v>1158</v>
      </c>
      <c r="C872" s="544">
        <v>1527</v>
      </c>
      <c r="D872" s="544">
        <v>636515.87900374795</v>
      </c>
      <c r="E872" s="545">
        <v>30285.1125405565</v>
      </c>
      <c r="F872" s="546">
        <v>17.408233793550501</v>
      </c>
      <c r="G872" s="547">
        <v>0.82827520406116895</v>
      </c>
    </row>
    <row r="873" spans="1:7" x14ac:dyDescent="0.3">
      <c r="A873" s="11" t="s">
        <v>1159</v>
      </c>
      <c r="B873" s="11" t="s">
        <v>1160</v>
      </c>
      <c r="C873" s="548">
        <v>1276</v>
      </c>
      <c r="D873" s="548">
        <v>501086.05908642599</v>
      </c>
      <c r="E873" s="549">
        <v>27158.861753039899</v>
      </c>
      <c r="F873" s="550">
        <v>13.704329389108601</v>
      </c>
      <c r="G873" s="551">
        <v>0.74277458042935396</v>
      </c>
    </row>
    <row r="874" spans="1:7" x14ac:dyDescent="0.3">
      <c r="A874" s="6" t="s">
        <v>970</v>
      </c>
      <c r="B874" s="6" t="s">
        <v>1154</v>
      </c>
      <c r="C874" s="544">
        <v>1197</v>
      </c>
      <c r="D874" s="544">
        <v>500032.19954158302</v>
      </c>
      <c r="E874" s="545">
        <v>31593.448548656099</v>
      </c>
      <c r="F874" s="546">
        <v>13.6755071178231</v>
      </c>
      <c r="G874" s="547">
        <v>0.86405721651489797</v>
      </c>
    </row>
    <row r="875" spans="1:7" x14ac:dyDescent="0.3">
      <c r="A875" s="11" t="s">
        <v>1161</v>
      </c>
      <c r="B875" s="11" t="s">
        <v>1162</v>
      </c>
      <c r="C875" s="548">
        <v>870</v>
      </c>
      <c r="D875" s="548">
        <v>456175.61325893801</v>
      </c>
      <c r="E875" s="549">
        <v>16503.4515425344</v>
      </c>
      <c r="F875" s="550">
        <v>12.4760622452297</v>
      </c>
      <c r="G875" s="551">
        <v>0.45135707109558798</v>
      </c>
    </row>
    <row r="876" spans="1:7" x14ac:dyDescent="0.3">
      <c r="A876" s="6" t="s">
        <v>1163</v>
      </c>
      <c r="B876" s="6" t="s">
        <v>1164</v>
      </c>
      <c r="C876" s="544">
        <v>662</v>
      </c>
      <c r="D876" s="544">
        <v>313081.548786422</v>
      </c>
      <c r="E876" s="545">
        <v>17568.569427471</v>
      </c>
      <c r="F876" s="546">
        <v>8.5625464776328908</v>
      </c>
      <c r="G876" s="547">
        <v>0.480487249572361</v>
      </c>
    </row>
    <row r="877" spans="1:7" x14ac:dyDescent="0.3">
      <c r="A877" s="11" t="s">
        <v>1165</v>
      </c>
      <c r="B877" s="11" t="s">
        <v>1166</v>
      </c>
      <c r="C877" s="548">
        <v>517</v>
      </c>
      <c r="D877" s="548">
        <v>236504.12234878301</v>
      </c>
      <c r="E877" s="549">
        <v>17338.6779650102</v>
      </c>
      <c r="F877" s="550">
        <v>6.4682110702879401</v>
      </c>
      <c r="G877" s="551">
        <v>0.474199889810141</v>
      </c>
    </row>
    <row r="878" spans="1:7" x14ac:dyDescent="0.3">
      <c r="A878" s="6" t="s">
        <v>1167</v>
      </c>
      <c r="B878" s="6" t="s">
        <v>1168</v>
      </c>
      <c r="C878" s="544">
        <v>235</v>
      </c>
      <c r="D878" s="544">
        <v>129992.161067152</v>
      </c>
      <c r="E878" s="545">
        <v>8864.6208097433191</v>
      </c>
      <c r="F878" s="546">
        <v>3.5551884969904002</v>
      </c>
      <c r="G878" s="547">
        <v>0.24244075699842399</v>
      </c>
    </row>
    <row r="879" spans="1:7" x14ac:dyDescent="0.3">
      <c r="A879" s="11" t="s">
        <v>1169</v>
      </c>
      <c r="B879" s="11" t="s">
        <v>1170</v>
      </c>
      <c r="C879" s="548">
        <v>109</v>
      </c>
      <c r="D879" s="548">
        <v>63976.035763836597</v>
      </c>
      <c r="E879" s="549">
        <v>7508.4920479705497</v>
      </c>
      <c r="F879" s="550">
        <v>1.7496967860480701</v>
      </c>
      <c r="G879" s="551">
        <v>0.20535164843439299</v>
      </c>
    </row>
    <row r="880" spans="1:7" x14ac:dyDescent="0.3">
      <c r="A880" s="6" t="s">
        <v>1152</v>
      </c>
      <c r="B880" s="6" t="s">
        <v>1153</v>
      </c>
      <c r="C880" s="544">
        <v>76</v>
      </c>
      <c r="D880" s="544">
        <v>35450.836278253701</v>
      </c>
      <c r="E880" s="545">
        <v>5811.1532340819404</v>
      </c>
      <c r="F880" s="546">
        <v>0.969553889330529</v>
      </c>
      <c r="G880" s="547">
        <v>0.15893069983954</v>
      </c>
    </row>
    <row r="881" spans="1:7" x14ac:dyDescent="0.3">
      <c r="A881" s="11" t="s">
        <v>1171</v>
      </c>
      <c r="B881" s="11" t="s">
        <v>1172</v>
      </c>
      <c r="C881" s="548">
        <v>56</v>
      </c>
      <c r="D881" s="548">
        <v>35125.3325480688</v>
      </c>
      <c r="E881" s="549">
        <v>3705.1584619256701</v>
      </c>
      <c r="F881" s="550">
        <v>0.96065160547140305</v>
      </c>
      <c r="G881" s="551">
        <v>0.101333316064806</v>
      </c>
    </row>
    <row r="882" spans="1:7" x14ac:dyDescent="0.3">
      <c r="A882" s="6" t="s">
        <v>6269</v>
      </c>
      <c r="B882" s="6" t="s">
        <v>6270</v>
      </c>
      <c r="C882" s="544">
        <v>8631</v>
      </c>
      <c r="D882" s="544">
        <v>3656407</v>
      </c>
      <c r="E882" s="545">
        <v>1.3626348239325701E-8</v>
      </c>
      <c r="F882" s="546">
        <v>100</v>
      </c>
      <c r="G882" s="547">
        <v>1.78031750616652E-14</v>
      </c>
    </row>
    <row r="883" spans="1:7" x14ac:dyDescent="0.3">
      <c r="A883" s="11" t="s">
        <v>6269</v>
      </c>
      <c r="B883" s="11" t="s">
        <v>6271</v>
      </c>
      <c r="C883" s="548">
        <v>8631</v>
      </c>
      <c r="D883" s="548">
        <v>3656407</v>
      </c>
      <c r="E883" s="549">
        <v>0</v>
      </c>
      <c r="F883" s="550">
        <v>100</v>
      </c>
      <c r="G883" s="551">
        <v>0</v>
      </c>
    </row>
    <row r="884" spans="1:7" x14ac:dyDescent="0.3">
      <c r="A884" s="3299" t="s">
        <v>289</v>
      </c>
      <c r="B884" s="3298"/>
      <c r="C884" s="3298"/>
      <c r="D884" s="3298"/>
      <c r="E884" s="3298"/>
      <c r="F884" s="3298"/>
      <c r="G884" s="3298"/>
    </row>
    <row r="885" spans="1:7" x14ac:dyDescent="0.3">
      <c r="A885" s="11" t="s">
        <v>1180</v>
      </c>
      <c r="B885" s="11" t="s">
        <v>1181</v>
      </c>
      <c r="C885" s="556">
        <v>1956</v>
      </c>
      <c r="D885" s="556">
        <v>970813.13660808303</v>
      </c>
      <c r="E885" s="557">
        <v>16679.946014347501</v>
      </c>
      <c r="F885" s="558">
        <v>26.551014058557602</v>
      </c>
      <c r="G885" s="559">
        <v>0.45618406305279402</v>
      </c>
    </row>
    <row r="886" spans="1:7" x14ac:dyDescent="0.3">
      <c r="A886" s="6" t="s">
        <v>1174</v>
      </c>
      <c r="B886" s="6" t="s">
        <v>1175</v>
      </c>
      <c r="C886" s="552">
        <v>2266</v>
      </c>
      <c r="D886" s="552">
        <v>731977.75115082494</v>
      </c>
      <c r="E886" s="553">
        <v>22885.307106549499</v>
      </c>
      <c r="F886" s="554">
        <v>20.0190446837791</v>
      </c>
      <c r="G886" s="555">
        <v>0.62589605332638099</v>
      </c>
    </row>
    <row r="887" spans="1:7" x14ac:dyDescent="0.3">
      <c r="A887" s="11" t="s">
        <v>1178</v>
      </c>
      <c r="B887" s="11" t="s">
        <v>1179</v>
      </c>
      <c r="C887" s="556">
        <v>1782</v>
      </c>
      <c r="D887" s="556">
        <v>703730.01288201602</v>
      </c>
      <c r="E887" s="557">
        <v>17626.295892373499</v>
      </c>
      <c r="F887" s="558">
        <v>19.246490144068101</v>
      </c>
      <c r="G887" s="559">
        <v>0.48206602526396097</v>
      </c>
    </row>
    <row r="888" spans="1:7" x14ac:dyDescent="0.3">
      <c r="A888" s="6" t="s">
        <v>1161</v>
      </c>
      <c r="B888" s="6" t="s">
        <v>1173</v>
      </c>
      <c r="C888" s="552">
        <v>927</v>
      </c>
      <c r="D888" s="552">
        <v>442623.01955410303</v>
      </c>
      <c r="E888" s="553">
        <v>21124.606876176898</v>
      </c>
      <c r="F888" s="554">
        <v>12.1054089316125</v>
      </c>
      <c r="G888" s="555">
        <v>0.57774221732364295</v>
      </c>
    </row>
    <row r="889" spans="1:7" x14ac:dyDescent="0.3">
      <c r="A889" s="11" t="s">
        <v>1176</v>
      </c>
      <c r="B889" s="11" t="s">
        <v>1177</v>
      </c>
      <c r="C889" s="556">
        <v>1112</v>
      </c>
      <c r="D889" s="556">
        <v>441356.90849542298</v>
      </c>
      <c r="E889" s="557">
        <v>21789.916219392599</v>
      </c>
      <c r="F889" s="558">
        <v>12.070781739981999</v>
      </c>
      <c r="G889" s="559">
        <v>0.595937930853778</v>
      </c>
    </row>
    <row r="890" spans="1:7" x14ac:dyDescent="0.3">
      <c r="A890" s="6" t="s">
        <v>1182</v>
      </c>
      <c r="B890" s="6" t="s">
        <v>1183</v>
      </c>
      <c r="C890" s="552">
        <v>537</v>
      </c>
      <c r="D890" s="552">
        <v>330728.074489664</v>
      </c>
      <c r="E890" s="553">
        <v>16918.797255787798</v>
      </c>
      <c r="F890" s="554">
        <v>9.04516577311181</v>
      </c>
      <c r="G890" s="555">
        <v>0.46271646607688699</v>
      </c>
    </row>
    <row r="891" spans="1:7" x14ac:dyDescent="0.3">
      <c r="A891" s="11" t="s">
        <v>1184</v>
      </c>
      <c r="B891" s="11" t="s">
        <v>1185</v>
      </c>
      <c r="C891" s="556">
        <v>50</v>
      </c>
      <c r="D891" s="556">
        <v>34676.995016779998</v>
      </c>
      <c r="E891" s="557">
        <v>4836.4369279960802</v>
      </c>
      <c r="F891" s="558">
        <v>0.94838990891276798</v>
      </c>
      <c r="G891" s="559">
        <v>0.13227293701155499</v>
      </c>
    </row>
    <row r="892" spans="1:7" x14ac:dyDescent="0.3">
      <c r="A892" s="6" t="s">
        <v>1186</v>
      </c>
      <c r="B892" s="6" t="s">
        <v>1187</v>
      </c>
      <c r="C892" s="552">
        <v>1</v>
      </c>
      <c r="D892" s="552">
        <v>501.10180310389399</v>
      </c>
      <c r="E892" s="553">
        <v>503.90291310253502</v>
      </c>
      <c r="F892" s="554">
        <v>1.3704759976225099E-2</v>
      </c>
      <c r="G892" s="555">
        <v>1.37813682421715E-2</v>
      </c>
    </row>
    <row r="893" spans="1:7" x14ac:dyDescent="0.3">
      <c r="A893" s="11" t="s">
        <v>6269</v>
      </c>
      <c r="B893" s="11" t="s">
        <v>6270</v>
      </c>
      <c r="C893" s="556">
        <v>8631</v>
      </c>
      <c r="D893" s="556">
        <v>3656407</v>
      </c>
      <c r="E893" s="557">
        <v>2.0832442032644299E-8</v>
      </c>
      <c r="F893" s="558">
        <v>100</v>
      </c>
      <c r="G893" s="559">
        <v>0</v>
      </c>
    </row>
    <row r="894" spans="1:7" x14ac:dyDescent="0.3">
      <c r="A894" s="6" t="s">
        <v>6269</v>
      </c>
      <c r="B894" s="6" t="s">
        <v>6271</v>
      </c>
      <c r="C894" s="552">
        <v>8631</v>
      </c>
      <c r="D894" s="552">
        <v>3656407</v>
      </c>
      <c r="E894" s="553">
        <v>0</v>
      </c>
      <c r="F894" s="554">
        <v>100</v>
      </c>
      <c r="G894" s="555">
        <v>0</v>
      </c>
    </row>
    <row r="895" spans="1:7" x14ac:dyDescent="0.3">
      <c r="A895" s="3299" t="s">
        <v>293</v>
      </c>
      <c r="B895" s="3298"/>
      <c r="C895" s="3298"/>
      <c r="D895" s="3298"/>
      <c r="E895" s="3298"/>
      <c r="F895" s="3298"/>
      <c r="G895" s="3298"/>
    </row>
    <row r="896" spans="1:7" x14ac:dyDescent="0.3">
      <c r="A896" s="11" t="s">
        <v>1174</v>
      </c>
      <c r="B896" s="11" t="s">
        <v>1175</v>
      </c>
      <c r="C896" s="564">
        <v>2431</v>
      </c>
      <c r="D896" s="564">
        <v>937993.58774425497</v>
      </c>
      <c r="E896" s="565">
        <v>45952.226915837498</v>
      </c>
      <c r="F896" s="566">
        <v>25.653423914357901</v>
      </c>
      <c r="G896" s="567">
        <v>1.2567590784023199</v>
      </c>
    </row>
    <row r="897" spans="1:7" x14ac:dyDescent="0.3">
      <c r="A897" s="6" t="s">
        <v>1161</v>
      </c>
      <c r="B897" s="6" t="s">
        <v>1173</v>
      </c>
      <c r="C897" s="560">
        <v>2267</v>
      </c>
      <c r="D897" s="560">
        <v>867578.34712150204</v>
      </c>
      <c r="E897" s="561">
        <v>31366.2381728242</v>
      </c>
      <c r="F897" s="562">
        <v>23.7276196857052</v>
      </c>
      <c r="G897" s="563">
        <v>0.85784318246913704</v>
      </c>
    </row>
    <row r="898" spans="1:7" x14ac:dyDescent="0.3">
      <c r="A898" s="11" t="s">
        <v>1176</v>
      </c>
      <c r="B898" s="11" t="s">
        <v>1177</v>
      </c>
      <c r="C898" s="564">
        <v>1918</v>
      </c>
      <c r="D898" s="564">
        <v>819854.04881484003</v>
      </c>
      <c r="E898" s="565">
        <v>27390.253346134701</v>
      </c>
      <c r="F898" s="566">
        <v>22.4223957785564</v>
      </c>
      <c r="G898" s="567">
        <v>0.74910296764375495</v>
      </c>
    </row>
    <row r="899" spans="1:7" x14ac:dyDescent="0.3">
      <c r="A899" s="6" t="s">
        <v>1178</v>
      </c>
      <c r="B899" s="6" t="s">
        <v>1179</v>
      </c>
      <c r="C899" s="560">
        <v>1528</v>
      </c>
      <c r="D899" s="560">
        <v>728882.65644465399</v>
      </c>
      <c r="E899" s="561">
        <v>15384.229066576299</v>
      </c>
      <c r="F899" s="562">
        <v>19.934396155697499</v>
      </c>
      <c r="G899" s="563">
        <v>0.42074717247221799</v>
      </c>
    </row>
    <row r="900" spans="1:7" x14ac:dyDescent="0.3">
      <c r="A900" s="11" t="s">
        <v>1180</v>
      </c>
      <c r="B900" s="11" t="s">
        <v>1181</v>
      </c>
      <c r="C900" s="564">
        <v>379</v>
      </c>
      <c r="D900" s="564">
        <v>235125.34454947201</v>
      </c>
      <c r="E900" s="565">
        <v>15030.048203991701</v>
      </c>
      <c r="F900" s="566">
        <v>6.4305025274667704</v>
      </c>
      <c r="G900" s="567">
        <v>0.41106059046467502</v>
      </c>
    </row>
    <row r="901" spans="1:7" x14ac:dyDescent="0.3">
      <c r="A901" s="6" t="s">
        <v>1182</v>
      </c>
      <c r="B901" s="6" t="s">
        <v>1183</v>
      </c>
      <c r="C901" s="560">
        <v>88</v>
      </c>
      <c r="D901" s="560">
        <v>51482.641014325898</v>
      </c>
      <c r="E901" s="561">
        <v>7660.8646872175104</v>
      </c>
      <c r="F901" s="562">
        <v>1.40801177260425</v>
      </c>
      <c r="G901" s="563">
        <v>0.209518926290686</v>
      </c>
    </row>
    <row r="902" spans="1:7" x14ac:dyDescent="0.3">
      <c r="A902" s="11" t="s">
        <v>1184</v>
      </c>
      <c r="B902" s="11" t="s">
        <v>1185</v>
      </c>
      <c r="C902" s="564">
        <v>20</v>
      </c>
      <c r="D902" s="564">
        <v>15490.374310948901</v>
      </c>
      <c r="E902" s="565">
        <v>2901.9686355286299</v>
      </c>
      <c r="F902" s="566">
        <v>0.42365016561200403</v>
      </c>
      <c r="G902" s="567">
        <v>7.9366674320682395E-2</v>
      </c>
    </row>
    <row r="903" spans="1:7" x14ac:dyDescent="0.3">
      <c r="A903" s="6" t="s">
        <v>6269</v>
      </c>
      <c r="B903" s="6" t="s">
        <v>6270</v>
      </c>
      <c r="C903" s="560">
        <v>8631</v>
      </c>
      <c r="D903" s="560">
        <v>3656407</v>
      </c>
      <c r="E903" s="561">
        <v>2.95276888683811E-8</v>
      </c>
      <c r="F903" s="562">
        <v>100</v>
      </c>
      <c r="G903" s="563">
        <v>1.45362315675074E-14</v>
      </c>
    </row>
    <row r="904" spans="1:7" x14ac:dyDescent="0.3">
      <c r="A904" s="11" t="s">
        <v>6269</v>
      </c>
      <c r="B904" s="11" t="s">
        <v>6271</v>
      </c>
      <c r="C904" s="564">
        <v>8631</v>
      </c>
      <c r="D904" s="564">
        <v>3656407</v>
      </c>
      <c r="E904" s="565">
        <v>0</v>
      </c>
      <c r="F904" s="566">
        <v>100</v>
      </c>
      <c r="G904" s="567">
        <v>0</v>
      </c>
    </row>
    <row r="905" spans="1:7" x14ac:dyDescent="0.3">
      <c r="A905" s="3299" t="s">
        <v>218</v>
      </c>
      <c r="B905" s="3298"/>
      <c r="C905" s="3298"/>
      <c r="D905" s="3298"/>
      <c r="E905" s="3298"/>
      <c r="F905" s="3298"/>
      <c r="G905" s="3298"/>
    </row>
    <row r="906" spans="1:7" x14ac:dyDescent="0.3">
      <c r="A906" s="11" t="s">
        <v>6269</v>
      </c>
      <c r="B906" s="11" t="s">
        <v>6270</v>
      </c>
      <c r="C906" s="572">
        <v>8342</v>
      </c>
      <c r="D906" s="572">
        <v>3656407</v>
      </c>
      <c r="E906" s="573">
        <v>1.31896922965068E-8</v>
      </c>
      <c r="F906" s="574">
        <v>100</v>
      </c>
      <c r="G906" s="575">
        <v>1.02786679142825E-14</v>
      </c>
    </row>
    <row r="907" spans="1:7" x14ac:dyDescent="0.3">
      <c r="A907" s="6" t="s">
        <v>6269</v>
      </c>
      <c r="B907" s="6" t="s">
        <v>6271</v>
      </c>
      <c r="C907" s="568">
        <v>8342</v>
      </c>
      <c r="D907" s="568">
        <v>3656407</v>
      </c>
      <c r="E907" s="569">
        <v>0</v>
      </c>
      <c r="F907" s="570">
        <v>100</v>
      </c>
      <c r="G907" s="571">
        <v>0</v>
      </c>
    </row>
    <row r="908" spans="1:7" x14ac:dyDescent="0.3">
      <c r="A908" s="3299" t="s">
        <v>222</v>
      </c>
      <c r="B908" s="3298"/>
      <c r="C908" s="3298"/>
      <c r="D908" s="3298"/>
      <c r="E908" s="3298"/>
      <c r="F908" s="3298"/>
      <c r="G908" s="3298"/>
    </row>
    <row r="909" spans="1:7" x14ac:dyDescent="0.3">
      <c r="A909" s="11" t="s">
        <v>6269</v>
      </c>
      <c r="B909" s="11" t="s">
        <v>6270</v>
      </c>
      <c r="C909" s="580">
        <v>8320</v>
      </c>
      <c r="D909" s="580">
        <v>3656407</v>
      </c>
      <c r="E909" s="581">
        <v>1.31896922965068E-8</v>
      </c>
      <c r="F909" s="582">
        <v>100</v>
      </c>
      <c r="G909" s="583">
        <v>1.02786679142825E-14</v>
      </c>
    </row>
    <row r="910" spans="1:7" x14ac:dyDescent="0.3">
      <c r="A910" s="6" t="s">
        <v>6269</v>
      </c>
      <c r="B910" s="6" t="s">
        <v>6271</v>
      </c>
      <c r="C910" s="576">
        <v>8320</v>
      </c>
      <c r="D910" s="576">
        <v>3656407</v>
      </c>
      <c r="E910" s="577">
        <v>0</v>
      </c>
      <c r="F910" s="578">
        <v>100</v>
      </c>
      <c r="G910" s="579">
        <v>0</v>
      </c>
    </row>
    <row r="911" spans="1:7" x14ac:dyDescent="0.3">
      <c r="A911" s="3299" t="s">
        <v>226</v>
      </c>
      <c r="B911" s="3298"/>
      <c r="C911" s="3298"/>
      <c r="D911" s="3298"/>
      <c r="E911" s="3298"/>
      <c r="F911" s="3298"/>
      <c r="G911" s="3298"/>
    </row>
    <row r="912" spans="1:7" x14ac:dyDescent="0.3">
      <c r="A912" s="11" t="s">
        <v>6269</v>
      </c>
      <c r="B912" s="11" t="s">
        <v>6270</v>
      </c>
      <c r="C912" s="588">
        <v>8320</v>
      </c>
      <c r="D912" s="588">
        <v>3656407</v>
      </c>
      <c r="E912" s="589">
        <v>1.31896922965068E-8</v>
      </c>
      <c r="F912" s="590">
        <v>100</v>
      </c>
      <c r="G912" s="591">
        <v>1.02786679142825E-14</v>
      </c>
    </row>
    <row r="913" spans="1:7" x14ac:dyDescent="0.3">
      <c r="A913" s="6" t="s">
        <v>6269</v>
      </c>
      <c r="B913" s="6" t="s">
        <v>6271</v>
      </c>
      <c r="C913" s="584">
        <v>8320</v>
      </c>
      <c r="D913" s="584">
        <v>3656407</v>
      </c>
      <c r="E913" s="585">
        <v>0</v>
      </c>
      <c r="F913" s="586">
        <v>100</v>
      </c>
      <c r="G913" s="587">
        <v>0</v>
      </c>
    </row>
    <row r="914" spans="1:7" x14ac:dyDescent="0.3">
      <c r="A914" s="3299" t="s">
        <v>283</v>
      </c>
      <c r="B914" s="3298"/>
      <c r="C914" s="3298"/>
      <c r="D914" s="3298"/>
      <c r="E914" s="3298"/>
      <c r="F914" s="3298"/>
      <c r="G914" s="3298"/>
    </row>
    <row r="915" spans="1:7" x14ac:dyDescent="0.3">
      <c r="A915" s="11" t="s">
        <v>6269</v>
      </c>
      <c r="B915" s="11" t="s">
        <v>6270</v>
      </c>
      <c r="C915" s="596">
        <v>8542</v>
      </c>
      <c r="D915" s="596">
        <v>3656407</v>
      </c>
      <c r="E915" s="597">
        <v>1.31896922965068E-8</v>
      </c>
      <c r="F915" s="598">
        <v>100</v>
      </c>
      <c r="G915" s="599">
        <v>1.02786679142825E-14</v>
      </c>
    </row>
    <row r="916" spans="1:7" x14ac:dyDescent="0.3">
      <c r="A916" s="6" t="s">
        <v>6269</v>
      </c>
      <c r="B916" s="6" t="s">
        <v>6271</v>
      </c>
      <c r="C916" s="592">
        <v>8542</v>
      </c>
      <c r="D916" s="592">
        <v>3656407</v>
      </c>
      <c r="E916" s="593">
        <v>0</v>
      </c>
      <c r="F916" s="594">
        <v>100</v>
      </c>
      <c r="G916" s="595">
        <v>0</v>
      </c>
    </row>
    <row r="917" spans="1:7" x14ac:dyDescent="0.3">
      <c r="A917" s="3299" t="s">
        <v>287</v>
      </c>
      <c r="B917" s="3298"/>
      <c r="C917" s="3298"/>
      <c r="D917" s="3298"/>
      <c r="E917" s="3298"/>
      <c r="F917" s="3298"/>
      <c r="G917" s="3298"/>
    </row>
    <row r="918" spans="1:7" x14ac:dyDescent="0.3">
      <c r="A918" s="11" t="s">
        <v>6269</v>
      </c>
      <c r="B918" s="11" t="s">
        <v>6270</v>
      </c>
      <c r="C918" s="604">
        <v>8543</v>
      </c>
      <c r="D918" s="604">
        <v>3656407</v>
      </c>
      <c r="E918" s="605">
        <v>1.31896922965068E-8</v>
      </c>
      <c r="F918" s="606">
        <v>100</v>
      </c>
      <c r="G918" s="607">
        <v>1.02786679142825E-14</v>
      </c>
    </row>
    <row r="919" spans="1:7" x14ac:dyDescent="0.3">
      <c r="A919" s="6" t="s">
        <v>6269</v>
      </c>
      <c r="B919" s="6" t="s">
        <v>6271</v>
      </c>
      <c r="C919" s="600">
        <v>8543</v>
      </c>
      <c r="D919" s="600">
        <v>3656407</v>
      </c>
      <c r="E919" s="601">
        <v>0</v>
      </c>
      <c r="F919" s="602">
        <v>100</v>
      </c>
      <c r="G919" s="603">
        <v>0</v>
      </c>
    </row>
    <row r="920" spans="1:7" x14ac:dyDescent="0.3">
      <c r="A920" s="3299" t="s">
        <v>291</v>
      </c>
      <c r="B920" s="3298"/>
      <c r="C920" s="3298"/>
      <c r="D920" s="3298"/>
      <c r="E920" s="3298"/>
      <c r="F920" s="3298"/>
      <c r="G920" s="3298"/>
    </row>
    <row r="921" spans="1:7" x14ac:dyDescent="0.3">
      <c r="A921" s="11" t="s">
        <v>6269</v>
      </c>
      <c r="B921" s="11" t="s">
        <v>6270</v>
      </c>
      <c r="C921" s="612">
        <v>8542</v>
      </c>
      <c r="D921" s="612">
        <v>3656407</v>
      </c>
      <c r="E921" s="613">
        <v>1.31896922965068E-8</v>
      </c>
      <c r="F921" s="614">
        <v>100</v>
      </c>
      <c r="G921" s="615">
        <v>1.02786679142825E-14</v>
      </c>
    </row>
    <row r="922" spans="1:7" x14ac:dyDescent="0.3">
      <c r="A922" s="6" t="s">
        <v>6269</v>
      </c>
      <c r="B922" s="6" t="s">
        <v>6271</v>
      </c>
      <c r="C922" s="608">
        <v>8542</v>
      </c>
      <c r="D922" s="608">
        <v>3656407</v>
      </c>
      <c r="E922" s="609">
        <v>0</v>
      </c>
      <c r="F922" s="610">
        <v>100</v>
      </c>
      <c r="G922" s="611">
        <v>0</v>
      </c>
    </row>
    <row r="923" spans="1:7" x14ac:dyDescent="0.3">
      <c r="A923" s="3299" t="s">
        <v>295</v>
      </c>
      <c r="B923" s="3298"/>
      <c r="C923" s="3298"/>
      <c r="D923" s="3298"/>
      <c r="E923" s="3298"/>
      <c r="F923" s="3298"/>
      <c r="G923" s="3298"/>
    </row>
    <row r="924" spans="1:7" x14ac:dyDescent="0.3">
      <c r="A924" s="11" t="s">
        <v>6269</v>
      </c>
      <c r="B924" s="11" t="s">
        <v>6270</v>
      </c>
      <c r="C924" s="620">
        <v>8542</v>
      </c>
      <c r="D924" s="620">
        <v>3656407</v>
      </c>
      <c r="E924" s="621">
        <v>1.31896922965068E-8</v>
      </c>
      <c r="F924" s="622">
        <v>100</v>
      </c>
      <c r="G924" s="623">
        <v>1.02786679142825E-14</v>
      </c>
    </row>
    <row r="925" spans="1:7" x14ac:dyDescent="0.3">
      <c r="A925" s="6" t="s">
        <v>6269</v>
      </c>
      <c r="B925" s="6" t="s">
        <v>6271</v>
      </c>
      <c r="C925" s="616">
        <v>8542</v>
      </c>
      <c r="D925" s="616">
        <v>3656407</v>
      </c>
      <c r="E925" s="617">
        <v>0</v>
      </c>
      <c r="F925" s="618">
        <v>100</v>
      </c>
      <c r="G925" s="619">
        <v>0</v>
      </c>
    </row>
    <row r="926" spans="1:7" x14ac:dyDescent="0.3">
      <c r="A926" s="3299" t="s">
        <v>569</v>
      </c>
      <c r="B926" s="3298"/>
      <c r="C926" s="3298"/>
      <c r="D926" s="3298"/>
      <c r="E926" s="3298"/>
      <c r="F926" s="3298"/>
      <c r="G926" s="3298"/>
    </row>
    <row r="927" spans="1:7" x14ac:dyDescent="0.3">
      <c r="A927" s="11" t="s">
        <v>964</v>
      </c>
      <c r="B927" s="11" t="s">
        <v>1040</v>
      </c>
      <c r="C927" s="628">
        <v>8611</v>
      </c>
      <c r="D927" s="628">
        <v>3651094.1401852299</v>
      </c>
      <c r="E927" s="629">
        <v>1563.7333978674501</v>
      </c>
      <c r="F927" s="630">
        <v>99.854697252937896</v>
      </c>
      <c r="G927" s="631">
        <v>4.2766940274065697E-2</v>
      </c>
    </row>
    <row r="928" spans="1:7" x14ac:dyDescent="0.3">
      <c r="A928" s="6" t="s">
        <v>962</v>
      </c>
      <c r="B928" s="6" t="s">
        <v>1039</v>
      </c>
      <c r="C928" s="624">
        <v>20</v>
      </c>
      <c r="D928" s="624">
        <v>5312.8598147694902</v>
      </c>
      <c r="E928" s="625">
        <v>1563.73339786669</v>
      </c>
      <c r="F928" s="626">
        <v>0.14530274706206101</v>
      </c>
      <c r="G928" s="627">
        <v>4.2766940274063803E-2</v>
      </c>
    </row>
    <row r="929" spans="1:7" x14ac:dyDescent="0.3">
      <c r="A929" s="11" t="s">
        <v>6269</v>
      </c>
      <c r="B929" s="11" t="s">
        <v>6270</v>
      </c>
      <c r="C929" s="628">
        <v>8631</v>
      </c>
      <c r="D929" s="628">
        <v>3656407</v>
      </c>
      <c r="E929" s="629">
        <v>9.7965472091048295E-8</v>
      </c>
      <c r="F929" s="630">
        <v>100</v>
      </c>
      <c r="G929" s="631">
        <v>1.45362315675074E-14</v>
      </c>
    </row>
    <row r="930" spans="1:7" x14ac:dyDescent="0.3">
      <c r="A930" s="6" t="s">
        <v>6269</v>
      </c>
      <c r="B930" s="6" t="s">
        <v>6271</v>
      </c>
      <c r="C930" s="624">
        <v>8631</v>
      </c>
      <c r="D930" s="624">
        <v>3656407</v>
      </c>
      <c r="E930" s="625">
        <v>0</v>
      </c>
      <c r="F930" s="626">
        <v>100</v>
      </c>
      <c r="G930" s="627">
        <v>0</v>
      </c>
    </row>
    <row r="931" spans="1:7" x14ac:dyDescent="0.3">
      <c r="A931" s="3299" t="s">
        <v>861</v>
      </c>
      <c r="B931" s="3298"/>
      <c r="C931" s="3298"/>
      <c r="D931" s="3298"/>
      <c r="E931" s="3298"/>
      <c r="F931" s="3298"/>
      <c r="G931" s="3298"/>
    </row>
    <row r="932" spans="1:7" x14ac:dyDescent="0.3">
      <c r="A932" s="11" t="s">
        <v>962</v>
      </c>
      <c r="B932" s="11" t="s">
        <v>1041</v>
      </c>
      <c r="C932" s="636">
        <v>7443</v>
      </c>
      <c r="D932" s="636">
        <v>3195355.7043742002</v>
      </c>
      <c r="E932" s="637">
        <v>18585.284186703801</v>
      </c>
      <c r="F932" s="638">
        <v>87.877968109861001</v>
      </c>
      <c r="G932" s="639">
        <v>0.53979301119200196</v>
      </c>
    </row>
    <row r="933" spans="1:7" x14ac:dyDescent="0.3">
      <c r="A933" s="6" t="s">
        <v>970</v>
      </c>
      <c r="B933" s="6" t="s">
        <v>1024</v>
      </c>
      <c r="C933" s="632">
        <v>523</v>
      </c>
      <c r="D933" s="632">
        <v>201911.205937533</v>
      </c>
      <c r="E933" s="633">
        <v>12483.8472226664</v>
      </c>
      <c r="F933" s="634">
        <v>5.55291747085076</v>
      </c>
      <c r="G933" s="635">
        <v>0.34324280585912798</v>
      </c>
    </row>
    <row r="934" spans="1:7" x14ac:dyDescent="0.3">
      <c r="A934" s="11" t="s">
        <v>964</v>
      </c>
      <c r="B934" s="11" t="s">
        <v>1042</v>
      </c>
      <c r="C934" s="636">
        <v>392</v>
      </c>
      <c r="D934" s="636">
        <v>155473.21204445901</v>
      </c>
      <c r="E934" s="637">
        <v>9917.2328775030001</v>
      </c>
      <c r="F934" s="638">
        <v>4.2757900008682901</v>
      </c>
      <c r="G934" s="639">
        <v>0.27357615394113299</v>
      </c>
    </row>
    <row r="935" spans="1:7" x14ac:dyDescent="0.3">
      <c r="A935" s="6" t="s">
        <v>966</v>
      </c>
      <c r="B935" s="6" t="s">
        <v>6119</v>
      </c>
      <c r="C935" s="632">
        <v>154</v>
      </c>
      <c r="D935" s="632">
        <v>61122.165643633198</v>
      </c>
      <c r="E935" s="633">
        <v>8929.49897554979</v>
      </c>
      <c r="F935" s="634">
        <v>1.6809683240848401</v>
      </c>
      <c r="G935" s="635">
        <v>0.24409425804249099</v>
      </c>
    </row>
    <row r="936" spans="1:7" x14ac:dyDescent="0.3">
      <c r="A936" s="11" t="s">
        <v>968</v>
      </c>
      <c r="B936" s="11" t="s">
        <v>6120</v>
      </c>
      <c r="C936" s="636">
        <v>67</v>
      </c>
      <c r="D936" s="636">
        <v>22266.053497001401</v>
      </c>
      <c r="E936" s="637">
        <v>4015.7911095619602</v>
      </c>
      <c r="F936" s="638">
        <v>0.61235609433509297</v>
      </c>
      <c r="G936" s="639">
        <v>0.110031490281205</v>
      </c>
    </row>
    <row r="937" spans="1:7" x14ac:dyDescent="0.3">
      <c r="A937" s="6" t="s">
        <v>960</v>
      </c>
      <c r="B937" s="6" t="s">
        <v>961</v>
      </c>
      <c r="C937" s="632">
        <v>51</v>
      </c>
      <c r="D937" s="632">
        <v>20278.658503174</v>
      </c>
      <c r="E937" s="633">
        <v>4380.7758850227001</v>
      </c>
      <c r="F937" s="634">
        <v>100</v>
      </c>
      <c r="G937" s="635">
        <v>0</v>
      </c>
    </row>
    <row r="938" spans="1:7" x14ac:dyDescent="0.3">
      <c r="A938" s="11" t="s">
        <v>6269</v>
      </c>
      <c r="B938" s="11" t="s">
        <v>6270</v>
      </c>
      <c r="C938" s="636">
        <v>8579</v>
      </c>
      <c r="D938" s="636">
        <v>3636128.3414968299</v>
      </c>
      <c r="E938" s="637">
        <v>4380.7758850304999</v>
      </c>
      <c r="F938" s="638">
        <v>99.445393838728194</v>
      </c>
      <c r="G938" s="639">
        <v>0.11981094787923199</v>
      </c>
    </row>
    <row r="939" spans="1:7" x14ac:dyDescent="0.3">
      <c r="A939" s="6" t="s">
        <v>6269</v>
      </c>
      <c r="B939" s="6" t="s">
        <v>6271</v>
      </c>
      <c r="C939" s="632">
        <v>8630</v>
      </c>
      <c r="D939" s="632">
        <v>3656407.0000000098</v>
      </c>
      <c r="E939" s="633">
        <v>0</v>
      </c>
      <c r="F939" s="634">
        <v>100</v>
      </c>
      <c r="G939" s="635">
        <v>0</v>
      </c>
    </row>
    <row r="940" spans="1:7" x14ac:dyDescent="0.3">
      <c r="A940" s="3299" t="s">
        <v>571</v>
      </c>
      <c r="B940" s="3298"/>
      <c r="C940" s="3298"/>
      <c r="D940" s="3298"/>
      <c r="E940" s="3298"/>
      <c r="F940" s="3298"/>
      <c r="G940" s="3298"/>
    </row>
    <row r="941" spans="1:7" x14ac:dyDescent="0.3">
      <c r="A941" s="11" t="s">
        <v>968</v>
      </c>
      <c r="B941" s="11" t="s">
        <v>922</v>
      </c>
      <c r="C941" s="644">
        <v>8631</v>
      </c>
      <c r="D941" s="644">
        <v>3656407</v>
      </c>
      <c r="E941" s="645">
        <v>9.4030312632811204E-8</v>
      </c>
      <c r="F941" s="646">
        <v>100</v>
      </c>
      <c r="G941" s="647">
        <v>0</v>
      </c>
    </row>
    <row r="942" spans="1:7" x14ac:dyDescent="0.3">
      <c r="A942" s="6" t="s">
        <v>6269</v>
      </c>
      <c r="B942" s="6" t="s">
        <v>6270</v>
      </c>
      <c r="C942" s="640">
        <v>8631</v>
      </c>
      <c r="D942" s="640">
        <v>3656407</v>
      </c>
      <c r="E942" s="641">
        <v>9.4030312632811204E-8</v>
      </c>
      <c r="F942" s="642">
        <v>100</v>
      </c>
      <c r="G942" s="643">
        <v>0</v>
      </c>
    </row>
    <row r="943" spans="1:7" x14ac:dyDescent="0.3">
      <c r="A943" s="11" t="s">
        <v>6269</v>
      </c>
      <c r="B943" s="11" t="s">
        <v>6271</v>
      </c>
      <c r="C943" s="644">
        <v>8631</v>
      </c>
      <c r="D943" s="644">
        <v>3656407</v>
      </c>
      <c r="E943" s="645">
        <v>0</v>
      </c>
      <c r="F943" s="646">
        <v>100</v>
      </c>
      <c r="G943" s="647">
        <v>0</v>
      </c>
    </row>
    <row r="944" spans="1:7" x14ac:dyDescent="0.3">
      <c r="A944" s="3299" t="s">
        <v>268</v>
      </c>
      <c r="B944" s="3298"/>
      <c r="C944" s="3298"/>
      <c r="D944" s="3298"/>
      <c r="E944" s="3298"/>
      <c r="F944" s="3298"/>
      <c r="G944" s="3298"/>
    </row>
    <row r="945" spans="1:7" x14ac:dyDescent="0.3">
      <c r="A945" s="11" t="s">
        <v>962</v>
      </c>
      <c r="B945" s="11"/>
      <c r="C945" s="652">
        <v>6389</v>
      </c>
      <c r="D945" s="652">
        <v>2261165.1639850498</v>
      </c>
      <c r="E945" s="653">
        <v>5.0373158434962999</v>
      </c>
      <c r="F945" s="654">
        <v>61.8411780741326</v>
      </c>
      <c r="G945" s="655">
        <v>1.3776682564552799E-4</v>
      </c>
    </row>
    <row r="946" spans="1:7" x14ac:dyDescent="0.3">
      <c r="A946" s="6" t="s">
        <v>964</v>
      </c>
      <c r="B946" s="6"/>
      <c r="C946" s="648">
        <v>2173</v>
      </c>
      <c r="D946" s="648">
        <v>1357190.0053401601</v>
      </c>
      <c r="E946" s="649">
        <v>10072.617129234</v>
      </c>
      <c r="F946" s="650">
        <v>37.118132782815401</v>
      </c>
      <c r="G946" s="651">
        <v>0.27547855392551701</v>
      </c>
    </row>
    <row r="947" spans="1:7" x14ac:dyDescent="0.3">
      <c r="A947" s="11" t="s">
        <v>983</v>
      </c>
      <c r="B947" s="11"/>
      <c r="C947" s="652">
        <v>69</v>
      </c>
      <c r="D947" s="652">
        <v>38051.830674793397</v>
      </c>
      <c r="E947" s="653">
        <v>10072.6629002429</v>
      </c>
      <c r="F947" s="654">
        <v>1.040689143052</v>
      </c>
      <c r="G947" s="655">
        <v>0.27547980572849201</v>
      </c>
    </row>
    <row r="948" spans="1:7" x14ac:dyDescent="0.3">
      <c r="A948" s="6" t="s">
        <v>6269</v>
      </c>
      <c r="B948" s="6" t="s">
        <v>6270</v>
      </c>
      <c r="C948" s="648">
        <v>8631</v>
      </c>
      <c r="D948" s="648">
        <v>3656407</v>
      </c>
      <c r="E948" s="649">
        <v>3.0872425256683997E-8</v>
      </c>
      <c r="F948" s="650">
        <v>100</v>
      </c>
      <c r="G948" s="651">
        <v>1.78031750616652E-14</v>
      </c>
    </row>
    <row r="949" spans="1:7" x14ac:dyDescent="0.3">
      <c r="A949" s="11" t="s">
        <v>6269</v>
      </c>
      <c r="B949" s="11" t="s">
        <v>6271</v>
      </c>
      <c r="C949" s="652">
        <v>8631</v>
      </c>
      <c r="D949" s="652">
        <v>3656407</v>
      </c>
      <c r="E949" s="653">
        <v>0</v>
      </c>
      <c r="F949" s="654">
        <v>100</v>
      </c>
      <c r="G949" s="655">
        <v>0</v>
      </c>
    </row>
    <row r="950" spans="1:7" x14ac:dyDescent="0.3">
      <c r="A950" s="3297" t="s">
        <v>955</v>
      </c>
      <c r="B950" s="3298"/>
      <c r="C950" s="3298"/>
      <c r="D950" s="3298"/>
      <c r="E950" s="3298"/>
      <c r="F950" s="3298"/>
      <c r="G950" s="3298"/>
    </row>
    <row r="951" spans="1:7" x14ac:dyDescent="0.3">
      <c r="A951" s="3299" t="s">
        <v>273</v>
      </c>
      <c r="B951" s="3298"/>
      <c r="C951" s="3298"/>
      <c r="D951" s="3298"/>
      <c r="E951" s="3298"/>
      <c r="F951" s="3298"/>
      <c r="G951" s="3298"/>
    </row>
    <row r="952" spans="1:7" x14ac:dyDescent="0.3">
      <c r="A952" s="11" t="s">
        <v>6269</v>
      </c>
      <c r="B952" s="11" t="s">
        <v>6270</v>
      </c>
      <c r="C952" s="660">
        <v>15139</v>
      </c>
      <c r="D952" s="660">
        <v>10214860</v>
      </c>
      <c r="E952" s="661">
        <v>9.7870564517964601E-8</v>
      </c>
      <c r="F952" s="662">
        <v>100</v>
      </c>
      <c r="G952" s="663">
        <v>9.4764635797477106E-14</v>
      </c>
    </row>
    <row r="953" spans="1:7" x14ac:dyDescent="0.3">
      <c r="A953" s="6" t="s">
        <v>6269</v>
      </c>
      <c r="B953" s="6" t="s">
        <v>6271</v>
      </c>
      <c r="C953" s="656">
        <v>15139</v>
      </c>
      <c r="D953" s="656">
        <v>10214860</v>
      </c>
      <c r="E953" s="657">
        <v>0</v>
      </c>
      <c r="F953" s="658">
        <v>100</v>
      </c>
      <c r="G953" s="659">
        <v>0</v>
      </c>
    </row>
    <row r="954" spans="1:7" x14ac:dyDescent="0.3">
      <c r="A954" s="3299" t="s">
        <v>447</v>
      </c>
      <c r="B954" s="3298"/>
      <c r="C954" s="3298"/>
      <c r="D954" s="3298"/>
      <c r="E954" s="3298"/>
      <c r="F954" s="3298"/>
      <c r="G954" s="3298"/>
    </row>
    <row r="955" spans="1:7" x14ac:dyDescent="0.3">
      <c r="A955" s="11" t="s">
        <v>962</v>
      </c>
      <c r="B955" s="11"/>
      <c r="C955" s="668">
        <v>8631</v>
      </c>
      <c r="D955" s="668">
        <v>3901833.9584789402</v>
      </c>
      <c r="E955" s="669">
        <v>32481.2484075996</v>
      </c>
      <c r="F955" s="670">
        <v>38.197625405330498</v>
      </c>
      <c r="G955" s="671">
        <v>0.31798035810185499</v>
      </c>
    </row>
    <row r="956" spans="1:7" x14ac:dyDescent="0.3">
      <c r="A956" s="6" t="s">
        <v>964</v>
      </c>
      <c r="B956" s="6"/>
      <c r="C956" s="664">
        <v>5862</v>
      </c>
      <c r="D956" s="664">
        <v>2983188.248201</v>
      </c>
      <c r="E956" s="665">
        <v>12466.238329941199</v>
      </c>
      <c r="F956" s="666">
        <v>29.204396812105099</v>
      </c>
      <c r="G956" s="667">
        <v>0.122040226982496</v>
      </c>
    </row>
    <row r="957" spans="1:7" x14ac:dyDescent="0.3">
      <c r="A957" s="11" t="s">
        <v>966</v>
      </c>
      <c r="B957" s="11"/>
      <c r="C957" s="668">
        <v>2277</v>
      </c>
      <c r="D957" s="668">
        <v>1798000.17159204</v>
      </c>
      <c r="E957" s="669">
        <v>25066.426445133999</v>
      </c>
      <c r="F957" s="670">
        <v>17.6018092425353</v>
      </c>
      <c r="G957" s="671">
        <v>0.245391776736365</v>
      </c>
    </row>
    <row r="958" spans="1:7" x14ac:dyDescent="0.3">
      <c r="A958" s="6" t="s">
        <v>968</v>
      </c>
      <c r="B958" s="6"/>
      <c r="C958" s="664">
        <v>1212</v>
      </c>
      <c r="D958" s="664">
        <v>1008970.64700069</v>
      </c>
      <c r="E958" s="665">
        <v>20721.864269703401</v>
      </c>
      <c r="F958" s="666">
        <v>9.8774789571339703</v>
      </c>
      <c r="G958" s="667">
        <v>0.202859992889797</v>
      </c>
    </row>
    <row r="959" spans="1:7" x14ac:dyDescent="0.3">
      <c r="A959" s="11" t="s">
        <v>970</v>
      </c>
      <c r="B959" s="11"/>
      <c r="C959" s="668">
        <v>415</v>
      </c>
      <c r="D959" s="668">
        <v>349527.33608987101</v>
      </c>
      <c r="E959" s="669">
        <v>17056.373514898602</v>
      </c>
      <c r="F959" s="670">
        <v>3.4217535638263401</v>
      </c>
      <c r="G959" s="671">
        <v>0.166976086944889</v>
      </c>
    </row>
    <row r="960" spans="1:7" x14ac:dyDescent="0.3">
      <c r="A960" s="6" t="s">
        <v>972</v>
      </c>
      <c r="B960" s="6"/>
      <c r="C960" s="664">
        <v>117</v>
      </c>
      <c r="D960" s="664">
        <v>121381.156786273</v>
      </c>
      <c r="E960" s="665">
        <v>7867.4235972667502</v>
      </c>
      <c r="F960" s="666">
        <v>1.1882801799170299</v>
      </c>
      <c r="G960" s="667">
        <v>7.70193972043349E-2</v>
      </c>
    </row>
    <row r="961" spans="1:7" x14ac:dyDescent="0.3">
      <c r="A961" s="11" t="s">
        <v>981</v>
      </c>
      <c r="B961" s="11"/>
      <c r="C961" s="668">
        <v>39</v>
      </c>
      <c r="D961" s="668">
        <v>37385.952590358102</v>
      </c>
      <c r="E961" s="669">
        <v>5977.9025000003303</v>
      </c>
      <c r="F961" s="670">
        <v>0.36599574140377999</v>
      </c>
      <c r="G961" s="671">
        <v>5.85216292734341E-2</v>
      </c>
    </row>
    <row r="962" spans="1:7" x14ac:dyDescent="0.3">
      <c r="A962" s="6" t="s">
        <v>991</v>
      </c>
      <c r="B962" s="6"/>
      <c r="C962" s="664">
        <v>15</v>
      </c>
      <c r="D962" s="664">
        <v>13443.0699787839</v>
      </c>
      <c r="E962" s="665">
        <v>4228.3727120210997</v>
      </c>
      <c r="F962" s="666">
        <v>0.13160307609486399</v>
      </c>
      <c r="G962" s="667">
        <v>4.1394328576417998E-2</v>
      </c>
    </row>
    <row r="963" spans="1:7" x14ac:dyDescent="0.3">
      <c r="A963" s="11" t="s">
        <v>993</v>
      </c>
      <c r="B963" s="11"/>
      <c r="C963" s="668">
        <v>1</v>
      </c>
      <c r="D963" s="668">
        <v>576.24856810126005</v>
      </c>
      <c r="E963" s="669">
        <v>583.44146311433201</v>
      </c>
      <c r="F963" s="670">
        <v>5.6412771991124697E-3</v>
      </c>
      <c r="G963" s="671">
        <v>5.7116931912364098E-3</v>
      </c>
    </row>
    <row r="964" spans="1:7" x14ac:dyDescent="0.3">
      <c r="A964" s="6" t="s">
        <v>995</v>
      </c>
      <c r="B964" s="6"/>
      <c r="C964" s="664">
        <v>1</v>
      </c>
      <c r="D964" s="664">
        <v>553.21071392487704</v>
      </c>
      <c r="E964" s="665">
        <v>554.12008419913798</v>
      </c>
      <c r="F964" s="666">
        <v>5.4157444539120201E-3</v>
      </c>
      <c r="G964" s="667">
        <v>5.4246468791460502E-3</v>
      </c>
    </row>
    <row r="965" spans="1:7" x14ac:dyDescent="0.3">
      <c r="A965" s="11" t="s">
        <v>6269</v>
      </c>
      <c r="B965" s="11" t="s">
        <v>6270</v>
      </c>
      <c r="C965" s="668">
        <v>18570</v>
      </c>
      <c r="D965" s="668">
        <v>10214860</v>
      </c>
      <c r="E965" s="669">
        <v>4.4470043429409399E-8</v>
      </c>
      <c r="F965" s="670">
        <v>100</v>
      </c>
      <c r="G965" s="671">
        <v>1.78031750616652E-14</v>
      </c>
    </row>
    <row r="966" spans="1:7" x14ac:dyDescent="0.3">
      <c r="A966" s="6" t="s">
        <v>6269</v>
      </c>
      <c r="B966" s="6" t="s">
        <v>6271</v>
      </c>
      <c r="C966" s="664">
        <v>18570</v>
      </c>
      <c r="D966" s="664">
        <v>10214860</v>
      </c>
      <c r="E966" s="665">
        <v>0</v>
      </c>
      <c r="F966" s="666">
        <v>100</v>
      </c>
      <c r="G966" s="667">
        <v>0</v>
      </c>
    </row>
    <row r="967" spans="1:7" x14ac:dyDescent="0.3">
      <c r="A967" s="3299" t="s">
        <v>445</v>
      </c>
      <c r="B967" s="3298"/>
      <c r="C967" s="3298"/>
      <c r="D967" s="3298"/>
      <c r="E967" s="3298"/>
      <c r="F967" s="3298"/>
      <c r="G967" s="3298"/>
    </row>
    <row r="968" spans="1:7" x14ac:dyDescent="0.3">
      <c r="A968" s="11" t="s">
        <v>6269</v>
      </c>
      <c r="B968" s="11" t="s">
        <v>6270</v>
      </c>
      <c r="C968" s="676">
        <v>18568</v>
      </c>
      <c r="D968" s="676">
        <v>10214860</v>
      </c>
      <c r="E968" s="677">
        <v>9.7992029739412495E-8</v>
      </c>
      <c r="F968" s="678">
        <v>100</v>
      </c>
      <c r="G968" s="679">
        <v>9.6968759166016401E-14</v>
      </c>
    </row>
    <row r="969" spans="1:7" x14ac:dyDescent="0.3">
      <c r="A969" s="6" t="s">
        <v>6269</v>
      </c>
      <c r="B969" s="6" t="s">
        <v>6271</v>
      </c>
      <c r="C969" s="672">
        <v>18568</v>
      </c>
      <c r="D969" s="672">
        <v>10214860</v>
      </c>
      <c r="E969" s="673">
        <v>0</v>
      </c>
      <c r="F969" s="674">
        <v>100</v>
      </c>
      <c r="G969" s="675">
        <v>0</v>
      </c>
    </row>
    <row r="970" spans="1:7" x14ac:dyDescent="0.3">
      <c r="A970" s="3299" t="s">
        <v>506</v>
      </c>
      <c r="B970" s="3298"/>
      <c r="C970" s="3298"/>
      <c r="D970" s="3298"/>
      <c r="E970" s="3298"/>
      <c r="F970" s="3298"/>
      <c r="G970" s="3298"/>
    </row>
    <row r="971" spans="1:7" x14ac:dyDescent="0.3">
      <c r="A971" s="11" t="s">
        <v>1011</v>
      </c>
      <c r="B971" s="11"/>
      <c r="C971" s="684">
        <v>175</v>
      </c>
      <c r="D971" s="684">
        <v>198688.62482251201</v>
      </c>
      <c r="E971" s="685">
        <v>20471.9846574453</v>
      </c>
      <c r="F971" s="686">
        <v>1.9542215159598699</v>
      </c>
      <c r="G971" s="687">
        <v>0.20375187668799299</v>
      </c>
    </row>
    <row r="972" spans="1:7" x14ac:dyDescent="0.3">
      <c r="A972" s="6" t="s">
        <v>999</v>
      </c>
      <c r="B972" s="6"/>
      <c r="C972" s="680">
        <v>231</v>
      </c>
      <c r="D972" s="680">
        <v>185613.68019496501</v>
      </c>
      <c r="E972" s="681">
        <v>16500.691026230299</v>
      </c>
      <c r="F972" s="682">
        <v>1.8256216117934301</v>
      </c>
      <c r="G972" s="683">
        <v>0.16235236241225201</v>
      </c>
    </row>
    <row r="973" spans="1:7" x14ac:dyDescent="0.3">
      <c r="A973" s="11" t="s">
        <v>1067</v>
      </c>
      <c r="B973" s="11"/>
      <c r="C973" s="684">
        <v>243</v>
      </c>
      <c r="D973" s="684">
        <v>180977.70296291099</v>
      </c>
      <c r="E973" s="685">
        <v>7982.5239738268101</v>
      </c>
      <c r="F973" s="686">
        <v>1.78002400165107</v>
      </c>
      <c r="G973" s="687">
        <v>7.9424813292061497E-2</v>
      </c>
    </row>
    <row r="974" spans="1:7" x14ac:dyDescent="0.3">
      <c r="A974" s="6" t="s">
        <v>1049</v>
      </c>
      <c r="B974" s="6"/>
      <c r="C974" s="680">
        <v>154</v>
      </c>
      <c r="D974" s="680">
        <v>161313.45843115501</v>
      </c>
      <c r="E974" s="681">
        <v>14120.600288752001</v>
      </c>
      <c r="F974" s="682">
        <v>1.58661439003701</v>
      </c>
      <c r="G974" s="683">
        <v>0.14018633522131199</v>
      </c>
    </row>
    <row r="975" spans="1:7" x14ac:dyDescent="0.3">
      <c r="A975" s="11" t="s">
        <v>1055</v>
      </c>
      <c r="B975" s="11"/>
      <c r="C975" s="684">
        <v>225</v>
      </c>
      <c r="D975" s="684">
        <v>159698.05535165701</v>
      </c>
      <c r="E975" s="685">
        <v>17168.405642446101</v>
      </c>
      <c r="F975" s="686">
        <v>1.57072593412906</v>
      </c>
      <c r="G975" s="687">
        <v>0.16718730674200499</v>
      </c>
    </row>
    <row r="976" spans="1:7" x14ac:dyDescent="0.3">
      <c r="A976" s="6" t="s">
        <v>1061</v>
      </c>
      <c r="B976" s="6"/>
      <c r="C976" s="680">
        <v>224</v>
      </c>
      <c r="D976" s="680">
        <v>158280.39223335401</v>
      </c>
      <c r="E976" s="681">
        <v>10335.5401008763</v>
      </c>
      <c r="F976" s="682">
        <v>1.5567823690626399</v>
      </c>
      <c r="G976" s="683">
        <v>0.10041535668186601</v>
      </c>
    </row>
    <row r="977" spans="1:7" x14ac:dyDescent="0.3">
      <c r="A977" s="11" t="s">
        <v>3053</v>
      </c>
      <c r="B977" s="11"/>
      <c r="C977" s="684">
        <v>225</v>
      </c>
      <c r="D977" s="684">
        <v>157788.81585160099</v>
      </c>
      <c r="E977" s="685">
        <v>18838.167965649202</v>
      </c>
      <c r="F977" s="686">
        <v>1.5519474211997799</v>
      </c>
      <c r="G977" s="687">
        <v>0.18557183247707801</v>
      </c>
    </row>
    <row r="978" spans="1:7" x14ac:dyDescent="0.3">
      <c r="A978" s="6" t="s">
        <v>1007</v>
      </c>
      <c r="B978" s="6"/>
      <c r="C978" s="680">
        <v>201</v>
      </c>
      <c r="D978" s="680">
        <v>156322.733270225</v>
      </c>
      <c r="E978" s="681">
        <v>21214.709938814802</v>
      </c>
      <c r="F978" s="682">
        <v>1.53752762174091</v>
      </c>
      <c r="G978" s="683">
        <v>0.21053048121843701</v>
      </c>
    </row>
    <row r="979" spans="1:7" x14ac:dyDescent="0.3">
      <c r="A979" s="11" t="s">
        <v>1005</v>
      </c>
      <c r="B979" s="11"/>
      <c r="C979" s="684">
        <v>213</v>
      </c>
      <c r="D979" s="684">
        <v>154166.894369382</v>
      </c>
      <c r="E979" s="685">
        <v>19773.379985692802</v>
      </c>
      <c r="F979" s="686">
        <v>1.5163236561453299</v>
      </c>
      <c r="G979" s="687">
        <v>0.19332321111245801</v>
      </c>
    </row>
    <row r="980" spans="1:7" x14ac:dyDescent="0.3">
      <c r="A980" s="6" t="s">
        <v>1075</v>
      </c>
      <c r="B980" s="6"/>
      <c r="C980" s="680">
        <v>324</v>
      </c>
      <c r="D980" s="680">
        <v>153896.290664242</v>
      </c>
      <c r="E980" s="681">
        <v>13687.6262351776</v>
      </c>
      <c r="F980" s="682">
        <v>1.5136621067820699</v>
      </c>
      <c r="G980" s="683">
        <v>0.13549337288605201</v>
      </c>
    </row>
    <row r="981" spans="1:7" x14ac:dyDescent="0.3">
      <c r="A981" s="11" t="s">
        <v>3049</v>
      </c>
      <c r="B981" s="11"/>
      <c r="C981" s="684">
        <v>195</v>
      </c>
      <c r="D981" s="684">
        <v>151703.89998202099</v>
      </c>
      <c r="E981" s="685">
        <v>17035.4284680522</v>
      </c>
      <c r="F981" s="686">
        <v>1.49209863254487</v>
      </c>
      <c r="G981" s="687">
        <v>0.16830379689213801</v>
      </c>
    </row>
    <row r="982" spans="1:7" x14ac:dyDescent="0.3">
      <c r="A982" s="6" t="s">
        <v>1053</v>
      </c>
      <c r="B982" s="6"/>
      <c r="C982" s="680">
        <v>156</v>
      </c>
      <c r="D982" s="680">
        <v>151613.76635369199</v>
      </c>
      <c r="E982" s="681">
        <v>27997.868932250101</v>
      </c>
      <c r="F982" s="682">
        <v>1.4912121143763</v>
      </c>
      <c r="G982" s="683">
        <v>0.27438313927105901</v>
      </c>
    </row>
    <row r="983" spans="1:7" x14ac:dyDescent="0.3">
      <c r="A983" s="11" t="s">
        <v>3161</v>
      </c>
      <c r="B983" s="11"/>
      <c r="C983" s="684">
        <v>341</v>
      </c>
      <c r="D983" s="684">
        <v>151571.10579595101</v>
      </c>
      <c r="E983" s="685">
        <v>8169.23500574628</v>
      </c>
      <c r="F983" s="686">
        <v>1.4907925222637901</v>
      </c>
      <c r="G983" s="687">
        <v>8.0620053192607705E-2</v>
      </c>
    </row>
    <row r="984" spans="1:7" x14ac:dyDescent="0.3">
      <c r="A984" s="6" t="s">
        <v>6274</v>
      </c>
      <c r="B984" s="6"/>
      <c r="C984" s="680">
        <v>190</v>
      </c>
      <c r="D984" s="680">
        <v>151085.255229284</v>
      </c>
      <c r="E984" s="681">
        <v>10380.362975926901</v>
      </c>
      <c r="F984" s="682">
        <v>1.4860138912185099</v>
      </c>
      <c r="G984" s="683">
        <v>0.101303468928809</v>
      </c>
    </row>
    <row r="985" spans="1:7" x14ac:dyDescent="0.3">
      <c r="A985" s="11" t="s">
        <v>3077</v>
      </c>
      <c r="B985" s="11"/>
      <c r="C985" s="684">
        <v>320</v>
      </c>
      <c r="D985" s="684">
        <v>149466.817850942</v>
      </c>
      <c r="E985" s="685">
        <v>17550.847872863102</v>
      </c>
      <c r="F985" s="686">
        <v>1.47009559116578</v>
      </c>
      <c r="G985" s="687">
        <v>0.17236529780180701</v>
      </c>
    </row>
    <row r="986" spans="1:7" x14ac:dyDescent="0.3">
      <c r="A986" s="6" t="s">
        <v>3051</v>
      </c>
      <c r="B986" s="6"/>
      <c r="C986" s="680">
        <v>221</v>
      </c>
      <c r="D986" s="680">
        <v>148854.196395465</v>
      </c>
      <c r="E986" s="681">
        <v>16265.7821139359</v>
      </c>
      <c r="F986" s="682">
        <v>1.4640700925721799</v>
      </c>
      <c r="G986" s="683">
        <v>0.16024690261245</v>
      </c>
    </row>
    <row r="987" spans="1:7" x14ac:dyDescent="0.3">
      <c r="A987" s="11" t="s">
        <v>6276</v>
      </c>
      <c r="B987" s="11"/>
      <c r="C987" s="684">
        <v>184</v>
      </c>
      <c r="D987" s="684">
        <v>147714.76315219401</v>
      </c>
      <c r="E987" s="685">
        <v>13259.519508252501</v>
      </c>
      <c r="F987" s="686">
        <v>1.45286308481323</v>
      </c>
      <c r="G987" s="687">
        <v>0.13153912974707699</v>
      </c>
    </row>
    <row r="988" spans="1:7" x14ac:dyDescent="0.3">
      <c r="A988" s="6" t="s">
        <v>6280</v>
      </c>
      <c r="B988" s="6"/>
      <c r="C988" s="680">
        <v>194</v>
      </c>
      <c r="D988" s="680">
        <v>146839.59044154899</v>
      </c>
      <c r="E988" s="681">
        <v>11341.6569925145</v>
      </c>
      <c r="F988" s="682">
        <v>1.44425523752026</v>
      </c>
      <c r="G988" s="683">
        <v>0.111014881218665</v>
      </c>
    </row>
    <row r="989" spans="1:7" x14ac:dyDescent="0.3">
      <c r="A989" s="11" t="s">
        <v>1161</v>
      </c>
      <c r="B989" s="11"/>
      <c r="C989" s="684">
        <v>299</v>
      </c>
      <c r="D989" s="684">
        <v>146457.686399661</v>
      </c>
      <c r="E989" s="685">
        <v>16153.9612469288</v>
      </c>
      <c r="F989" s="686">
        <v>1.44049898274545</v>
      </c>
      <c r="G989" s="687">
        <v>0.15870567684126399</v>
      </c>
    </row>
    <row r="990" spans="1:7" x14ac:dyDescent="0.3">
      <c r="A990" s="6" t="s">
        <v>1163</v>
      </c>
      <c r="B990" s="6"/>
      <c r="C990" s="680">
        <v>367</v>
      </c>
      <c r="D990" s="680">
        <v>145168.907848139</v>
      </c>
      <c r="E990" s="681">
        <v>15694.7997338163</v>
      </c>
      <c r="F990" s="682">
        <v>1.42782307451496</v>
      </c>
      <c r="G990" s="683">
        <v>0.15515230042660799</v>
      </c>
    </row>
    <row r="991" spans="1:7" x14ac:dyDescent="0.3">
      <c r="A991" s="11" t="s">
        <v>1057</v>
      </c>
      <c r="B991" s="11"/>
      <c r="C991" s="684">
        <v>205</v>
      </c>
      <c r="D991" s="684">
        <v>144364.82297295201</v>
      </c>
      <c r="E991" s="685">
        <v>13224.4476828144</v>
      </c>
      <c r="F991" s="686">
        <v>1.4199144186210899</v>
      </c>
      <c r="G991" s="687">
        <v>0.12984895110575501</v>
      </c>
    </row>
    <row r="992" spans="1:7" x14ac:dyDescent="0.3">
      <c r="A992" s="6" t="s">
        <v>1009</v>
      </c>
      <c r="B992" s="6"/>
      <c r="C992" s="680">
        <v>181</v>
      </c>
      <c r="D992" s="680">
        <v>143266.33474029601</v>
      </c>
      <c r="E992" s="681">
        <v>7201.8143453387602</v>
      </c>
      <c r="F992" s="682">
        <v>1.40911012954212</v>
      </c>
      <c r="G992" s="683">
        <v>6.9347399288909498E-2</v>
      </c>
    </row>
    <row r="993" spans="1:7" x14ac:dyDescent="0.3">
      <c r="A993" s="11" t="s">
        <v>3047</v>
      </c>
      <c r="B993" s="11"/>
      <c r="C993" s="684">
        <v>204</v>
      </c>
      <c r="D993" s="684">
        <v>141782.884907014</v>
      </c>
      <c r="E993" s="685">
        <v>14526.3852456596</v>
      </c>
      <c r="F993" s="686">
        <v>1.3945195127685801</v>
      </c>
      <c r="G993" s="687">
        <v>0.14243835985518399</v>
      </c>
    </row>
    <row r="994" spans="1:7" x14ac:dyDescent="0.3">
      <c r="A994" s="6" t="s">
        <v>1155</v>
      </c>
      <c r="B994" s="6"/>
      <c r="C994" s="680">
        <v>119</v>
      </c>
      <c r="D994" s="680">
        <v>141591.31099378399</v>
      </c>
      <c r="E994" s="681">
        <v>14283.161533785</v>
      </c>
      <c r="F994" s="682">
        <v>1.39263526869842</v>
      </c>
      <c r="G994" s="683">
        <v>0.13943637156454</v>
      </c>
    </row>
    <row r="995" spans="1:7" x14ac:dyDescent="0.3">
      <c r="A995" s="11" t="s">
        <v>1063</v>
      </c>
      <c r="B995" s="11"/>
      <c r="C995" s="684">
        <v>180</v>
      </c>
      <c r="D995" s="684">
        <v>141382.74572762099</v>
      </c>
      <c r="E995" s="685">
        <v>10959.0976548956</v>
      </c>
      <c r="F995" s="686">
        <v>1.39058390450491</v>
      </c>
      <c r="G995" s="687">
        <v>0.109194186108233</v>
      </c>
    </row>
    <row r="996" spans="1:7" x14ac:dyDescent="0.3">
      <c r="A996" s="6" t="s">
        <v>995</v>
      </c>
      <c r="B996" s="6"/>
      <c r="C996" s="680">
        <v>178</v>
      </c>
      <c r="D996" s="680">
        <v>139966.70419083899</v>
      </c>
      <c r="E996" s="681">
        <v>8550.9341856908304</v>
      </c>
      <c r="F996" s="682">
        <v>1.37665628866307</v>
      </c>
      <c r="G996" s="683">
        <v>8.5577467773194901E-2</v>
      </c>
    </row>
    <row r="997" spans="1:7" x14ac:dyDescent="0.3">
      <c r="A997" s="11" t="s">
        <v>3075</v>
      </c>
      <c r="B997" s="11"/>
      <c r="C997" s="684">
        <v>307</v>
      </c>
      <c r="D997" s="684">
        <v>139711.000143932</v>
      </c>
      <c r="E997" s="685">
        <v>10259.9972684968</v>
      </c>
      <c r="F997" s="686">
        <v>1.37414128635416</v>
      </c>
      <c r="G997" s="687">
        <v>0.10077363523239199</v>
      </c>
    </row>
    <row r="998" spans="1:7" x14ac:dyDescent="0.3">
      <c r="A998" s="6" t="s">
        <v>6277</v>
      </c>
      <c r="B998" s="6"/>
      <c r="C998" s="680">
        <v>171</v>
      </c>
      <c r="D998" s="680">
        <v>139076.40498991701</v>
      </c>
      <c r="E998" s="681">
        <v>15121.1176729319</v>
      </c>
      <c r="F998" s="682">
        <v>1.3678996632868701</v>
      </c>
      <c r="G998" s="683">
        <v>0.15052811233225</v>
      </c>
    </row>
    <row r="999" spans="1:7" x14ac:dyDescent="0.3">
      <c r="A999" s="11" t="s">
        <v>3040</v>
      </c>
      <c r="B999" s="11"/>
      <c r="C999" s="684">
        <v>202</v>
      </c>
      <c r="D999" s="684">
        <v>138847.386564043</v>
      </c>
      <c r="E999" s="685">
        <v>19725.165154234299</v>
      </c>
      <c r="F999" s="686">
        <v>1.3656471300288899</v>
      </c>
      <c r="G999" s="687">
        <v>0.194134403460342</v>
      </c>
    </row>
    <row r="1000" spans="1:7" x14ac:dyDescent="0.3">
      <c r="A1000" s="6" t="s">
        <v>1059</v>
      </c>
      <c r="B1000" s="6"/>
      <c r="C1000" s="680">
        <v>181</v>
      </c>
      <c r="D1000" s="680">
        <v>138254.18592590501</v>
      </c>
      <c r="E1000" s="681">
        <v>10785.015224323601</v>
      </c>
      <c r="F1000" s="682">
        <v>1.35981264679481</v>
      </c>
      <c r="G1000" s="683">
        <v>0.106787886135424</v>
      </c>
    </row>
    <row r="1001" spans="1:7" x14ac:dyDescent="0.3">
      <c r="A1001" s="11" t="s">
        <v>997</v>
      </c>
      <c r="B1001" s="11"/>
      <c r="C1001" s="684">
        <v>199</v>
      </c>
      <c r="D1001" s="684">
        <v>138077.16356790901</v>
      </c>
      <c r="E1001" s="685">
        <v>12624.9909291407</v>
      </c>
      <c r="F1001" s="686">
        <v>1.3580715259776901</v>
      </c>
      <c r="G1001" s="687">
        <v>0.122372012770148</v>
      </c>
    </row>
    <row r="1002" spans="1:7" x14ac:dyDescent="0.3">
      <c r="A1002" s="6" t="s">
        <v>1157</v>
      </c>
      <c r="B1002" s="6"/>
      <c r="C1002" s="680">
        <v>213</v>
      </c>
      <c r="D1002" s="680">
        <v>137848.24672096901</v>
      </c>
      <c r="E1002" s="681">
        <v>14935.3729364789</v>
      </c>
      <c r="F1002" s="682">
        <v>1.3558199918093199</v>
      </c>
      <c r="G1002" s="683">
        <v>0.14590395596238401</v>
      </c>
    </row>
    <row r="1003" spans="1:7" x14ac:dyDescent="0.3">
      <c r="A1003" s="11" t="s">
        <v>6273</v>
      </c>
      <c r="B1003" s="11"/>
      <c r="C1003" s="684">
        <v>172</v>
      </c>
      <c r="D1003" s="684">
        <v>137608.87508583101</v>
      </c>
      <c r="E1003" s="685">
        <v>13971.4902441371</v>
      </c>
      <c r="F1003" s="686">
        <v>1.3534656285430999</v>
      </c>
      <c r="G1003" s="687">
        <v>0.137485584166988</v>
      </c>
    </row>
    <row r="1004" spans="1:7" x14ac:dyDescent="0.3">
      <c r="A1004" s="6" t="s">
        <v>3065</v>
      </c>
      <c r="B1004" s="6"/>
      <c r="C1004" s="680">
        <v>244</v>
      </c>
      <c r="D1004" s="680">
        <v>137342.03398253801</v>
      </c>
      <c r="E1004" s="681">
        <v>16657.897407106098</v>
      </c>
      <c r="F1004" s="682">
        <v>1.3508410866204601</v>
      </c>
      <c r="G1004" s="683">
        <v>0.16360951843952801</v>
      </c>
    </row>
    <row r="1005" spans="1:7" x14ac:dyDescent="0.3">
      <c r="A1005" s="11" t="s">
        <v>1003</v>
      </c>
      <c r="B1005" s="11"/>
      <c r="C1005" s="684">
        <v>181</v>
      </c>
      <c r="D1005" s="684">
        <v>136182.70500569799</v>
      </c>
      <c r="E1005" s="685">
        <v>9066.9998727239908</v>
      </c>
      <c r="F1005" s="686">
        <v>1.3394383924166999</v>
      </c>
      <c r="G1005" s="687">
        <v>9.02510977766324E-2</v>
      </c>
    </row>
    <row r="1006" spans="1:7" x14ac:dyDescent="0.3">
      <c r="A1006" s="6" t="s">
        <v>6272</v>
      </c>
      <c r="B1006" s="6"/>
      <c r="C1006" s="680">
        <v>199</v>
      </c>
      <c r="D1006" s="680">
        <v>135938.980808705</v>
      </c>
      <c r="E1006" s="681">
        <v>8221.1331452531995</v>
      </c>
      <c r="F1006" s="682">
        <v>1.3370412191001699</v>
      </c>
      <c r="G1006" s="683">
        <v>8.0049639766384101E-2</v>
      </c>
    </row>
    <row r="1007" spans="1:7" x14ac:dyDescent="0.3">
      <c r="A1007" s="11" t="s">
        <v>3165</v>
      </c>
      <c r="B1007" s="11"/>
      <c r="C1007" s="684">
        <v>327</v>
      </c>
      <c r="D1007" s="684">
        <v>135679.821797463</v>
      </c>
      <c r="E1007" s="685">
        <v>8955.5823364575808</v>
      </c>
      <c r="F1007" s="686">
        <v>1.33449223514965</v>
      </c>
      <c r="G1007" s="687">
        <v>8.8083369272742906E-2</v>
      </c>
    </row>
    <row r="1008" spans="1:7" x14ac:dyDescent="0.3">
      <c r="A1008" s="6" t="s">
        <v>1051</v>
      </c>
      <c r="B1008" s="6"/>
      <c r="C1008" s="680">
        <v>129</v>
      </c>
      <c r="D1008" s="680">
        <v>134757.51940998199</v>
      </c>
      <c r="E1008" s="681">
        <v>14052.2677651907</v>
      </c>
      <c r="F1008" s="682">
        <v>1.32542083928365</v>
      </c>
      <c r="G1008" s="683">
        <v>0.13870129084440799</v>
      </c>
    </row>
    <row r="1009" spans="1:7" x14ac:dyDescent="0.3">
      <c r="A1009" s="11" t="s">
        <v>1069</v>
      </c>
      <c r="B1009" s="11"/>
      <c r="C1009" s="684">
        <v>189</v>
      </c>
      <c r="D1009" s="684">
        <v>134019.49650633201</v>
      </c>
      <c r="E1009" s="685">
        <v>12731.031856604501</v>
      </c>
      <c r="F1009" s="686">
        <v>1.3181619424098401</v>
      </c>
      <c r="G1009" s="687">
        <v>0.12411205367145001</v>
      </c>
    </row>
    <row r="1010" spans="1:7" x14ac:dyDescent="0.3">
      <c r="A1010" s="6" t="s">
        <v>3063</v>
      </c>
      <c r="B1010" s="6"/>
      <c r="C1010" s="680">
        <v>237</v>
      </c>
      <c r="D1010" s="680">
        <v>133485.94360322299</v>
      </c>
      <c r="E1010" s="681">
        <v>12188.283942026699</v>
      </c>
      <c r="F1010" s="682">
        <v>1.3129141303416401</v>
      </c>
      <c r="G1010" s="683">
        <v>0.119622168186266</v>
      </c>
    </row>
    <row r="1011" spans="1:7" x14ac:dyDescent="0.3">
      <c r="A1011" s="11" t="s">
        <v>1071</v>
      </c>
      <c r="B1011" s="11"/>
      <c r="C1011" s="684">
        <v>226</v>
      </c>
      <c r="D1011" s="684">
        <v>133299.490356864</v>
      </c>
      <c r="E1011" s="685">
        <v>11532.2809087444</v>
      </c>
      <c r="F1011" s="686">
        <v>1.3110802510942501</v>
      </c>
      <c r="G1011" s="687">
        <v>0.113897966312068</v>
      </c>
    </row>
    <row r="1012" spans="1:7" x14ac:dyDescent="0.3">
      <c r="A1012" s="6" t="s">
        <v>1001</v>
      </c>
      <c r="B1012" s="6"/>
      <c r="C1012" s="680">
        <v>190</v>
      </c>
      <c r="D1012" s="680">
        <v>132038.08012739301</v>
      </c>
      <c r="E1012" s="681">
        <v>14215.875884916901</v>
      </c>
      <c r="F1012" s="682">
        <v>1.2986735266877201</v>
      </c>
      <c r="G1012" s="683">
        <v>0.13986283561339499</v>
      </c>
    </row>
    <row r="1013" spans="1:7" x14ac:dyDescent="0.3">
      <c r="A1013" s="11" t="s">
        <v>6279</v>
      </c>
      <c r="B1013" s="11"/>
      <c r="C1013" s="684">
        <v>174</v>
      </c>
      <c r="D1013" s="684">
        <v>130859.128158619</v>
      </c>
      <c r="E1013" s="685">
        <v>11106.8277933108</v>
      </c>
      <c r="F1013" s="686">
        <v>1.28707782861633</v>
      </c>
      <c r="G1013" s="687">
        <v>0.109313868963075</v>
      </c>
    </row>
    <row r="1014" spans="1:7" x14ac:dyDescent="0.3">
      <c r="A1014" s="6" t="s">
        <v>1013</v>
      </c>
      <c r="B1014" s="6"/>
      <c r="C1014" s="680">
        <v>112</v>
      </c>
      <c r="D1014" s="680">
        <v>128584.579469726</v>
      </c>
      <c r="E1014" s="681">
        <v>7754.4591225821496</v>
      </c>
      <c r="F1014" s="682">
        <v>1.26470628122199</v>
      </c>
      <c r="G1014" s="683">
        <v>7.6865037818800899E-2</v>
      </c>
    </row>
    <row r="1015" spans="1:7" x14ac:dyDescent="0.3">
      <c r="A1015" s="11" t="s">
        <v>3055</v>
      </c>
      <c r="B1015" s="11"/>
      <c r="C1015" s="684">
        <v>180</v>
      </c>
      <c r="D1015" s="684">
        <v>127895.456403823</v>
      </c>
      <c r="E1015" s="685">
        <v>18025.017429625201</v>
      </c>
      <c r="F1015" s="686">
        <v>1.257928343513</v>
      </c>
      <c r="G1015" s="687">
        <v>0.178260232523</v>
      </c>
    </row>
    <row r="1016" spans="1:7" x14ac:dyDescent="0.3">
      <c r="A1016" s="6" t="s">
        <v>1159</v>
      </c>
      <c r="B1016" s="6"/>
      <c r="C1016" s="680">
        <v>209</v>
      </c>
      <c r="D1016" s="680">
        <v>127783.34411389699</v>
      </c>
      <c r="E1016" s="681">
        <v>19930.978013971198</v>
      </c>
      <c r="F1016" s="682">
        <v>1.2568256520560901</v>
      </c>
      <c r="G1016" s="683">
        <v>0.19575132953205901</v>
      </c>
    </row>
    <row r="1017" spans="1:7" x14ac:dyDescent="0.3">
      <c r="A1017" s="11" t="s">
        <v>1081</v>
      </c>
      <c r="B1017" s="11"/>
      <c r="C1017" s="684">
        <v>349</v>
      </c>
      <c r="D1017" s="684">
        <v>127033.23166657401</v>
      </c>
      <c r="E1017" s="685">
        <v>10844.375527001501</v>
      </c>
      <c r="F1017" s="686">
        <v>1.2494478472861501</v>
      </c>
      <c r="G1017" s="687">
        <v>0.106407052524434</v>
      </c>
    </row>
    <row r="1018" spans="1:7" x14ac:dyDescent="0.3">
      <c r="A1018" s="6" t="s">
        <v>3036</v>
      </c>
      <c r="B1018" s="6"/>
      <c r="C1018" s="680">
        <v>158</v>
      </c>
      <c r="D1018" s="680">
        <v>126521.343116114</v>
      </c>
      <c r="E1018" s="681">
        <v>15518.2649337413</v>
      </c>
      <c r="F1018" s="682">
        <v>1.2444131170897199</v>
      </c>
      <c r="G1018" s="683">
        <v>0.15371258262447099</v>
      </c>
    </row>
    <row r="1019" spans="1:7" x14ac:dyDescent="0.3">
      <c r="A1019" s="11" t="s">
        <v>3163</v>
      </c>
      <c r="B1019" s="11"/>
      <c r="C1019" s="684">
        <v>315</v>
      </c>
      <c r="D1019" s="684">
        <v>126474.70283634</v>
      </c>
      <c r="E1019" s="685">
        <v>9575.9653859637401</v>
      </c>
      <c r="F1019" s="686">
        <v>1.2439543820296299</v>
      </c>
      <c r="G1019" s="687">
        <v>9.3604806171638202E-2</v>
      </c>
    </row>
    <row r="1020" spans="1:7" x14ac:dyDescent="0.3">
      <c r="A1020" s="6" t="s">
        <v>1085</v>
      </c>
      <c r="B1020" s="6"/>
      <c r="C1020" s="680">
        <v>374</v>
      </c>
      <c r="D1020" s="680">
        <v>125914.922778846</v>
      </c>
      <c r="E1020" s="681">
        <v>14975.6511213951</v>
      </c>
      <c r="F1020" s="682">
        <v>1.23844861020432</v>
      </c>
      <c r="G1020" s="683">
        <v>0.147629755452066</v>
      </c>
    </row>
    <row r="1021" spans="1:7" x14ac:dyDescent="0.3">
      <c r="A1021" s="11" t="s">
        <v>3172</v>
      </c>
      <c r="B1021" s="11"/>
      <c r="C1021" s="684">
        <v>400</v>
      </c>
      <c r="D1021" s="684">
        <v>125797.314544864</v>
      </c>
      <c r="E1021" s="685">
        <v>10070.2303408198</v>
      </c>
      <c r="F1021" s="686">
        <v>1.23729186284897</v>
      </c>
      <c r="G1021" s="687">
        <v>9.9141598845042506E-2</v>
      </c>
    </row>
    <row r="1022" spans="1:7" x14ac:dyDescent="0.3">
      <c r="A1022" s="6" t="s">
        <v>1065</v>
      </c>
      <c r="B1022" s="6"/>
      <c r="C1022" s="680">
        <v>190</v>
      </c>
      <c r="D1022" s="680">
        <v>123813.424341896</v>
      </c>
      <c r="E1022" s="681">
        <v>15678.563953286601</v>
      </c>
      <c r="F1022" s="682">
        <v>1.2177791155872399</v>
      </c>
      <c r="G1022" s="683">
        <v>0.15350994330333401</v>
      </c>
    </row>
    <row r="1023" spans="1:7" x14ac:dyDescent="0.3">
      <c r="A1023" s="11" t="s">
        <v>1073</v>
      </c>
      <c r="B1023" s="11"/>
      <c r="C1023" s="684">
        <v>266</v>
      </c>
      <c r="D1023" s="684">
        <v>123483.14717583499</v>
      </c>
      <c r="E1023" s="685">
        <v>8456.9742239275001</v>
      </c>
      <c r="F1023" s="686">
        <v>1.21453064202856</v>
      </c>
      <c r="G1023" s="687">
        <v>8.12677603463169E-2</v>
      </c>
    </row>
    <row r="1024" spans="1:7" x14ac:dyDescent="0.3">
      <c r="A1024" s="6" t="s">
        <v>3061</v>
      </c>
      <c r="B1024" s="6"/>
      <c r="C1024" s="680">
        <v>230</v>
      </c>
      <c r="D1024" s="680">
        <v>123285.77741142501</v>
      </c>
      <c r="E1024" s="681">
        <v>10475.4922200205</v>
      </c>
      <c r="F1024" s="682">
        <v>1.2125893922939199</v>
      </c>
      <c r="G1024" s="683">
        <v>0.103364709062798</v>
      </c>
    </row>
    <row r="1025" spans="1:7" x14ac:dyDescent="0.3">
      <c r="A1025" s="11" t="s">
        <v>6275</v>
      </c>
      <c r="B1025" s="11"/>
      <c r="C1025" s="684">
        <v>159</v>
      </c>
      <c r="D1025" s="684">
        <v>122494.734563809</v>
      </c>
      <c r="E1025" s="685">
        <v>15324.385291696801</v>
      </c>
      <c r="F1025" s="686">
        <v>1.20480901254527</v>
      </c>
      <c r="G1025" s="687">
        <v>0.14927486698288001</v>
      </c>
    </row>
    <row r="1026" spans="1:7" x14ac:dyDescent="0.3">
      <c r="A1026" s="6" t="s">
        <v>6278</v>
      </c>
      <c r="B1026" s="6"/>
      <c r="C1026" s="680">
        <v>182</v>
      </c>
      <c r="D1026" s="680">
        <v>118874.155669578</v>
      </c>
      <c r="E1026" s="681">
        <v>9416.2157637189794</v>
      </c>
      <c r="F1026" s="682">
        <v>1.16919845264706</v>
      </c>
      <c r="G1026" s="683">
        <v>9.1521278766096101E-2</v>
      </c>
    </row>
    <row r="1027" spans="1:7" x14ac:dyDescent="0.3">
      <c r="A1027" s="11" t="s">
        <v>1083</v>
      </c>
      <c r="B1027" s="11"/>
      <c r="C1027" s="684">
        <v>343</v>
      </c>
      <c r="D1027" s="684">
        <v>118458.857482872</v>
      </c>
      <c r="E1027" s="685">
        <v>8119.5883945472997</v>
      </c>
      <c r="F1027" s="686">
        <v>1.16511374647566</v>
      </c>
      <c r="G1027" s="687">
        <v>7.8814620000219895E-2</v>
      </c>
    </row>
    <row r="1028" spans="1:7" x14ac:dyDescent="0.3">
      <c r="A1028" s="6" t="s">
        <v>1077</v>
      </c>
      <c r="B1028" s="6"/>
      <c r="C1028" s="680">
        <v>267</v>
      </c>
      <c r="D1028" s="680">
        <v>114840.998653767</v>
      </c>
      <c r="E1028" s="681">
        <v>7499.3317044048999</v>
      </c>
      <c r="F1028" s="682">
        <v>1.12952994004558</v>
      </c>
      <c r="G1028" s="683">
        <v>7.29335188197439E-2</v>
      </c>
    </row>
    <row r="1029" spans="1:7" x14ac:dyDescent="0.3">
      <c r="A1029" s="11" t="s">
        <v>3032</v>
      </c>
      <c r="B1029" s="11"/>
      <c r="C1029" s="684">
        <v>155</v>
      </c>
      <c r="D1029" s="684">
        <v>110101.747228109</v>
      </c>
      <c r="E1029" s="685">
        <v>11695.6623800089</v>
      </c>
      <c r="F1029" s="686">
        <v>1.0829165664121501</v>
      </c>
      <c r="G1029" s="687">
        <v>0.113904842526399</v>
      </c>
    </row>
    <row r="1030" spans="1:7" x14ac:dyDescent="0.3">
      <c r="A1030" s="6" t="s">
        <v>1047</v>
      </c>
      <c r="B1030" s="6"/>
      <c r="C1030" s="680">
        <v>114</v>
      </c>
      <c r="D1030" s="680">
        <v>108710.422135965</v>
      </c>
      <c r="E1030" s="681">
        <v>17112.076785314199</v>
      </c>
      <c r="F1030" s="682">
        <v>1.06923205159308</v>
      </c>
      <c r="G1030" s="683">
        <v>0.167242498804757</v>
      </c>
    </row>
    <row r="1031" spans="1:7" x14ac:dyDescent="0.3">
      <c r="A1031" s="11" t="s">
        <v>3034</v>
      </c>
      <c r="B1031" s="11"/>
      <c r="C1031" s="684">
        <v>161</v>
      </c>
      <c r="D1031" s="684">
        <v>108010.025878758</v>
      </c>
      <c r="E1031" s="685">
        <v>16964.130999917499</v>
      </c>
      <c r="F1031" s="686">
        <v>1.0623432353019899</v>
      </c>
      <c r="G1031" s="687">
        <v>0.166865080547172</v>
      </c>
    </row>
    <row r="1032" spans="1:7" x14ac:dyDescent="0.3">
      <c r="A1032" s="6" t="s">
        <v>3069</v>
      </c>
      <c r="B1032" s="6"/>
      <c r="C1032" s="680">
        <v>216</v>
      </c>
      <c r="D1032" s="680">
        <v>107372.12179958299</v>
      </c>
      <c r="E1032" s="681">
        <v>9979.4204594400107</v>
      </c>
      <c r="F1032" s="682">
        <v>1.05606906697577</v>
      </c>
      <c r="G1032" s="683">
        <v>9.8035835496217999E-2</v>
      </c>
    </row>
    <row r="1033" spans="1:7" x14ac:dyDescent="0.3">
      <c r="A1033" s="11" t="s">
        <v>1079</v>
      </c>
      <c r="B1033" s="11"/>
      <c r="C1033" s="684">
        <v>315</v>
      </c>
      <c r="D1033" s="684">
        <v>103609.76185447699</v>
      </c>
      <c r="E1033" s="685">
        <v>13804.171660378801</v>
      </c>
      <c r="F1033" s="686">
        <v>1.01906400560358</v>
      </c>
      <c r="G1033" s="687">
        <v>0.135951805908269</v>
      </c>
    </row>
    <row r="1034" spans="1:7" x14ac:dyDescent="0.3">
      <c r="A1034" s="6" t="s">
        <v>3067</v>
      </c>
      <c r="B1034" s="6"/>
      <c r="C1034" s="680">
        <v>217</v>
      </c>
      <c r="D1034" s="680">
        <v>100831.830634243</v>
      </c>
      <c r="E1034" s="681">
        <v>13787.4781323064</v>
      </c>
      <c r="F1034" s="682">
        <v>0.99174138980065696</v>
      </c>
      <c r="G1034" s="683">
        <v>0.13631691566371601</v>
      </c>
    </row>
    <row r="1035" spans="1:7" x14ac:dyDescent="0.3">
      <c r="A1035" s="11" t="s">
        <v>3038</v>
      </c>
      <c r="B1035" s="11"/>
      <c r="C1035" s="684">
        <v>160</v>
      </c>
      <c r="D1035" s="684">
        <v>98901.311790905398</v>
      </c>
      <c r="E1035" s="685">
        <v>8797.9571863838592</v>
      </c>
      <c r="F1035" s="686">
        <v>0.97275358179712101</v>
      </c>
      <c r="G1035" s="687">
        <v>8.7179973060701799E-2</v>
      </c>
    </row>
    <row r="1036" spans="1:7" x14ac:dyDescent="0.3">
      <c r="A1036" s="6" t="s">
        <v>3176</v>
      </c>
      <c r="B1036" s="6"/>
      <c r="C1036" s="680">
        <v>336</v>
      </c>
      <c r="D1036" s="680">
        <v>94419.300478472898</v>
      </c>
      <c r="E1036" s="681">
        <v>7323.8224609933204</v>
      </c>
      <c r="F1036" s="682">
        <v>0.92867031860399496</v>
      </c>
      <c r="G1036" s="683">
        <v>7.1866195837081107E-2</v>
      </c>
    </row>
    <row r="1037" spans="1:7" x14ac:dyDescent="0.3">
      <c r="A1037" s="11" t="s">
        <v>6282</v>
      </c>
      <c r="B1037" s="11"/>
      <c r="C1037" s="684">
        <v>316</v>
      </c>
      <c r="D1037" s="684">
        <v>88991.7016316316</v>
      </c>
      <c r="E1037" s="685">
        <v>11101.0474215659</v>
      </c>
      <c r="F1037" s="686">
        <v>0.87528663619152003</v>
      </c>
      <c r="G1037" s="687">
        <v>0.10869342646752</v>
      </c>
    </row>
    <row r="1038" spans="1:7" x14ac:dyDescent="0.3">
      <c r="A1038" s="6" t="s">
        <v>1165</v>
      </c>
      <c r="B1038" s="6"/>
      <c r="C1038" s="680">
        <v>288</v>
      </c>
      <c r="D1038" s="680">
        <v>87430.388359062606</v>
      </c>
      <c r="E1038" s="681">
        <v>11397.176393916299</v>
      </c>
      <c r="F1038" s="682">
        <v>0.85993018590085202</v>
      </c>
      <c r="G1038" s="683">
        <v>0.112445749838692</v>
      </c>
    </row>
    <row r="1039" spans="1:7" x14ac:dyDescent="0.3">
      <c r="A1039" s="11" t="s">
        <v>6465</v>
      </c>
      <c r="B1039" s="11"/>
      <c r="C1039" s="684">
        <v>289</v>
      </c>
      <c r="D1039" s="684">
        <v>86229.128739091102</v>
      </c>
      <c r="E1039" s="685">
        <v>5619.33726399225</v>
      </c>
      <c r="F1039" s="686">
        <v>0.84811507873153602</v>
      </c>
      <c r="G1039" s="687">
        <v>5.4711227328359202E-2</v>
      </c>
    </row>
    <row r="1040" spans="1:7" x14ac:dyDescent="0.3">
      <c r="A1040" s="6" t="s">
        <v>3174</v>
      </c>
      <c r="B1040" s="6"/>
      <c r="C1040" s="680">
        <v>289</v>
      </c>
      <c r="D1040" s="680">
        <v>84886.015209930294</v>
      </c>
      <c r="E1040" s="681">
        <v>7091.7385783821601</v>
      </c>
      <c r="F1040" s="682">
        <v>0.83490475348313598</v>
      </c>
      <c r="G1040" s="683">
        <v>6.9400052697677198E-2</v>
      </c>
    </row>
    <row r="1041" spans="1:7" x14ac:dyDescent="0.3">
      <c r="A1041" s="11" t="s">
        <v>1152</v>
      </c>
      <c r="B1041" s="11"/>
      <c r="C1041" s="684">
        <v>101</v>
      </c>
      <c r="D1041" s="684">
        <v>73895.451052543096</v>
      </c>
      <c r="E1041" s="685">
        <v>12729.6506317368</v>
      </c>
      <c r="F1041" s="686">
        <v>0.72680597848738804</v>
      </c>
      <c r="G1041" s="687">
        <v>0.12512661921479401</v>
      </c>
    </row>
    <row r="1042" spans="1:7" x14ac:dyDescent="0.3">
      <c r="A1042" s="6" t="s">
        <v>1089</v>
      </c>
      <c r="B1042" s="6"/>
      <c r="C1042" s="680">
        <v>250</v>
      </c>
      <c r="D1042" s="680">
        <v>68632.077244179905</v>
      </c>
      <c r="E1042" s="681">
        <v>7098.7590154350601</v>
      </c>
      <c r="F1042" s="682">
        <v>0.67503754759693602</v>
      </c>
      <c r="G1042" s="683">
        <v>6.9801398372636297E-2</v>
      </c>
    </row>
    <row r="1043" spans="1:7" x14ac:dyDescent="0.3">
      <c r="A1043" s="11" t="s">
        <v>1087</v>
      </c>
      <c r="B1043" s="11"/>
      <c r="C1043" s="684">
        <v>215</v>
      </c>
      <c r="D1043" s="684">
        <v>67717.940142339794</v>
      </c>
      <c r="E1043" s="685">
        <v>8998.2036985989998</v>
      </c>
      <c r="F1043" s="686">
        <v>0.66604646220113695</v>
      </c>
      <c r="G1043" s="687">
        <v>8.9376115067917497E-2</v>
      </c>
    </row>
    <row r="1044" spans="1:7" x14ac:dyDescent="0.3">
      <c r="A1044" s="6" t="s">
        <v>3083</v>
      </c>
      <c r="B1044" s="6"/>
      <c r="C1044" s="680">
        <v>178</v>
      </c>
      <c r="D1044" s="680">
        <v>60417.709158049802</v>
      </c>
      <c r="E1044" s="681">
        <v>7947.4259758185699</v>
      </c>
      <c r="F1044" s="682">
        <v>0.59424432217565504</v>
      </c>
      <c r="G1044" s="683">
        <v>7.7980265122596606E-2</v>
      </c>
    </row>
    <row r="1045" spans="1:7" x14ac:dyDescent="0.3">
      <c r="A1045" s="11" t="s">
        <v>1091</v>
      </c>
      <c r="B1045" s="11"/>
      <c r="C1045" s="684">
        <v>254</v>
      </c>
      <c r="D1045" s="684">
        <v>60149.9251893404</v>
      </c>
      <c r="E1045" s="685">
        <v>8285.0588559157204</v>
      </c>
      <c r="F1045" s="686">
        <v>0.59161050660745895</v>
      </c>
      <c r="G1045" s="687">
        <v>8.1891645156982704E-2</v>
      </c>
    </row>
    <row r="1046" spans="1:7" x14ac:dyDescent="0.3">
      <c r="A1046" s="6" t="s">
        <v>1093</v>
      </c>
      <c r="B1046" s="6"/>
      <c r="C1046" s="680">
        <v>200</v>
      </c>
      <c r="D1046" s="680">
        <v>55241.655248862902</v>
      </c>
      <c r="E1046" s="681">
        <v>8266.5381009716803</v>
      </c>
      <c r="F1046" s="682">
        <v>0.54333473474387795</v>
      </c>
      <c r="G1046" s="683">
        <v>8.1821865592091203E-2</v>
      </c>
    </row>
    <row r="1047" spans="1:7" x14ac:dyDescent="0.3">
      <c r="A1047" s="11" t="s">
        <v>3186</v>
      </c>
      <c r="B1047" s="11"/>
      <c r="C1047" s="684">
        <v>155</v>
      </c>
      <c r="D1047" s="684">
        <v>48397.381243167998</v>
      </c>
      <c r="E1047" s="685">
        <v>6648.2431558482604</v>
      </c>
      <c r="F1047" s="686">
        <v>0.47601720443734002</v>
      </c>
      <c r="G1047" s="687">
        <v>6.5269800733873007E-2</v>
      </c>
    </row>
    <row r="1048" spans="1:7" x14ac:dyDescent="0.3">
      <c r="A1048" s="6" t="s">
        <v>6287</v>
      </c>
      <c r="B1048" s="6"/>
      <c r="C1048" s="680">
        <v>141</v>
      </c>
      <c r="D1048" s="680">
        <v>42824.065623586997</v>
      </c>
      <c r="E1048" s="681">
        <v>4984.73659385271</v>
      </c>
      <c r="F1048" s="682">
        <v>0.421200310371311</v>
      </c>
      <c r="G1048" s="683">
        <v>4.9217236156622102E-2</v>
      </c>
    </row>
    <row r="1049" spans="1:7" x14ac:dyDescent="0.3">
      <c r="A1049" s="11" t="s">
        <v>3184</v>
      </c>
      <c r="B1049" s="11"/>
      <c r="C1049" s="684">
        <v>154</v>
      </c>
      <c r="D1049" s="684">
        <v>39588.870564605102</v>
      </c>
      <c r="E1049" s="685">
        <v>3589.5427479568498</v>
      </c>
      <c r="F1049" s="686">
        <v>0.38938023109783998</v>
      </c>
      <c r="G1049" s="687">
        <v>3.4908687436173501E-2</v>
      </c>
    </row>
    <row r="1050" spans="1:7" x14ac:dyDescent="0.3">
      <c r="A1050" s="6" t="s">
        <v>1167</v>
      </c>
      <c r="B1050" s="6"/>
      <c r="C1050" s="680">
        <v>133</v>
      </c>
      <c r="D1050" s="680">
        <v>38263.986657173198</v>
      </c>
      <c r="E1050" s="681">
        <v>4675.1862154403798</v>
      </c>
      <c r="F1050" s="682">
        <v>0.37634920508733999</v>
      </c>
      <c r="G1050" s="683">
        <v>4.5719699733056597E-2</v>
      </c>
    </row>
    <row r="1051" spans="1:7" x14ac:dyDescent="0.3">
      <c r="A1051" s="11" t="s">
        <v>6284</v>
      </c>
      <c r="B1051" s="11"/>
      <c r="C1051" s="684">
        <v>150</v>
      </c>
      <c r="D1051" s="684">
        <v>38137.196085485302</v>
      </c>
      <c r="E1051" s="685">
        <v>5778.3366460981997</v>
      </c>
      <c r="F1051" s="686">
        <v>0.37510214394614699</v>
      </c>
      <c r="G1051" s="687">
        <v>5.6703808130202503E-2</v>
      </c>
    </row>
    <row r="1052" spans="1:7" x14ac:dyDescent="0.3">
      <c r="A1052" s="6" t="s">
        <v>1099</v>
      </c>
      <c r="B1052" s="6"/>
      <c r="C1052" s="680">
        <v>86</v>
      </c>
      <c r="D1052" s="680">
        <v>30329.3307467472</v>
      </c>
      <c r="E1052" s="681">
        <v>3454.68894262814</v>
      </c>
      <c r="F1052" s="682">
        <v>0.29830711628762102</v>
      </c>
      <c r="G1052" s="683">
        <v>3.4078996025026898E-2</v>
      </c>
    </row>
    <row r="1053" spans="1:7" x14ac:dyDescent="0.3">
      <c r="A1053" s="11" t="s">
        <v>1095</v>
      </c>
      <c r="B1053" s="11"/>
      <c r="C1053" s="684">
        <v>105</v>
      </c>
      <c r="D1053" s="684">
        <v>29478.489759428201</v>
      </c>
      <c r="E1053" s="685">
        <v>3793.2113829599298</v>
      </c>
      <c r="F1053" s="686">
        <v>0.28993858605311701</v>
      </c>
      <c r="G1053" s="687">
        <v>3.7115918758740797E-2</v>
      </c>
    </row>
    <row r="1054" spans="1:7" x14ac:dyDescent="0.3">
      <c r="A1054" s="6" t="s">
        <v>1097</v>
      </c>
      <c r="B1054" s="6"/>
      <c r="C1054" s="680">
        <v>104</v>
      </c>
      <c r="D1054" s="680">
        <v>24452.2667086236</v>
      </c>
      <c r="E1054" s="681">
        <v>2844.2661504595799</v>
      </c>
      <c r="F1054" s="682">
        <v>0.240502674768964</v>
      </c>
      <c r="G1054" s="683">
        <v>2.7919954848340301E-2</v>
      </c>
    </row>
    <row r="1055" spans="1:7" x14ac:dyDescent="0.3">
      <c r="A1055" s="11" t="s">
        <v>1101</v>
      </c>
      <c r="B1055" s="11"/>
      <c r="C1055" s="684">
        <v>75</v>
      </c>
      <c r="D1055" s="684">
        <v>22704.879328148902</v>
      </c>
      <c r="E1055" s="685">
        <v>3338.3571340004601</v>
      </c>
      <c r="F1055" s="686">
        <v>0.22331607428445899</v>
      </c>
      <c r="G1055" s="687">
        <v>3.2697212119679402E-2</v>
      </c>
    </row>
    <row r="1056" spans="1:7" x14ac:dyDescent="0.3">
      <c r="A1056" s="6" t="s">
        <v>3199</v>
      </c>
      <c r="B1056" s="6"/>
      <c r="C1056" s="680">
        <v>43</v>
      </c>
      <c r="D1056" s="680">
        <v>18192.912238580899</v>
      </c>
      <c r="E1056" s="681">
        <v>4284.3458193264496</v>
      </c>
      <c r="F1056" s="682">
        <v>0.17893817809833801</v>
      </c>
      <c r="G1056" s="683">
        <v>4.2204674047492098E-2</v>
      </c>
    </row>
    <row r="1057" spans="1:7" x14ac:dyDescent="0.3">
      <c r="A1057" s="11" t="s">
        <v>3193</v>
      </c>
      <c r="B1057" s="11"/>
      <c r="C1057" s="684">
        <v>62</v>
      </c>
      <c r="D1057" s="684">
        <v>15526.8422613087</v>
      </c>
      <c r="E1057" s="685">
        <v>3163.9468464326101</v>
      </c>
      <c r="F1057" s="686">
        <v>0.15271578455520399</v>
      </c>
      <c r="G1057" s="687">
        <v>3.11653169568466E-2</v>
      </c>
    </row>
    <row r="1058" spans="1:7" x14ac:dyDescent="0.3">
      <c r="A1058" s="6" t="s">
        <v>3195</v>
      </c>
      <c r="B1058" s="6"/>
      <c r="C1058" s="680">
        <v>56</v>
      </c>
      <c r="D1058" s="680">
        <v>13855.5556943517</v>
      </c>
      <c r="E1058" s="681">
        <v>2912.0376920047302</v>
      </c>
      <c r="F1058" s="682">
        <v>0.136277681108669</v>
      </c>
      <c r="G1058" s="683">
        <v>2.8797850483486501E-2</v>
      </c>
    </row>
    <row r="1059" spans="1:7" x14ac:dyDescent="0.3">
      <c r="A1059" s="11" t="s">
        <v>3201</v>
      </c>
      <c r="B1059" s="11"/>
      <c r="C1059" s="684">
        <v>37</v>
      </c>
      <c r="D1059" s="684">
        <v>10990.091792790699</v>
      </c>
      <c r="E1059" s="685">
        <v>4196.2242004522795</v>
      </c>
      <c r="F1059" s="686">
        <v>0.108094129007289</v>
      </c>
      <c r="G1059" s="687">
        <v>4.1200104051082098E-2</v>
      </c>
    </row>
    <row r="1060" spans="1:7" x14ac:dyDescent="0.3">
      <c r="A1060" s="6" t="s">
        <v>3197</v>
      </c>
      <c r="B1060" s="6"/>
      <c r="C1060" s="680">
        <v>49</v>
      </c>
      <c r="D1060" s="680">
        <v>10776.4533980705</v>
      </c>
      <c r="E1060" s="681">
        <v>1866.43591880794</v>
      </c>
      <c r="F1060" s="682">
        <v>0.105992867558778</v>
      </c>
      <c r="G1060" s="683">
        <v>1.83200691822153E-2</v>
      </c>
    </row>
    <row r="1061" spans="1:7" x14ac:dyDescent="0.3">
      <c r="A1061" s="11" t="s">
        <v>1169</v>
      </c>
      <c r="B1061" s="11"/>
      <c r="C1061" s="684">
        <v>23</v>
      </c>
      <c r="D1061" s="684">
        <v>10692.754749920899</v>
      </c>
      <c r="E1061" s="685">
        <v>3006.0406796708899</v>
      </c>
      <c r="F1061" s="686">
        <v>0.10516964127082699</v>
      </c>
      <c r="G1061" s="687">
        <v>2.95916381458903E-2</v>
      </c>
    </row>
    <row r="1062" spans="1:7" x14ac:dyDescent="0.3">
      <c r="A1062" s="6" t="s">
        <v>1103</v>
      </c>
      <c r="B1062" s="6"/>
      <c r="C1062" s="680">
        <v>18</v>
      </c>
      <c r="D1062" s="680">
        <v>4838.4451993972998</v>
      </c>
      <c r="E1062" s="681">
        <v>1252.0370734199801</v>
      </c>
      <c r="F1062" s="682">
        <v>4.75890037534933E-2</v>
      </c>
      <c r="G1062" s="683">
        <v>1.23319219031047E-2</v>
      </c>
    </row>
    <row r="1063" spans="1:7" x14ac:dyDescent="0.3">
      <c r="A1063" s="11" t="s">
        <v>1105</v>
      </c>
      <c r="B1063" s="11"/>
      <c r="C1063" s="684">
        <v>16</v>
      </c>
      <c r="D1063" s="684">
        <v>4634.2494223376998</v>
      </c>
      <c r="E1063" s="685">
        <v>1337.2064086599801</v>
      </c>
      <c r="F1063" s="686">
        <v>4.5580616099924899E-2</v>
      </c>
      <c r="G1063" s="687">
        <v>1.31155588357204E-2</v>
      </c>
    </row>
    <row r="1064" spans="1:7" x14ac:dyDescent="0.3">
      <c r="A1064" s="6" t="s">
        <v>1107</v>
      </c>
      <c r="B1064" s="6"/>
      <c r="C1064" s="680">
        <v>10</v>
      </c>
      <c r="D1064" s="680">
        <v>4010.19379435773</v>
      </c>
      <c r="E1064" s="681">
        <v>2214.9835070357899</v>
      </c>
      <c r="F1064" s="682">
        <v>3.9442655577807899E-2</v>
      </c>
      <c r="G1064" s="683">
        <v>2.17947127693656E-2</v>
      </c>
    </row>
    <row r="1065" spans="1:7" x14ac:dyDescent="0.3">
      <c r="A1065" s="11" t="s">
        <v>6466</v>
      </c>
      <c r="B1065" s="11"/>
      <c r="C1065" s="684">
        <v>6</v>
      </c>
      <c r="D1065" s="684">
        <v>2772.6827925504299</v>
      </c>
      <c r="E1065" s="685">
        <v>963.00178636525402</v>
      </c>
      <c r="F1065" s="686">
        <v>2.72709943761201E-2</v>
      </c>
      <c r="G1065" s="687">
        <v>9.4399624183104901E-3</v>
      </c>
    </row>
    <row r="1066" spans="1:7" x14ac:dyDescent="0.3">
      <c r="A1066" s="6" t="s">
        <v>1171</v>
      </c>
      <c r="B1066" s="6"/>
      <c r="C1066" s="680">
        <v>9</v>
      </c>
      <c r="D1066" s="680">
        <v>2316.1987454902201</v>
      </c>
      <c r="E1066" s="681">
        <v>950.84556093361698</v>
      </c>
      <c r="F1066" s="682">
        <v>2.2781200623435999E-2</v>
      </c>
      <c r="G1066" s="683">
        <v>9.3552113004316401E-3</v>
      </c>
    </row>
    <row r="1067" spans="1:7" x14ac:dyDescent="0.3">
      <c r="A1067" s="11" t="s">
        <v>3210</v>
      </c>
      <c r="B1067" s="11"/>
      <c r="C1067" s="684">
        <v>2</v>
      </c>
      <c r="D1067" s="684">
        <v>2254.8587120700499</v>
      </c>
      <c r="E1067" s="685">
        <v>2268.95501568277</v>
      </c>
      <c r="F1067" s="686">
        <v>2.21778846902442E-2</v>
      </c>
      <c r="G1067" s="687">
        <v>2.2313669539219701E-2</v>
      </c>
    </row>
    <row r="1068" spans="1:7" x14ac:dyDescent="0.3">
      <c r="A1068" s="6" t="s">
        <v>3208</v>
      </c>
      <c r="B1068" s="6"/>
      <c r="C1068" s="680">
        <v>2</v>
      </c>
      <c r="D1068" s="680">
        <v>1619.5688584853999</v>
      </c>
      <c r="E1068" s="681">
        <v>1621.9096862881299</v>
      </c>
      <c r="F1068" s="682">
        <v>1.5929428836995701E-2</v>
      </c>
      <c r="G1068" s="683">
        <v>1.5954288379649201E-2</v>
      </c>
    </row>
    <row r="1069" spans="1:7" x14ac:dyDescent="0.3">
      <c r="A1069" s="11" t="s">
        <v>1109</v>
      </c>
      <c r="B1069" s="11"/>
      <c r="C1069" s="684">
        <v>5</v>
      </c>
      <c r="D1069" s="684">
        <v>859.62489171292805</v>
      </c>
      <c r="E1069" s="685">
        <v>555.84170177695</v>
      </c>
      <c r="F1069" s="686">
        <v>8.4549251903108507E-3</v>
      </c>
      <c r="G1069" s="687">
        <v>5.4643249231444303E-3</v>
      </c>
    </row>
    <row r="1070" spans="1:7" x14ac:dyDescent="0.3">
      <c r="A1070" s="6" t="s">
        <v>4286</v>
      </c>
      <c r="B1070" s="6"/>
      <c r="C1070" s="680">
        <v>1</v>
      </c>
      <c r="D1070" s="680">
        <v>224.281553883871</v>
      </c>
      <c r="E1070" s="681">
        <v>224.69715845005001</v>
      </c>
      <c r="F1070" s="682">
        <v>2.2059432875148298E-3</v>
      </c>
      <c r="G1070" s="683">
        <v>2.2101858000948601E-3</v>
      </c>
    </row>
    <row r="1071" spans="1:7" x14ac:dyDescent="0.3">
      <c r="A1071" s="11" t="s">
        <v>958</v>
      </c>
      <c r="B1071" s="11" t="s">
        <v>959</v>
      </c>
      <c r="C1071" s="684">
        <v>44</v>
      </c>
      <c r="D1071" s="684">
        <v>41959.266377573796</v>
      </c>
      <c r="E1071" s="685">
        <v>20162.2970011408</v>
      </c>
      <c r="F1071" s="686">
        <v>87.945723476876694</v>
      </c>
      <c r="G1071" s="687">
        <v>13.587798527379199</v>
      </c>
    </row>
    <row r="1072" spans="1:7" x14ac:dyDescent="0.3">
      <c r="A1072" s="6" t="s">
        <v>956</v>
      </c>
      <c r="B1072" s="6" t="s">
        <v>957</v>
      </c>
      <c r="C1072" s="680">
        <v>6</v>
      </c>
      <c r="D1072" s="680">
        <v>5751.1449065019297</v>
      </c>
      <c r="E1072" s="681">
        <v>4878.4895065631599</v>
      </c>
      <c r="F1072" s="682">
        <v>12.0542765231234</v>
      </c>
      <c r="G1072" s="683">
        <v>13.587798527379199</v>
      </c>
    </row>
    <row r="1073" spans="1:7" x14ac:dyDescent="0.3">
      <c r="A1073" s="11" t="s">
        <v>6269</v>
      </c>
      <c r="B1073" s="11" t="s">
        <v>6270</v>
      </c>
      <c r="C1073" s="684">
        <v>18520</v>
      </c>
      <c r="D1073" s="684">
        <v>10167149.5887159</v>
      </c>
      <c r="E1073" s="685">
        <v>18832.860768366299</v>
      </c>
      <c r="F1073" s="686">
        <v>99.532931324716401</v>
      </c>
      <c r="G1073" s="687">
        <v>0.18436729204674501</v>
      </c>
    </row>
    <row r="1074" spans="1:7" x14ac:dyDescent="0.3">
      <c r="A1074" s="6" t="s">
        <v>6269</v>
      </c>
      <c r="B1074" s="6" t="s">
        <v>6271</v>
      </c>
      <c r="C1074" s="680">
        <v>18570</v>
      </c>
      <c r="D1074" s="680">
        <v>10214860</v>
      </c>
      <c r="E1074" s="681">
        <v>0</v>
      </c>
      <c r="F1074" s="682">
        <v>100</v>
      </c>
      <c r="G1074" s="683">
        <v>0</v>
      </c>
    </row>
    <row r="1075" spans="1:7" x14ac:dyDescent="0.3">
      <c r="A1075" s="3299" t="s">
        <v>12</v>
      </c>
      <c r="B1075" s="3298"/>
      <c r="C1075" s="3298"/>
      <c r="D1075" s="3298"/>
      <c r="E1075" s="3298"/>
      <c r="F1075" s="3298"/>
      <c r="G1075" s="3298"/>
    </row>
    <row r="1076" spans="1:7" x14ac:dyDescent="0.3">
      <c r="A1076" s="11" t="s">
        <v>968</v>
      </c>
      <c r="B1076" s="11" t="s">
        <v>969</v>
      </c>
      <c r="C1076" s="692">
        <v>26</v>
      </c>
      <c r="D1076" s="692">
        <v>29578.780619792899</v>
      </c>
      <c r="E1076" s="693">
        <v>14222.8314390508</v>
      </c>
      <c r="F1076" s="694">
        <v>63.473386494837499</v>
      </c>
      <c r="G1076" s="695">
        <v>10.4684999903576</v>
      </c>
    </row>
    <row r="1077" spans="1:7" x14ac:dyDescent="0.3">
      <c r="A1077" s="6" t="s">
        <v>964</v>
      </c>
      <c r="B1077" s="6" t="s">
        <v>965</v>
      </c>
      <c r="C1077" s="688">
        <v>7</v>
      </c>
      <c r="D1077" s="688">
        <v>7645.5999185986902</v>
      </c>
      <c r="E1077" s="689">
        <v>3028.2073223267698</v>
      </c>
      <c r="F1077" s="690">
        <v>16.406765541016799</v>
      </c>
      <c r="G1077" s="691">
        <v>8.0508854218593608</v>
      </c>
    </row>
    <row r="1078" spans="1:7" x14ac:dyDescent="0.3">
      <c r="A1078" s="11" t="s">
        <v>970</v>
      </c>
      <c r="B1078" s="11" t="s">
        <v>971</v>
      </c>
      <c r="C1078" s="692">
        <v>7</v>
      </c>
      <c r="D1078" s="692">
        <v>4818.6754039424404</v>
      </c>
      <c r="E1078" s="693">
        <v>2071.5360609798299</v>
      </c>
      <c r="F1078" s="694">
        <v>10.340441353520101</v>
      </c>
      <c r="G1078" s="695">
        <v>7.0745873965637101</v>
      </c>
    </row>
    <row r="1079" spans="1:7" x14ac:dyDescent="0.3">
      <c r="A1079" s="6" t="s">
        <v>962</v>
      </c>
      <c r="B1079" s="6" t="s">
        <v>963</v>
      </c>
      <c r="C1079" s="688">
        <v>5</v>
      </c>
      <c r="D1079" s="688">
        <v>3116.6798570995902</v>
      </c>
      <c r="E1079" s="689">
        <v>1677.06985939011</v>
      </c>
      <c r="F1079" s="690">
        <v>6.6881129311321201</v>
      </c>
      <c r="G1079" s="691">
        <v>1.99236682143091</v>
      </c>
    </row>
    <row r="1080" spans="1:7" x14ac:dyDescent="0.3">
      <c r="A1080" s="11" t="s">
        <v>966</v>
      </c>
      <c r="B1080" s="11" t="s">
        <v>967</v>
      </c>
      <c r="C1080" s="692">
        <v>1</v>
      </c>
      <c r="D1080" s="692">
        <v>1440.5517434385999</v>
      </c>
      <c r="E1080" s="693">
        <v>1445.0176812518</v>
      </c>
      <c r="F1080" s="694">
        <v>3.0912936794934902</v>
      </c>
      <c r="G1080" s="695">
        <v>2.9891725479531202</v>
      </c>
    </row>
    <row r="1081" spans="1:7" x14ac:dyDescent="0.3">
      <c r="A1081" s="6" t="s">
        <v>960</v>
      </c>
      <c r="B1081" s="6" t="s">
        <v>961</v>
      </c>
      <c r="C1081" s="688">
        <v>18520</v>
      </c>
      <c r="D1081" s="688">
        <v>10167149.5887159</v>
      </c>
      <c r="E1081" s="689">
        <v>18832.8607683398</v>
      </c>
      <c r="F1081" s="690">
        <v>99.989082460788794</v>
      </c>
      <c r="G1081" s="691">
        <v>8.3371921157017904E-3</v>
      </c>
    </row>
    <row r="1082" spans="1:7" x14ac:dyDescent="0.3">
      <c r="A1082" s="11" t="s">
        <v>958</v>
      </c>
      <c r="B1082" s="11" t="s">
        <v>959</v>
      </c>
      <c r="C1082" s="692">
        <v>3</v>
      </c>
      <c r="D1082" s="692">
        <v>1110.12374120348</v>
      </c>
      <c r="E1082" s="693">
        <v>847.29535397462701</v>
      </c>
      <c r="F1082" s="694">
        <v>1.0917539211193299E-2</v>
      </c>
      <c r="G1082" s="695">
        <v>8.3371921157058201E-3</v>
      </c>
    </row>
    <row r="1083" spans="1:7" x14ac:dyDescent="0.3">
      <c r="A1083" s="6" t="s">
        <v>6269</v>
      </c>
      <c r="B1083" s="6" t="s">
        <v>6270</v>
      </c>
      <c r="C1083" s="688">
        <v>46</v>
      </c>
      <c r="D1083" s="688">
        <v>46600.287542872204</v>
      </c>
      <c r="E1083" s="689">
        <v>18217.304694091199</v>
      </c>
      <c r="F1083" s="690">
        <v>0.45620094198914202</v>
      </c>
      <c r="G1083" s="691">
        <v>0.17834120775116899</v>
      </c>
    </row>
    <row r="1084" spans="1:7" x14ac:dyDescent="0.3">
      <c r="A1084" s="11" t="s">
        <v>6269</v>
      </c>
      <c r="B1084" s="11" t="s">
        <v>6271</v>
      </c>
      <c r="C1084" s="692">
        <v>18569</v>
      </c>
      <c r="D1084" s="692">
        <v>10214860</v>
      </c>
      <c r="E1084" s="693">
        <v>0</v>
      </c>
      <c r="F1084" s="694">
        <v>100</v>
      </c>
      <c r="G1084" s="695">
        <v>0</v>
      </c>
    </row>
    <row r="1085" spans="1:7" x14ac:dyDescent="0.3">
      <c r="A1085" s="3299" t="s">
        <v>157</v>
      </c>
      <c r="B1085" s="3298"/>
      <c r="C1085" s="3298"/>
      <c r="D1085" s="3298"/>
      <c r="E1085" s="3298"/>
      <c r="F1085" s="3298"/>
      <c r="G1085" s="3298"/>
    </row>
    <row r="1086" spans="1:7" x14ac:dyDescent="0.3">
      <c r="A1086" s="11" t="s">
        <v>962</v>
      </c>
      <c r="B1086" s="11" t="s">
        <v>1039</v>
      </c>
      <c r="C1086" s="700">
        <v>14317</v>
      </c>
      <c r="D1086" s="700">
        <v>7030889.9006011002</v>
      </c>
      <c r="E1086" s="701">
        <v>42329.344558542303</v>
      </c>
      <c r="F1086" s="702">
        <v>68.839739813317607</v>
      </c>
      <c r="G1086" s="703">
        <v>0.413637521121134</v>
      </c>
    </row>
    <row r="1087" spans="1:7" x14ac:dyDescent="0.3">
      <c r="A1087" s="6" t="s">
        <v>964</v>
      </c>
      <c r="B1087" s="6" t="s">
        <v>1040</v>
      </c>
      <c r="C1087" s="696">
        <v>4240</v>
      </c>
      <c r="D1087" s="696">
        <v>3182527.4070002302</v>
      </c>
      <c r="E1087" s="697">
        <v>42213.263761385897</v>
      </c>
      <c r="F1087" s="698">
        <v>31.1602601866824</v>
      </c>
      <c r="G1087" s="699">
        <v>0.41363752112112401</v>
      </c>
    </row>
    <row r="1088" spans="1:7" x14ac:dyDescent="0.3">
      <c r="A1088" s="11" t="s">
        <v>956</v>
      </c>
      <c r="B1088" s="11" t="s">
        <v>957</v>
      </c>
      <c r="C1088" s="700">
        <v>5</v>
      </c>
      <c r="D1088" s="700">
        <v>1092.44864543674</v>
      </c>
      <c r="E1088" s="701">
        <v>1104.73411020961</v>
      </c>
      <c r="F1088" s="702">
        <v>75.722908530392203</v>
      </c>
      <c r="G1088" s="703">
        <v>70.600947074775505</v>
      </c>
    </row>
    <row r="1089" spans="1:7" x14ac:dyDescent="0.3">
      <c r="A1089" s="6" t="s">
        <v>958</v>
      </c>
      <c r="B1089" s="6" t="s">
        <v>959</v>
      </c>
      <c r="C1089" s="696">
        <v>8</v>
      </c>
      <c r="D1089" s="696">
        <v>350.24375325562397</v>
      </c>
      <c r="E1089" s="697">
        <v>180.15386750784</v>
      </c>
      <c r="F1089" s="698">
        <v>24.2770914696078</v>
      </c>
      <c r="G1089" s="699">
        <v>70.600947074775505</v>
      </c>
    </row>
    <row r="1090" spans="1:7" x14ac:dyDescent="0.3">
      <c r="A1090" s="11" t="s">
        <v>6269</v>
      </c>
      <c r="B1090" s="11" t="s">
        <v>6270</v>
      </c>
      <c r="C1090" s="700">
        <v>18557</v>
      </c>
      <c r="D1090" s="700">
        <v>10213417.307601299</v>
      </c>
      <c r="E1090" s="701">
        <v>1226.11857953606</v>
      </c>
      <c r="F1090" s="702">
        <v>99.985876532828698</v>
      </c>
      <c r="G1090" s="703">
        <v>1.2003283251198101E-2</v>
      </c>
    </row>
    <row r="1091" spans="1:7" x14ac:dyDescent="0.3">
      <c r="A1091" s="6" t="s">
        <v>6269</v>
      </c>
      <c r="B1091" s="6" t="s">
        <v>6271</v>
      </c>
      <c r="C1091" s="696">
        <v>18570</v>
      </c>
      <c r="D1091" s="696">
        <v>10214860</v>
      </c>
      <c r="E1091" s="697">
        <v>0</v>
      </c>
      <c r="F1091" s="698">
        <v>100</v>
      </c>
      <c r="G1091" s="699">
        <v>0</v>
      </c>
    </row>
    <row r="1092" spans="1:7" x14ac:dyDescent="0.3">
      <c r="A1092" s="3299" t="s">
        <v>166</v>
      </c>
      <c r="B1092" s="3298"/>
      <c r="C1092" s="3298"/>
      <c r="D1092" s="3298"/>
      <c r="E1092" s="3298"/>
      <c r="F1092" s="3298"/>
      <c r="G1092" s="3298"/>
    </row>
    <row r="1093" spans="1:7" x14ac:dyDescent="0.3">
      <c r="A1093" s="11" t="s">
        <v>962</v>
      </c>
      <c r="B1093" s="11" t="s">
        <v>1136</v>
      </c>
      <c r="C1093" s="708">
        <v>4079</v>
      </c>
      <c r="D1093" s="708">
        <v>3000078.7933752299</v>
      </c>
      <c r="E1093" s="709">
        <v>36418.502067354901</v>
      </c>
      <c r="F1093" s="710">
        <v>29.4454227104628</v>
      </c>
      <c r="G1093" s="711">
        <v>0.35767583736661201</v>
      </c>
    </row>
    <row r="1094" spans="1:7" x14ac:dyDescent="0.3">
      <c r="A1094" s="6" t="s">
        <v>966</v>
      </c>
      <c r="B1094" s="6" t="s">
        <v>1138</v>
      </c>
      <c r="C1094" s="704">
        <v>4479</v>
      </c>
      <c r="D1094" s="704">
        <v>2289865.91745929</v>
      </c>
      <c r="E1094" s="705">
        <v>34666.942700953899</v>
      </c>
      <c r="F1094" s="706">
        <v>22.474766342391</v>
      </c>
      <c r="G1094" s="707">
        <v>0.35002931770420698</v>
      </c>
    </row>
    <row r="1095" spans="1:7" x14ac:dyDescent="0.3">
      <c r="A1095" s="11" t="s">
        <v>964</v>
      </c>
      <c r="B1095" s="11" t="s">
        <v>1137</v>
      </c>
      <c r="C1095" s="708">
        <v>3425</v>
      </c>
      <c r="D1095" s="708">
        <v>1934459.2494292001</v>
      </c>
      <c r="E1095" s="709">
        <v>59901.832852913198</v>
      </c>
      <c r="F1095" s="710">
        <v>18.9864914352878</v>
      </c>
      <c r="G1095" s="711">
        <v>0.57732701755664695</v>
      </c>
    </row>
    <row r="1096" spans="1:7" x14ac:dyDescent="0.3">
      <c r="A1096" s="6" t="s">
        <v>968</v>
      </c>
      <c r="B1096" s="6" t="s">
        <v>1139</v>
      </c>
      <c r="C1096" s="704">
        <v>3419</v>
      </c>
      <c r="D1096" s="704">
        <v>1681296.86302987</v>
      </c>
      <c r="E1096" s="705">
        <v>37596.241154447103</v>
      </c>
      <c r="F1096" s="706">
        <v>16.5017322021707</v>
      </c>
      <c r="G1096" s="707">
        <v>0.377177976425428</v>
      </c>
    </row>
    <row r="1097" spans="1:7" x14ac:dyDescent="0.3">
      <c r="A1097" s="11" t="s">
        <v>970</v>
      </c>
      <c r="B1097" s="11" t="s">
        <v>1140</v>
      </c>
      <c r="C1097" s="708">
        <v>3142</v>
      </c>
      <c r="D1097" s="708">
        <v>1282907.5144947399</v>
      </c>
      <c r="E1097" s="709">
        <v>39339.156367236799</v>
      </c>
      <c r="F1097" s="710">
        <v>12.591587309687799</v>
      </c>
      <c r="G1097" s="711">
        <v>0.38401039781330298</v>
      </c>
    </row>
    <row r="1098" spans="1:7" x14ac:dyDescent="0.3">
      <c r="A1098" s="6" t="s">
        <v>958</v>
      </c>
      <c r="B1098" s="6" t="s">
        <v>959</v>
      </c>
      <c r="C1098" s="704">
        <v>9</v>
      </c>
      <c r="D1098" s="704">
        <v>13607.6175531766</v>
      </c>
      <c r="E1098" s="705">
        <v>8904.0676102354901</v>
      </c>
      <c r="F1098" s="706">
        <v>51.835260729230697</v>
      </c>
      <c r="G1098" s="707">
        <v>23.8788289852986</v>
      </c>
    </row>
    <row r="1099" spans="1:7" x14ac:dyDescent="0.3">
      <c r="A1099" s="11" t="s">
        <v>956</v>
      </c>
      <c r="B1099" s="11" t="s">
        <v>957</v>
      </c>
      <c r="C1099" s="708">
        <v>17</v>
      </c>
      <c r="D1099" s="708">
        <v>12644.0446584944</v>
      </c>
      <c r="E1099" s="709">
        <v>4638.1473674985</v>
      </c>
      <c r="F1099" s="710">
        <v>48.164739270769303</v>
      </c>
      <c r="G1099" s="711">
        <v>23.8788289852986</v>
      </c>
    </row>
    <row r="1100" spans="1:7" x14ac:dyDescent="0.3">
      <c r="A1100" s="6" t="s">
        <v>6269</v>
      </c>
      <c r="B1100" s="6" t="s">
        <v>6270</v>
      </c>
      <c r="C1100" s="704">
        <v>18544</v>
      </c>
      <c r="D1100" s="704">
        <v>10188608.337788301</v>
      </c>
      <c r="E1100" s="705">
        <v>10382.044656824701</v>
      </c>
      <c r="F1100" s="706">
        <v>99.743005168825903</v>
      </c>
      <c r="G1100" s="707">
        <v>0.101636680843667</v>
      </c>
    </row>
    <row r="1101" spans="1:7" x14ac:dyDescent="0.3">
      <c r="A1101" s="11" t="s">
        <v>6269</v>
      </c>
      <c r="B1101" s="11" t="s">
        <v>6271</v>
      </c>
      <c r="C1101" s="708">
        <v>18570</v>
      </c>
      <c r="D1101" s="708">
        <v>10214860</v>
      </c>
      <c r="E1101" s="709">
        <v>0</v>
      </c>
      <c r="F1101" s="710">
        <v>100</v>
      </c>
      <c r="G1101" s="711">
        <v>0</v>
      </c>
    </row>
    <row r="1102" spans="1:7" x14ac:dyDescent="0.3">
      <c r="A1102" s="3299" t="s">
        <v>519</v>
      </c>
      <c r="B1102" s="3298"/>
      <c r="C1102" s="3298"/>
      <c r="D1102" s="3298"/>
      <c r="E1102" s="3298"/>
      <c r="F1102" s="3298"/>
      <c r="G1102" s="3298"/>
    </row>
    <row r="1103" spans="1:7" x14ac:dyDescent="0.3">
      <c r="A1103" s="11" t="s">
        <v>964</v>
      </c>
      <c r="B1103" s="11" t="s">
        <v>5982</v>
      </c>
      <c r="C1103" s="716">
        <v>17753</v>
      </c>
      <c r="D1103" s="716">
        <v>9254257.17225709</v>
      </c>
      <c r="E1103" s="717">
        <v>2671.4130645044802</v>
      </c>
      <c r="F1103" s="718">
        <v>90.6893334502562</v>
      </c>
      <c r="G1103" s="719">
        <v>2.4375562051393699E-3</v>
      </c>
    </row>
    <row r="1104" spans="1:7" x14ac:dyDescent="0.3">
      <c r="A1104" s="6" t="s">
        <v>962</v>
      </c>
      <c r="B1104" s="6" t="s">
        <v>5981</v>
      </c>
      <c r="C1104" s="712">
        <v>792</v>
      </c>
      <c r="D1104" s="712">
        <v>950093.01996603201</v>
      </c>
      <c r="E1104" s="713">
        <v>1.71523158963909E-2</v>
      </c>
      <c r="F1104" s="714">
        <v>9.3106665497437593</v>
      </c>
      <c r="G1104" s="715">
        <v>2.4375562051437601E-3</v>
      </c>
    </row>
    <row r="1105" spans="1:7" x14ac:dyDescent="0.3">
      <c r="A1105" s="11" t="s">
        <v>958</v>
      </c>
      <c r="B1105" s="11" t="s">
        <v>959</v>
      </c>
      <c r="C1105" s="716">
        <v>23</v>
      </c>
      <c r="D1105" s="716">
        <v>8633.4031760983398</v>
      </c>
      <c r="E1105" s="717">
        <v>2181.8842167493499</v>
      </c>
      <c r="F1105" s="718">
        <v>82.146156803084295</v>
      </c>
      <c r="G1105" s="719">
        <v>12.7453883323656</v>
      </c>
    </row>
    <row r="1106" spans="1:7" x14ac:dyDescent="0.3">
      <c r="A1106" s="6" t="s">
        <v>956</v>
      </c>
      <c r="B1106" s="6" t="s">
        <v>957</v>
      </c>
      <c r="C1106" s="712">
        <v>2</v>
      </c>
      <c r="D1106" s="712">
        <v>1876.4046007813499</v>
      </c>
      <c r="E1106" s="713">
        <v>1424.92685121771</v>
      </c>
      <c r="F1106" s="714">
        <v>17.853843196915701</v>
      </c>
      <c r="G1106" s="715">
        <v>12.7453883323656</v>
      </c>
    </row>
    <row r="1107" spans="1:7" x14ac:dyDescent="0.3">
      <c r="A1107" s="11" t="s">
        <v>6269</v>
      </c>
      <c r="B1107" s="11" t="s">
        <v>6270</v>
      </c>
      <c r="C1107" s="716">
        <v>18545</v>
      </c>
      <c r="D1107" s="716">
        <v>10204350.1922231</v>
      </c>
      <c r="E1107" s="717">
        <v>2671.40453387262</v>
      </c>
      <c r="F1107" s="718">
        <v>99.897112561729898</v>
      </c>
      <c r="G1107" s="719">
        <v>2.61521404490105E-2</v>
      </c>
    </row>
    <row r="1108" spans="1:7" x14ac:dyDescent="0.3">
      <c r="A1108" s="6" t="s">
        <v>6269</v>
      </c>
      <c r="B1108" s="6" t="s">
        <v>6271</v>
      </c>
      <c r="C1108" s="712">
        <v>18570</v>
      </c>
      <c r="D1108" s="712">
        <v>10214860</v>
      </c>
      <c r="E1108" s="713">
        <v>0</v>
      </c>
      <c r="F1108" s="714">
        <v>100</v>
      </c>
      <c r="G1108" s="715">
        <v>0</v>
      </c>
    </row>
    <row r="1109" spans="1:7" x14ac:dyDescent="0.3">
      <c r="A1109" s="3299" t="s">
        <v>531</v>
      </c>
      <c r="B1109" s="3298"/>
      <c r="C1109" s="3298"/>
      <c r="D1109" s="3298"/>
      <c r="E1109" s="3298"/>
      <c r="F1109" s="3298"/>
      <c r="G1109" s="3298"/>
    </row>
    <row r="1110" spans="1:7" x14ac:dyDescent="0.3">
      <c r="A1110" s="11" t="s">
        <v>962</v>
      </c>
      <c r="B1110" s="11" t="s">
        <v>5983</v>
      </c>
      <c r="C1110" s="724">
        <v>8631</v>
      </c>
      <c r="D1110" s="724">
        <v>3901833.9584789402</v>
      </c>
      <c r="E1110" s="725">
        <v>32481.2484075996</v>
      </c>
      <c r="F1110" s="726">
        <v>38.207110317550097</v>
      </c>
      <c r="G1110" s="727">
        <v>0.32162819234712497</v>
      </c>
    </row>
    <row r="1111" spans="1:7" x14ac:dyDescent="0.3">
      <c r="A1111" s="6" t="s">
        <v>966</v>
      </c>
      <c r="B1111" s="6" t="s">
        <v>5985</v>
      </c>
      <c r="C1111" s="720">
        <v>4114</v>
      </c>
      <c r="D1111" s="720">
        <v>3291592.1030474501</v>
      </c>
      <c r="E1111" s="721">
        <v>50364.260071393001</v>
      </c>
      <c r="F1111" s="722">
        <v>32.231566986140301</v>
      </c>
      <c r="G1111" s="723">
        <v>0.49335836301971697</v>
      </c>
    </row>
    <row r="1112" spans="1:7" x14ac:dyDescent="0.3">
      <c r="A1112" s="11" t="s">
        <v>964</v>
      </c>
      <c r="B1112" s="11" t="s">
        <v>5984</v>
      </c>
      <c r="C1112" s="724">
        <v>4772</v>
      </c>
      <c r="D1112" s="724">
        <v>2171683.7102135401</v>
      </c>
      <c r="E1112" s="725">
        <v>15808.8769047151</v>
      </c>
      <c r="F1112" s="726">
        <v>21.265322915817102</v>
      </c>
      <c r="G1112" s="727">
        <v>0.15428407394058699</v>
      </c>
    </row>
    <row r="1113" spans="1:7" x14ac:dyDescent="0.3">
      <c r="A1113" s="6" t="s">
        <v>972</v>
      </c>
      <c r="B1113" s="6" t="s">
        <v>5988</v>
      </c>
      <c r="C1113" s="720">
        <v>428</v>
      </c>
      <c r="D1113" s="720">
        <v>383281.35706191597</v>
      </c>
      <c r="E1113" s="721">
        <v>27346.065991480002</v>
      </c>
      <c r="F1113" s="722">
        <v>3.7531256449553401</v>
      </c>
      <c r="G1113" s="723">
        <v>0.26773254664957202</v>
      </c>
    </row>
    <row r="1114" spans="1:7" x14ac:dyDescent="0.3">
      <c r="A1114" s="11" t="s">
        <v>981</v>
      </c>
      <c r="B1114" s="11" t="s">
        <v>5989</v>
      </c>
      <c r="C1114" s="724">
        <v>227</v>
      </c>
      <c r="D1114" s="724">
        <v>189019.642441187</v>
      </c>
      <c r="E1114" s="725">
        <v>22971.757007758399</v>
      </c>
      <c r="F1114" s="726">
        <v>1.8508974005007699</v>
      </c>
      <c r="G1114" s="727">
        <v>0.22471921889298099</v>
      </c>
    </row>
    <row r="1115" spans="1:7" x14ac:dyDescent="0.3">
      <c r="A1115" s="6" t="s">
        <v>968</v>
      </c>
      <c r="B1115" s="6" t="s">
        <v>5986</v>
      </c>
      <c r="C1115" s="720">
        <v>277</v>
      </c>
      <c r="D1115" s="720">
        <v>184409.01855137301</v>
      </c>
      <c r="E1115" s="721">
        <v>23668.7436669458</v>
      </c>
      <c r="F1115" s="722">
        <v>1.8057497551971999</v>
      </c>
      <c r="G1115" s="723">
        <v>0.23171938167542899</v>
      </c>
    </row>
    <row r="1116" spans="1:7" x14ac:dyDescent="0.3">
      <c r="A1116" s="11" t="s">
        <v>970</v>
      </c>
      <c r="B1116" s="11" t="s">
        <v>5987</v>
      </c>
      <c r="C1116" s="724">
        <v>115</v>
      </c>
      <c r="D1116" s="724">
        <v>90504.371990381798</v>
      </c>
      <c r="E1116" s="725">
        <v>11834.102286999099</v>
      </c>
      <c r="F1116" s="726">
        <v>0.88622697983927301</v>
      </c>
      <c r="G1116" s="727">
        <v>0.115921172798824</v>
      </c>
    </row>
    <row r="1117" spans="1:7" x14ac:dyDescent="0.3">
      <c r="A1117" s="6" t="s">
        <v>958</v>
      </c>
      <c r="B1117" s="6" t="s">
        <v>959</v>
      </c>
      <c r="C1117" s="720">
        <v>4</v>
      </c>
      <c r="D1117" s="720">
        <v>1500.5889478968299</v>
      </c>
      <c r="E1117" s="721">
        <v>1428.85209478509</v>
      </c>
      <c r="F1117" s="722">
        <v>59.175263583478902</v>
      </c>
      <c r="G1117" s="723">
        <v>53.634069772656503</v>
      </c>
    </row>
    <row r="1118" spans="1:7" x14ac:dyDescent="0.3">
      <c r="A1118" s="11" t="s">
        <v>974</v>
      </c>
      <c r="B1118" s="11"/>
      <c r="C1118" s="724">
        <v>2</v>
      </c>
      <c r="D1118" s="724">
        <v>1035.2492673059501</v>
      </c>
      <c r="E1118" s="725">
        <v>746.560663418079</v>
      </c>
      <c r="F1118" s="726">
        <v>40.824736416521098</v>
      </c>
      <c r="G1118" s="727">
        <v>53.634069772656503</v>
      </c>
    </row>
    <row r="1119" spans="1:7" x14ac:dyDescent="0.3">
      <c r="A1119" s="6" t="s">
        <v>6269</v>
      </c>
      <c r="B1119" s="6" t="s">
        <v>6270</v>
      </c>
      <c r="C1119" s="720">
        <v>18564</v>
      </c>
      <c r="D1119" s="720">
        <v>10212324.1617848</v>
      </c>
      <c r="E1119" s="721">
        <v>1516.04844117992</v>
      </c>
      <c r="F1119" s="722">
        <v>99.975175007633894</v>
      </c>
      <c r="G1119" s="723">
        <v>1.4841597840513801E-2</v>
      </c>
    </row>
    <row r="1120" spans="1:7" x14ac:dyDescent="0.3">
      <c r="A1120" s="11" t="s">
        <v>6269</v>
      </c>
      <c r="B1120" s="11" t="s">
        <v>6271</v>
      </c>
      <c r="C1120" s="724">
        <v>18570</v>
      </c>
      <c r="D1120" s="724">
        <v>10214860</v>
      </c>
      <c r="E1120" s="725">
        <v>0</v>
      </c>
      <c r="F1120" s="726">
        <v>100</v>
      </c>
      <c r="G1120" s="727">
        <v>0</v>
      </c>
    </row>
    <row r="1121" spans="1:7" x14ac:dyDescent="0.3">
      <c r="A1121" s="3299" t="s">
        <v>535</v>
      </c>
      <c r="B1121" s="3298"/>
      <c r="C1121" s="3298"/>
      <c r="D1121" s="3298"/>
      <c r="E1121" s="3298"/>
      <c r="F1121" s="3298"/>
      <c r="G1121" s="3298"/>
    </row>
    <row r="1122" spans="1:7" x14ac:dyDescent="0.3">
      <c r="A1122" s="11" t="s">
        <v>964</v>
      </c>
      <c r="B1122" s="11" t="s">
        <v>5991</v>
      </c>
      <c r="C1122" s="732">
        <v>9980</v>
      </c>
      <c r="D1122" s="732">
        <v>5234713.1361795096</v>
      </c>
      <c r="E1122" s="733">
        <v>2728.4028455122502</v>
      </c>
      <c r="F1122" s="734">
        <v>51.2827422448768</v>
      </c>
      <c r="G1122" s="735">
        <v>1.6889875474285599E-2</v>
      </c>
    </row>
    <row r="1123" spans="1:7" x14ac:dyDescent="0.3">
      <c r="A1123" s="6" t="s">
        <v>962</v>
      </c>
      <c r="B1123" s="6" t="s">
        <v>5990</v>
      </c>
      <c r="C1123" s="728">
        <v>8578</v>
      </c>
      <c r="D1123" s="728">
        <v>4972839.9450960197</v>
      </c>
      <c r="E1123" s="729">
        <v>1204.73837475255</v>
      </c>
      <c r="F1123" s="730">
        <v>48.7172577551232</v>
      </c>
      <c r="G1123" s="731">
        <v>1.68898754742908E-2</v>
      </c>
    </row>
    <row r="1124" spans="1:7" x14ac:dyDescent="0.3">
      <c r="A1124" s="11" t="s">
        <v>958</v>
      </c>
      <c r="B1124" s="11" t="s">
        <v>1019</v>
      </c>
      <c r="C1124" s="732">
        <v>10</v>
      </c>
      <c r="D1124" s="732">
        <v>6615.2656510957504</v>
      </c>
      <c r="E1124" s="733">
        <v>2436.7229107929402</v>
      </c>
      <c r="F1124" s="734">
        <v>90.534271702910203</v>
      </c>
      <c r="G1124" s="735">
        <v>7.7439547955119901</v>
      </c>
    </row>
    <row r="1125" spans="1:7" x14ac:dyDescent="0.3">
      <c r="A1125" s="6" t="s">
        <v>956</v>
      </c>
      <c r="B1125" s="6" t="s">
        <v>1025</v>
      </c>
      <c r="C1125" s="728">
        <v>2</v>
      </c>
      <c r="D1125" s="728">
        <v>691.65307334471402</v>
      </c>
      <c r="E1125" s="729">
        <v>465.07526128898598</v>
      </c>
      <c r="F1125" s="730">
        <v>9.4657282970897896</v>
      </c>
      <c r="G1125" s="731">
        <v>7.7439547955119901</v>
      </c>
    </row>
    <row r="1126" spans="1:7" x14ac:dyDescent="0.3">
      <c r="A1126" s="11" t="s">
        <v>6269</v>
      </c>
      <c r="B1126" s="11" t="s">
        <v>6270</v>
      </c>
      <c r="C1126" s="732">
        <v>18558</v>
      </c>
      <c r="D1126" s="732">
        <v>10207553.0812755</v>
      </c>
      <c r="E1126" s="733">
        <v>2365.45685340195</v>
      </c>
      <c r="F1126" s="734">
        <v>99.928467754580694</v>
      </c>
      <c r="G1126" s="735">
        <v>2.31570168695612E-2</v>
      </c>
    </row>
    <row r="1127" spans="1:7" x14ac:dyDescent="0.3">
      <c r="A1127" s="6" t="s">
        <v>6269</v>
      </c>
      <c r="B1127" s="6" t="s">
        <v>6271</v>
      </c>
      <c r="C1127" s="728">
        <v>18570</v>
      </c>
      <c r="D1127" s="728">
        <v>10214860</v>
      </c>
      <c r="E1127" s="729">
        <v>0</v>
      </c>
      <c r="F1127" s="730">
        <v>100</v>
      </c>
      <c r="G1127" s="731">
        <v>0</v>
      </c>
    </row>
    <row r="1128" spans="1:7" x14ac:dyDescent="0.3">
      <c r="A1128" s="3299" t="s">
        <v>527</v>
      </c>
      <c r="B1128" s="3298"/>
      <c r="C1128" s="3298"/>
      <c r="D1128" s="3298"/>
      <c r="E1128" s="3298"/>
      <c r="F1128" s="3298"/>
      <c r="G1128" s="3298"/>
    </row>
    <row r="1129" spans="1:7" x14ac:dyDescent="0.3">
      <c r="A1129" s="11" t="s">
        <v>962</v>
      </c>
      <c r="B1129" s="11" t="s">
        <v>2989</v>
      </c>
      <c r="C1129" s="740">
        <v>13088</v>
      </c>
      <c r="D1129" s="740">
        <v>5988347.5720004998</v>
      </c>
      <c r="E1129" s="741">
        <v>67607.773318591499</v>
      </c>
      <c r="F1129" s="742">
        <v>58.895545173050103</v>
      </c>
      <c r="G1129" s="743">
        <v>0.65447086457260195</v>
      </c>
    </row>
    <row r="1130" spans="1:7" x14ac:dyDescent="0.3">
      <c r="A1130" s="6" t="s">
        <v>964</v>
      </c>
      <c r="B1130" s="6" t="s">
        <v>2990</v>
      </c>
      <c r="C1130" s="736">
        <v>4055</v>
      </c>
      <c r="D1130" s="736">
        <v>3182777.3838791498</v>
      </c>
      <c r="E1130" s="737">
        <v>11780.1970367719</v>
      </c>
      <c r="F1130" s="738">
        <v>31.302693595220902</v>
      </c>
      <c r="G1130" s="739">
        <v>7.8460556954550897E-2</v>
      </c>
    </row>
    <row r="1131" spans="1:7" x14ac:dyDescent="0.3">
      <c r="A1131" s="11" t="s">
        <v>966</v>
      </c>
      <c r="B1131" s="11" t="s">
        <v>2991</v>
      </c>
      <c r="C1131" s="740">
        <v>529</v>
      </c>
      <c r="D1131" s="740">
        <v>386701.41089749901</v>
      </c>
      <c r="E1131" s="741">
        <v>29735.019173640099</v>
      </c>
      <c r="F1131" s="742">
        <v>3.8032178560382901</v>
      </c>
      <c r="G1131" s="743">
        <v>0.29298572570631198</v>
      </c>
    </row>
    <row r="1132" spans="1:7" x14ac:dyDescent="0.3">
      <c r="A1132" s="6" t="s">
        <v>972</v>
      </c>
      <c r="B1132" s="6" t="s">
        <v>2994</v>
      </c>
      <c r="C1132" s="736">
        <v>556</v>
      </c>
      <c r="D1132" s="736">
        <v>358657.99245175999</v>
      </c>
      <c r="E1132" s="737">
        <v>37635.7871107229</v>
      </c>
      <c r="F1132" s="738">
        <v>3.5274101481490101</v>
      </c>
      <c r="G1132" s="739">
        <v>0.36989782976406299</v>
      </c>
    </row>
    <row r="1133" spans="1:7" x14ac:dyDescent="0.3">
      <c r="A1133" s="11" t="s">
        <v>983</v>
      </c>
      <c r="B1133" s="11" t="s">
        <v>2995</v>
      </c>
      <c r="C1133" s="740">
        <v>204</v>
      </c>
      <c r="D1133" s="740">
        <v>210035.20816913299</v>
      </c>
      <c r="E1133" s="741">
        <v>24885.487439341599</v>
      </c>
      <c r="F1133" s="742">
        <v>2.0657014212893698</v>
      </c>
      <c r="G1133" s="743">
        <v>0.245798205106596</v>
      </c>
    </row>
    <row r="1134" spans="1:7" x14ac:dyDescent="0.3">
      <c r="A1134" s="6" t="s">
        <v>968</v>
      </c>
      <c r="B1134" s="6" t="s">
        <v>2992</v>
      </c>
      <c r="C1134" s="736">
        <v>57</v>
      </c>
      <c r="D1134" s="736">
        <v>32109.0624749167</v>
      </c>
      <c r="E1134" s="737">
        <v>6414.0070303247003</v>
      </c>
      <c r="F1134" s="738">
        <v>0.31579341658420101</v>
      </c>
      <c r="G1134" s="739">
        <v>6.3279299594440105E-2</v>
      </c>
    </row>
    <row r="1135" spans="1:7" x14ac:dyDescent="0.3">
      <c r="A1135" s="11" t="s">
        <v>970</v>
      </c>
      <c r="B1135" s="11" t="s">
        <v>2993</v>
      </c>
      <c r="C1135" s="740">
        <v>13</v>
      </c>
      <c r="D1135" s="740">
        <v>9114.2009391382708</v>
      </c>
      <c r="E1135" s="741">
        <v>3874.4849995406198</v>
      </c>
      <c r="F1135" s="742">
        <v>8.9638389668145496E-2</v>
      </c>
      <c r="G1135" s="743">
        <v>3.8023371855140202E-2</v>
      </c>
    </row>
    <row r="1136" spans="1:7" x14ac:dyDescent="0.3">
      <c r="A1136" s="6" t="s">
        <v>958</v>
      </c>
      <c r="B1136" s="6" t="s">
        <v>2987</v>
      </c>
      <c r="C1136" s="736">
        <v>60</v>
      </c>
      <c r="D1136" s="736">
        <v>33928.361832818802</v>
      </c>
      <c r="E1136" s="737">
        <v>5516.3348415946102</v>
      </c>
      <c r="F1136" s="738">
        <v>72.008489511596295</v>
      </c>
      <c r="G1136" s="739">
        <v>23.820229646527402</v>
      </c>
    </row>
    <row r="1137" spans="1:7" x14ac:dyDescent="0.3">
      <c r="A1137" s="11" t="s">
        <v>956</v>
      </c>
      <c r="B1137" s="11" t="s">
        <v>2988</v>
      </c>
      <c r="C1137" s="740">
        <v>8</v>
      </c>
      <c r="D1137" s="740">
        <v>13188.807355065601</v>
      </c>
      <c r="E1137" s="741">
        <v>12224.651699271501</v>
      </c>
      <c r="F1137" s="742">
        <v>27.991510488403701</v>
      </c>
      <c r="G1137" s="743">
        <v>23.820229646527402</v>
      </c>
    </row>
    <row r="1138" spans="1:7" x14ac:dyDescent="0.3">
      <c r="A1138" s="6" t="s">
        <v>6269</v>
      </c>
      <c r="B1138" s="6" t="s">
        <v>6270</v>
      </c>
      <c r="C1138" s="736">
        <v>18502</v>
      </c>
      <c r="D1138" s="736">
        <v>10167742.8308121</v>
      </c>
      <c r="E1138" s="737">
        <v>14740.5189761005</v>
      </c>
      <c r="F1138" s="738">
        <v>99.538738962767098</v>
      </c>
      <c r="G1138" s="739">
        <v>0.144304659839747</v>
      </c>
    </row>
    <row r="1139" spans="1:7" x14ac:dyDescent="0.3">
      <c r="A1139" s="11" t="s">
        <v>6269</v>
      </c>
      <c r="B1139" s="11" t="s">
        <v>6271</v>
      </c>
      <c r="C1139" s="740">
        <v>18570</v>
      </c>
      <c r="D1139" s="740">
        <v>10214860</v>
      </c>
      <c r="E1139" s="741">
        <v>0</v>
      </c>
      <c r="F1139" s="742">
        <v>100</v>
      </c>
      <c r="G1139" s="743">
        <v>0</v>
      </c>
    </row>
    <row r="1140" spans="1:7" x14ac:dyDescent="0.3">
      <c r="A1140" s="3299" t="s">
        <v>458</v>
      </c>
      <c r="B1140" s="3298"/>
      <c r="C1140" s="3298"/>
      <c r="D1140" s="3298"/>
      <c r="E1140" s="3298"/>
      <c r="F1140" s="3298"/>
      <c r="G1140" s="3298"/>
    </row>
    <row r="1141" spans="1:7" x14ac:dyDescent="0.3">
      <c r="A1141" s="11" t="s">
        <v>962</v>
      </c>
      <c r="B1141" s="11" t="s">
        <v>5966</v>
      </c>
      <c r="C1141" s="748">
        <v>7290</v>
      </c>
      <c r="D1141" s="748">
        <v>4190887.7300722701</v>
      </c>
      <c r="E1141" s="749">
        <v>27371.8393511623</v>
      </c>
      <c r="F1141" s="750">
        <v>52.297767614283103</v>
      </c>
      <c r="G1141" s="751">
        <v>0.37148921616824199</v>
      </c>
    </row>
    <row r="1142" spans="1:7" x14ac:dyDescent="0.3">
      <c r="A1142" s="6" t="s">
        <v>972</v>
      </c>
      <c r="B1142" s="6" t="s">
        <v>5971</v>
      </c>
      <c r="C1142" s="744">
        <v>4450</v>
      </c>
      <c r="D1142" s="744">
        <v>1291494.51705049</v>
      </c>
      <c r="E1142" s="745">
        <v>19583.6264415677</v>
      </c>
      <c r="F1142" s="746">
        <v>16.1164613509373</v>
      </c>
      <c r="G1142" s="747">
        <v>0.23630356973018099</v>
      </c>
    </row>
    <row r="1143" spans="1:7" x14ac:dyDescent="0.3">
      <c r="A1143" s="11" t="s">
        <v>983</v>
      </c>
      <c r="B1143" s="11" t="s">
        <v>1015</v>
      </c>
      <c r="C1143" s="748">
        <v>1059</v>
      </c>
      <c r="D1143" s="748">
        <v>663725.31022331095</v>
      </c>
      <c r="E1143" s="749">
        <v>35488.272816265599</v>
      </c>
      <c r="F1143" s="750">
        <v>8.2825774082900701</v>
      </c>
      <c r="G1143" s="751">
        <v>0.42975141532167099</v>
      </c>
    </row>
    <row r="1144" spans="1:7" x14ac:dyDescent="0.3">
      <c r="A1144" s="6" t="s">
        <v>970</v>
      </c>
      <c r="B1144" s="6" t="s">
        <v>5970</v>
      </c>
      <c r="C1144" s="744">
        <v>768</v>
      </c>
      <c r="D1144" s="744">
        <v>641782.98784037703</v>
      </c>
      <c r="E1144" s="745">
        <v>32397.754684938802</v>
      </c>
      <c r="F1144" s="746">
        <v>8.0087608446379193</v>
      </c>
      <c r="G1144" s="747">
        <v>0.40992822758640901</v>
      </c>
    </row>
    <row r="1145" spans="1:7" x14ac:dyDescent="0.3">
      <c r="A1145" s="11" t="s">
        <v>968</v>
      </c>
      <c r="B1145" s="11" t="s">
        <v>5969</v>
      </c>
      <c r="C1145" s="748">
        <v>1130</v>
      </c>
      <c r="D1145" s="748">
        <v>585191.03387920104</v>
      </c>
      <c r="E1145" s="749">
        <v>23831.9000255131</v>
      </c>
      <c r="F1145" s="750">
        <v>7.30255417728615</v>
      </c>
      <c r="G1145" s="751">
        <v>0.29439777299035103</v>
      </c>
    </row>
    <row r="1146" spans="1:7" x14ac:dyDescent="0.3">
      <c r="A1146" s="6" t="s">
        <v>966</v>
      </c>
      <c r="B1146" s="6" t="s">
        <v>5968</v>
      </c>
      <c r="C1146" s="744">
        <v>515</v>
      </c>
      <c r="D1146" s="744">
        <v>399394.40451060398</v>
      </c>
      <c r="E1146" s="745">
        <v>29506.121408537099</v>
      </c>
      <c r="F1146" s="746">
        <v>4.9840122424802704</v>
      </c>
      <c r="G1146" s="747">
        <v>0.36657092897968102</v>
      </c>
    </row>
    <row r="1147" spans="1:7" x14ac:dyDescent="0.3">
      <c r="A1147" s="11" t="s">
        <v>964</v>
      </c>
      <c r="B1147" s="11" t="s">
        <v>5967</v>
      </c>
      <c r="C1147" s="748">
        <v>425</v>
      </c>
      <c r="D1147" s="748">
        <v>241035.72304522101</v>
      </c>
      <c r="E1147" s="749">
        <v>16268.6404994697</v>
      </c>
      <c r="F1147" s="750">
        <v>3.00786636208512</v>
      </c>
      <c r="G1147" s="751">
        <v>0.207412921213455</v>
      </c>
    </row>
    <row r="1148" spans="1:7" x14ac:dyDescent="0.3">
      <c r="A1148" s="6" t="s">
        <v>960</v>
      </c>
      <c r="B1148" s="6" t="s">
        <v>961</v>
      </c>
      <c r="C1148" s="744">
        <v>2930</v>
      </c>
      <c r="D1148" s="744">
        <v>2201194.8463839102</v>
      </c>
      <c r="E1148" s="745">
        <v>19233.196672435199</v>
      </c>
      <c r="F1148" s="746">
        <v>99.993029408609601</v>
      </c>
      <c r="G1148" s="747">
        <v>6.9805774477428697E-3</v>
      </c>
    </row>
    <row r="1149" spans="1:7" x14ac:dyDescent="0.3">
      <c r="A1149" s="11" t="s">
        <v>958</v>
      </c>
      <c r="B1149" s="11" t="s">
        <v>959</v>
      </c>
      <c r="C1149" s="748">
        <v>3</v>
      </c>
      <c r="D1149" s="748">
        <v>153.44699461015099</v>
      </c>
      <c r="E1149" s="749">
        <v>153.569256201229</v>
      </c>
      <c r="F1149" s="750">
        <v>6.9705913903632304E-3</v>
      </c>
      <c r="G1149" s="751">
        <v>6.9805774477408097E-3</v>
      </c>
    </row>
    <row r="1150" spans="1:7" x14ac:dyDescent="0.3">
      <c r="A1150" s="6" t="s">
        <v>6269</v>
      </c>
      <c r="B1150" s="6" t="s">
        <v>6270</v>
      </c>
      <c r="C1150" s="744">
        <v>15637</v>
      </c>
      <c r="D1150" s="744">
        <v>8013511.7066214802</v>
      </c>
      <c r="E1150" s="745">
        <v>19247.940544197601</v>
      </c>
      <c r="F1150" s="746">
        <v>78.449550034180405</v>
      </c>
      <c r="G1150" s="747">
        <v>0.18843078166711499</v>
      </c>
    </row>
    <row r="1151" spans="1:7" x14ac:dyDescent="0.3">
      <c r="A1151" s="11" t="s">
        <v>6269</v>
      </c>
      <c r="B1151" s="11" t="s">
        <v>6271</v>
      </c>
      <c r="C1151" s="748">
        <v>18570</v>
      </c>
      <c r="D1151" s="748">
        <v>10214860</v>
      </c>
      <c r="E1151" s="749">
        <v>0</v>
      </c>
      <c r="F1151" s="750">
        <v>100</v>
      </c>
      <c r="G1151" s="751">
        <v>0</v>
      </c>
    </row>
    <row r="1152" spans="1:7" x14ac:dyDescent="0.3">
      <c r="A1152" s="3299" t="s">
        <v>439</v>
      </c>
      <c r="B1152" s="3298"/>
      <c r="C1152" s="3298"/>
      <c r="D1152" s="3298"/>
      <c r="E1152" s="3298"/>
      <c r="F1152" s="3298"/>
      <c r="G1152" s="3298"/>
    </row>
    <row r="1153" spans="1:7" x14ac:dyDescent="0.3">
      <c r="A1153" s="11" t="s">
        <v>964</v>
      </c>
      <c r="B1153" s="11" t="s">
        <v>1040</v>
      </c>
      <c r="C1153" s="756">
        <v>7560</v>
      </c>
      <c r="D1153" s="756">
        <v>3350018.8641001498</v>
      </c>
      <c r="E1153" s="757">
        <v>48021.842482676897</v>
      </c>
      <c r="F1153" s="758">
        <v>87.553298492042103</v>
      </c>
      <c r="G1153" s="759">
        <v>0.91437827297888996</v>
      </c>
    </row>
    <row r="1154" spans="1:7" x14ac:dyDescent="0.3">
      <c r="A1154" s="6" t="s">
        <v>962</v>
      </c>
      <c r="B1154" s="6" t="s">
        <v>1039</v>
      </c>
      <c r="C1154" s="752">
        <v>792</v>
      </c>
      <c r="D1154" s="752">
        <v>476243.44902633899</v>
      </c>
      <c r="E1154" s="753">
        <v>34898.604659522003</v>
      </c>
      <c r="F1154" s="754">
        <v>12.446701507957901</v>
      </c>
      <c r="G1154" s="755">
        <v>0.91437827297888097</v>
      </c>
    </row>
    <row r="1155" spans="1:7" x14ac:dyDescent="0.3">
      <c r="A1155" s="11" t="s">
        <v>960</v>
      </c>
      <c r="B1155" s="11" t="s">
        <v>961</v>
      </c>
      <c r="C1155" s="756">
        <v>10217</v>
      </c>
      <c r="D1155" s="756">
        <v>6388523.6428489899</v>
      </c>
      <c r="E1155" s="757">
        <v>34233.459078548403</v>
      </c>
      <c r="F1155" s="758">
        <v>99.998840997223894</v>
      </c>
      <c r="G1155" s="759">
        <v>1.17209763651979E-3</v>
      </c>
    </row>
    <row r="1156" spans="1:7" x14ac:dyDescent="0.3">
      <c r="A1156" s="6" t="s">
        <v>958</v>
      </c>
      <c r="B1156" s="6" t="s">
        <v>1019</v>
      </c>
      <c r="C1156" s="752">
        <v>1</v>
      </c>
      <c r="D1156" s="752">
        <v>74.044024542506094</v>
      </c>
      <c r="E1156" s="753">
        <v>74.915585593964707</v>
      </c>
      <c r="F1156" s="754">
        <v>1.1590027760652699E-3</v>
      </c>
      <c r="G1156" s="755">
        <v>1.1720976365191299E-3</v>
      </c>
    </row>
    <row r="1157" spans="1:7" x14ac:dyDescent="0.3">
      <c r="A1157" s="11" t="s">
        <v>6269</v>
      </c>
      <c r="B1157" s="11" t="s">
        <v>6270</v>
      </c>
      <c r="C1157" s="756">
        <v>8352</v>
      </c>
      <c r="D1157" s="756">
        <v>3826262.3131264802</v>
      </c>
      <c r="E1157" s="757">
        <v>34252.547493489801</v>
      </c>
      <c r="F1157" s="758">
        <v>37.457804738650204</v>
      </c>
      <c r="G1157" s="759">
        <v>0.33532077281019401</v>
      </c>
    </row>
    <row r="1158" spans="1:7" x14ac:dyDescent="0.3">
      <c r="A1158" s="6" t="s">
        <v>6269</v>
      </c>
      <c r="B1158" s="6" t="s">
        <v>6271</v>
      </c>
      <c r="C1158" s="752">
        <v>18570</v>
      </c>
      <c r="D1158" s="752">
        <v>10214860</v>
      </c>
      <c r="E1158" s="753">
        <v>0</v>
      </c>
      <c r="F1158" s="754">
        <v>100</v>
      </c>
      <c r="G1158" s="755">
        <v>0</v>
      </c>
    </row>
    <row r="1159" spans="1:7" x14ac:dyDescent="0.3">
      <c r="A1159" s="3299" t="s">
        <v>213</v>
      </c>
      <c r="B1159" s="3298"/>
      <c r="C1159" s="3298"/>
      <c r="D1159" s="3298"/>
      <c r="E1159" s="3298"/>
      <c r="F1159" s="3298"/>
      <c r="G1159" s="3298"/>
    </row>
    <row r="1160" spans="1:7" x14ac:dyDescent="0.3">
      <c r="A1160" s="11" t="s">
        <v>964</v>
      </c>
      <c r="B1160" s="11" t="s">
        <v>1131</v>
      </c>
      <c r="C1160" s="764">
        <v>7408</v>
      </c>
      <c r="D1160" s="764">
        <v>4247837.94864868</v>
      </c>
      <c r="E1160" s="765">
        <v>51849.267316522601</v>
      </c>
      <c r="F1160" s="766">
        <v>91.016039310664695</v>
      </c>
      <c r="G1160" s="767">
        <v>0.55057619789634404</v>
      </c>
    </row>
    <row r="1161" spans="1:7" x14ac:dyDescent="0.3">
      <c r="A1161" s="6" t="s">
        <v>962</v>
      </c>
      <c r="B1161" s="6" t="s">
        <v>1039</v>
      </c>
      <c r="C1161" s="760">
        <v>674</v>
      </c>
      <c r="D1161" s="760">
        <v>419293.23044993298</v>
      </c>
      <c r="E1161" s="761">
        <v>24448.162219725102</v>
      </c>
      <c r="F1161" s="762">
        <v>8.9839606893353494</v>
      </c>
      <c r="G1161" s="763">
        <v>0.55057619789635803</v>
      </c>
    </row>
    <row r="1162" spans="1:7" x14ac:dyDescent="0.3">
      <c r="A1162" s="11" t="s">
        <v>960</v>
      </c>
      <c r="B1162" s="11" t="s">
        <v>961</v>
      </c>
      <c r="C1162" s="764">
        <v>10488</v>
      </c>
      <c r="D1162" s="764">
        <v>5547728.8209013604</v>
      </c>
      <c r="E1162" s="765">
        <v>39113.143224177496</v>
      </c>
      <c r="F1162" s="766">
        <v>100</v>
      </c>
      <c r="G1162" s="767">
        <v>0</v>
      </c>
    </row>
    <row r="1163" spans="1:7" x14ac:dyDescent="0.3">
      <c r="A1163" s="6" t="s">
        <v>6269</v>
      </c>
      <c r="B1163" s="6" t="s">
        <v>6270</v>
      </c>
      <c r="C1163" s="760">
        <v>8082</v>
      </c>
      <c r="D1163" s="760">
        <v>4667131.1790986098</v>
      </c>
      <c r="E1163" s="761">
        <v>39113.143224193103</v>
      </c>
      <c r="F1163" s="762">
        <v>45.689624518580104</v>
      </c>
      <c r="G1163" s="763">
        <v>0.382904349390845</v>
      </c>
    </row>
    <row r="1164" spans="1:7" x14ac:dyDescent="0.3">
      <c r="A1164" s="11" t="s">
        <v>6269</v>
      </c>
      <c r="B1164" s="11" t="s">
        <v>6271</v>
      </c>
      <c r="C1164" s="764">
        <v>18570</v>
      </c>
      <c r="D1164" s="764">
        <v>10214860</v>
      </c>
      <c r="E1164" s="765">
        <v>0</v>
      </c>
      <c r="F1164" s="766">
        <v>100</v>
      </c>
      <c r="G1164" s="767">
        <v>0</v>
      </c>
    </row>
    <row r="1165" spans="1:7" x14ac:dyDescent="0.3">
      <c r="A1165" s="3299" t="s">
        <v>912</v>
      </c>
      <c r="B1165" s="3298"/>
      <c r="C1165" s="3298"/>
      <c r="D1165" s="3298"/>
      <c r="E1165" s="3298"/>
      <c r="F1165" s="3298"/>
      <c r="G1165" s="3298"/>
    </row>
    <row r="1166" spans="1:7" x14ac:dyDescent="0.3">
      <c r="A1166" s="11" t="s">
        <v>964</v>
      </c>
      <c r="B1166" s="11" t="s">
        <v>1040</v>
      </c>
      <c r="C1166" s="772">
        <v>6987</v>
      </c>
      <c r="D1166" s="772">
        <v>4039356.6858027498</v>
      </c>
      <c r="E1166" s="773">
        <v>36038.383094697099</v>
      </c>
      <c r="F1166" s="774">
        <v>86.607219925787405</v>
      </c>
      <c r="G1166" s="775">
        <v>0.66641249954850001</v>
      </c>
    </row>
    <row r="1167" spans="1:7" x14ac:dyDescent="0.3">
      <c r="A1167" s="6" t="s">
        <v>962</v>
      </c>
      <c r="B1167" s="6" t="s">
        <v>1039</v>
      </c>
      <c r="C1167" s="768">
        <v>1092</v>
      </c>
      <c r="D1167" s="768">
        <v>624638.63613925898</v>
      </c>
      <c r="E1167" s="769">
        <v>33578.624735585901</v>
      </c>
      <c r="F1167" s="770">
        <v>13.392780074212601</v>
      </c>
      <c r="G1167" s="771">
        <v>0.66641249954850101</v>
      </c>
    </row>
    <row r="1168" spans="1:7" x14ac:dyDescent="0.3">
      <c r="A1168" s="11" t="s">
        <v>960</v>
      </c>
      <c r="B1168" s="11" t="s">
        <v>961</v>
      </c>
      <c r="C1168" s="772">
        <v>10488</v>
      </c>
      <c r="D1168" s="772">
        <v>5547728.8209013604</v>
      </c>
      <c r="E1168" s="773">
        <v>39113.143224177496</v>
      </c>
      <c r="F1168" s="774">
        <v>99.943506870758497</v>
      </c>
      <c r="G1168" s="775">
        <v>5.0394272652396398E-2</v>
      </c>
    </row>
    <row r="1169" spans="1:7" x14ac:dyDescent="0.3">
      <c r="A1169" s="6" t="s">
        <v>956</v>
      </c>
      <c r="B1169" s="6" t="s">
        <v>1025</v>
      </c>
      <c r="C1169" s="768">
        <v>3</v>
      </c>
      <c r="D1169" s="768">
        <v>3135.8571565963198</v>
      </c>
      <c r="E1169" s="769">
        <v>2797.5036470159398</v>
      </c>
      <c r="F1169" s="770">
        <v>5.6493129241504798E-2</v>
      </c>
      <c r="G1169" s="771">
        <v>5.0394272652403302E-2</v>
      </c>
    </row>
    <row r="1170" spans="1:7" x14ac:dyDescent="0.3">
      <c r="A1170" s="11" t="s">
        <v>6269</v>
      </c>
      <c r="B1170" s="11" t="s">
        <v>6270</v>
      </c>
      <c r="C1170" s="772">
        <v>8079</v>
      </c>
      <c r="D1170" s="772">
        <v>4663995.32194201</v>
      </c>
      <c r="E1170" s="773">
        <v>39965.633209891501</v>
      </c>
      <c r="F1170" s="774">
        <v>45.658925545156997</v>
      </c>
      <c r="G1170" s="775">
        <v>0.39124993597451002</v>
      </c>
    </row>
    <row r="1171" spans="1:7" x14ac:dyDescent="0.3">
      <c r="A1171" s="6" t="s">
        <v>6269</v>
      </c>
      <c r="B1171" s="6" t="s">
        <v>6271</v>
      </c>
      <c r="C1171" s="768">
        <v>18570</v>
      </c>
      <c r="D1171" s="768">
        <v>10214860</v>
      </c>
      <c r="E1171" s="769">
        <v>0</v>
      </c>
      <c r="F1171" s="770">
        <v>100</v>
      </c>
      <c r="G1171" s="771">
        <v>0</v>
      </c>
    </row>
    <row r="1172" spans="1:7" x14ac:dyDescent="0.3">
      <c r="A1172" s="3299" t="s">
        <v>892</v>
      </c>
      <c r="B1172" s="3298"/>
      <c r="C1172" s="3298"/>
      <c r="D1172" s="3298"/>
      <c r="E1172" s="3298"/>
      <c r="F1172" s="3298"/>
      <c r="G1172" s="3298"/>
    </row>
    <row r="1173" spans="1:7" x14ac:dyDescent="0.3">
      <c r="A1173" s="11" t="s">
        <v>962</v>
      </c>
      <c r="B1173" s="11" t="s">
        <v>6161</v>
      </c>
      <c r="C1173" s="780">
        <v>6463</v>
      </c>
      <c r="D1173" s="780">
        <v>3720907.0226260801</v>
      </c>
      <c r="E1173" s="781">
        <v>37183.779860251503</v>
      </c>
      <c r="F1173" s="782">
        <v>79.7257861379573</v>
      </c>
      <c r="G1173" s="783">
        <v>0.74110967158810104</v>
      </c>
    </row>
    <row r="1174" spans="1:7" x14ac:dyDescent="0.3">
      <c r="A1174" s="6" t="s">
        <v>964</v>
      </c>
      <c r="B1174" s="6" t="s">
        <v>6162</v>
      </c>
      <c r="C1174" s="776">
        <v>1619</v>
      </c>
      <c r="D1174" s="776">
        <v>946224.15647252498</v>
      </c>
      <c r="E1174" s="777">
        <v>38258.988699706199</v>
      </c>
      <c r="F1174" s="778">
        <v>20.2742138620427</v>
      </c>
      <c r="G1174" s="779">
        <v>0.74110967158810703</v>
      </c>
    </row>
    <row r="1175" spans="1:7" x14ac:dyDescent="0.3">
      <c r="A1175" s="11" t="s">
        <v>960</v>
      </c>
      <c r="B1175" s="11" t="s">
        <v>961</v>
      </c>
      <c r="C1175" s="780">
        <v>10488</v>
      </c>
      <c r="D1175" s="780">
        <v>5547728.8209013604</v>
      </c>
      <c r="E1175" s="781">
        <v>39113.143224177496</v>
      </c>
      <c r="F1175" s="782">
        <v>100</v>
      </c>
      <c r="G1175" s="783">
        <v>0</v>
      </c>
    </row>
    <row r="1176" spans="1:7" x14ac:dyDescent="0.3">
      <c r="A1176" s="6" t="s">
        <v>6269</v>
      </c>
      <c r="B1176" s="6" t="s">
        <v>6270</v>
      </c>
      <c r="C1176" s="776">
        <v>8082</v>
      </c>
      <c r="D1176" s="776">
        <v>4667131.1790985996</v>
      </c>
      <c r="E1176" s="777">
        <v>39113.143224193402</v>
      </c>
      <c r="F1176" s="778">
        <v>45.689624518579997</v>
      </c>
      <c r="G1176" s="779">
        <v>0.382904349390848</v>
      </c>
    </row>
    <row r="1177" spans="1:7" x14ac:dyDescent="0.3">
      <c r="A1177" s="11" t="s">
        <v>6269</v>
      </c>
      <c r="B1177" s="11" t="s">
        <v>6271</v>
      </c>
      <c r="C1177" s="780">
        <v>18570</v>
      </c>
      <c r="D1177" s="780">
        <v>10214860</v>
      </c>
      <c r="E1177" s="781">
        <v>0</v>
      </c>
      <c r="F1177" s="782">
        <v>100</v>
      </c>
      <c r="G1177" s="783">
        <v>0</v>
      </c>
    </row>
    <row r="1178" spans="1:7" x14ac:dyDescent="0.3">
      <c r="A1178" s="3299" t="s">
        <v>926</v>
      </c>
      <c r="B1178" s="3298"/>
      <c r="C1178" s="3298"/>
      <c r="D1178" s="3298"/>
      <c r="E1178" s="3298"/>
      <c r="F1178" s="3298"/>
      <c r="G1178" s="3298"/>
    </row>
    <row r="1179" spans="1:7" x14ac:dyDescent="0.3">
      <c r="A1179" s="11" t="s">
        <v>966</v>
      </c>
      <c r="B1179" s="11" t="s">
        <v>6020</v>
      </c>
      <c r="C1179" s="788">
        <v>4388</v>
      </c>
      <c r="D1179" s="788">
        <v>2553197.8527408098</v>
      </c>
      <c r="E1179" s="789">
        <v>52252.915479686402</v>
      </c>
      <c r="F1179" s="790">
        <v>63.161542185826299</v>
      </c>
      <c r="G1179" s="791">
        <v>1.0014928372549801</v>
      </c>
    </row>
    <row r="1180" spans="1:7" x14ac:dyDescent="0.3">
      <c r="A1180" s="6" t="s">
        <v>968</v>
      </c>
      <c r="B1180" s="6" t="s">
        <v>6021</v>
      </c>
      <c r="C1180" s="784">
        <v>1060</v>
      </c>
      <c r="D1180" s="784">
        <v>594377.97974691296</v>
      </c>
      <c r="E1180" s="785">
        <v>23865.283062752598</v>
      </c>
      <c r="F1180" s="786">
        <v>14.703846708084299</v>
      </c>
      <c r="G1180" s="787">
        <v>0.64604955350910398</v>
      </c>
    </row>
    <row r="1181" spans="1:7" x14ac:dyDescent="0.3">
      <c r="A1181" s="11" t="s">
        <v>972</v>
      </c>
      <c r="B1181" s="11" t="s">
        <v>6022</v>
      </c>
      <c r="C1181" s="788">
        <v>1013</v>
      </c>
      <c r="D1181" s="788">
        <v>482567.998140454</v>
      </c>
      <c r="E1181" s="789">
        <v>24039.069227820801</v>
      </c>
      <c r="F1181" s="790">
        <v>11.9378680110351</v>
      </c>
      <c r="G1181" s="791">
        <v>0.60477291954707202</v>
      </c>
    </row>
    <row r="1182" spans="1:7" x14ac:dyDescent="0.3">
      <c r="A1182" s="6" t="s">
        <v>970</v>
      </c>
      <c r="B1182" s="6" t="s">
        <v>6042</v>
      </c>
      <c r="C1182" s="784">
        <v>164</v>
      </c>
      <c r="D1182" s="784">
        <v>97386.120427411501</v>
      </c>
      <c r="E1182" s="785">
        <v>12117.970566363399</v>
      </c>
      <c r="F1182" s="786">
        <v>2.4091582041269799</v>
      </c>
      <c r="G1182" s="787">
        <v>0.29672260765117098</v>
      </c>
    </row>
    <row r="1183" spans="1:7" x14ac:dyDescent="0.3">
      <c r="A1183" s="11" t="s">
        <v>962</v>
      </c>
      <c r="B1183" s="11" t="s">
        <v>827</v>
      </c>
      <c r="C1183" s="788">
        <v>90</v>
      </c>
      <c r="D1183" s="788">
        <v>67342.876993107406</v>
      </c>
      <c r="E1183" s="789">
        <v>10720.2386631934</v>
      </c>
      <c r="F1183" s="790">
        <v>1.66594216799495</v>
      </c>
      <c r="G1183" s="791">
        <v>0.25606372113511999</v>
      </c>
    </row>
    <row r="1184" spans="1:7" x14ac:dyDescent="0.3">
      <c r="A1184" s="6" t="s">
        <v>1007</v>
      </c>
      <c r="B1184" s="6" t="s">
        <v>6050</v>
      </c>
      <c r="C1184" s="784">
        <v>43</v>
      </c>
      <c r="D1184" s="784">
        <v>49334.226960194501</v>
      </c>
      <c r="E1184" s="785">
        <v>8661.7671278213293</v>
      </c>
      <c r="F1184" s="786">
        <v>1.22044041906367</v>
      </c>
      <c r="G1184" s="787">
        <v>0.222580851834872</v>
      </c>
    </row>
    <row r="1185" spans="1:7" x14ac:dyDescent="0.3">
      <c r="A1185" s="11" t="s">
        <v>997</v>
      </c>
      <c r="B1185" s="11" t="s">
        <v>6048</v>
      </c>
      <c r="C1185" s="788">
        <v>53</v>
      </c>
      <c r="D1185" s="788">
        <v>44648.478979784799</v>
      </c>
      <c r="E1185" s="789">
        <v>11840.0983461265</v>
      </c>
      <c r="F1185" s="790">
        <v>1.10452340604445</v>
      </c>
      <c r="G1185" s="791">
        <v>0.29094725785393899</v>
      </c>
    </row>
    <row r="1186" spans="1:7" x14ac:dyDescent="0.3">
      <c r="A1186" s="6" t="s">
        <v>1009</v>
      </c>
      <c r="B1186" s="6" t="s">
        <v>6033</v>
      </c>
      <c r="C1186" s="784">
        <v>32</v>
      </c>
      <c r="D1186" s="784">
        <v>39485.767477128</v>
      </c>
      <c r="E1186" s="785">
        <v>14742.401678517201</v>
      </c>
      <c r="F1186" s="786">
        <v>0.97680716971037196</v>
      </c>
      <c r="G1186" s="787">
        <v>0.36055347897540102</v>
      </c>
    </row>
    <row r="1187" spans="1:7" x14ac:dyDescent="0.3">
      <c r="A1187" s="11" t="s">
        <v>991</v>
      </c>
      <c r="B1187" s="11" t="s">
        <v>6024</v>
      </c>
      <c r="C1187" s="788">
        <v>31</v>
      </c>
      <c r="D1187" s="788">
        <v>22735.563591159102</v>
      </c>
      <c r="E1187" s="789">
        <v>6291.18634768417</v>
      </c>
      <c r="F1187" s="790">
        <v>0.56243712462001205</v>
      </c>
      <c r="G1187" s="791">
        <v>0.15445196959580901</v>
      </c>
    </row>
    <row r="1188" spans="1:7" x14ac:dyDescent="0.3">
      <c r="A1188" s="6" t="s">
        <v>964</v>
      </c>
      <c r="B1188" s="6" t="s">
        <v>979</v>
      </c>
      <c r="C1188" s="784">
        <v>28</v>
      </c>
      <c r="D1188" s="784">
        <v>19166.3885117686</v>
      </c>
      <c r="E1188" s="785">
        <v>7226.4001640537099</v>
      </c>
      <c r="F1188" s="786">
        <v>0.474142125427717</v>
      </c>
      <c r="G1188" s="787">
        <v>0.179386381822776</v>
      </c>
    </row>
    <row r="1189" spans="1:7" x14ac:dyDescent="0.3">
      <c r="A1189" s="11" t="s">
        <v>1013</v>
      </c>
      <c r="B1189" s="11" t="s">
        <v>6035</v>
      </c>
      <c r="C1189" s="788">
        <v>20</v>
      </c>
      <c r="D1189" s="788">
        <v>17759.265773068</v>
      </c>
      <c r="E1189" s="789">
        <v>4438.23941653983</v>
      </c>
      <c r="F1189" s="790">
        <v>0.439332428981487</v>
      </c>
      <c r="G1189" s="791">
        <v>0.11238385286729199</v>
      </c>
    </row>
    <row r="1190" spans="1:7" x14ac:dyDescent="0.3">
      <c r="A1190" s="6" t="s">
        <v>1005</v>
      </c>
      <c r="B1190" s="6" t="s">
        <v>6031</v>
      </c>
      <c r="C1190" s="784">
        <v>12</v>
      </c>
      <c r="D1190" s="784">
        <v>15784.531649954401</v>
      </c>
      <c r="E1190" s="785">
        <v>6863.0077961299803</v>
      </c>
      <c r="F1190" s="786">
        <v>0.39048104345766799</v>
      </c>
      <c r="G1190" s="787">
        <v>0.17038795401923201</v>
      </c>
    </row>
    <row r="1191" spans="1:7" x14ac:dyDescent="0.3">
      <c r="A1191" s="11" t="s">
        <v>983</v>
      </c>
      <c r="B1191" s="11" t="s">
        <v>984</v>
      </c>
      <c r="C1191" s="788">
        <v>27</v>
      </c>
      <c r="D1191" s="788">
        <v>15310.863032126001</v>
      </c>
      <c r="E1191" s="789">
        <v>5908.6107941006703</v>
      </c>
      <c r="F1191" s="790">
        <v>0.37876333017706298</v>
      </c>
      <c r="G1191" s="791">
        <v>0.14532216973068801</v>
      </c>
    </row>
    <row r="1192" spans="1:7" x14ac:dyDescent="0.3">
      <c r="A1192" s="6" t="s">
        <v>1003</v>
      </c>
      <c r="B1192" s="6" t="s">
        <v>6166</v>
      </c>
      <c r="C1192" s="784">
        <v>5</v>
      </c>
      <c r="D1192" s="784">
        <v>7233.6157170479</v>
      </c>
      <c r="E1192" s="785">
        <v>3150.3448257503101</v>
      </c>
      <c r="F1192" s="786">
        <v>0.17894669767872401</v>
      </c>
      <c r="G1192" s="787">
        <v>7.8524868848276294E-2</v>
      </c>
    </row>
    <row r="1193" spans="1:7" x14ac:dyDescent="0.3">
      <c r="A1193" s="11" t="s">
        <v>1001</v>
      </c>
      <c r="B1193" s="11" t="s">
        <v>6049</v>
      </c>
      <c r="C1193" s="788">
        <v>8</v>
      </c>
      <c r="D1193" s="788">
        <v>7193.3463232866798</v>
      </c>
      <c r="E1193" s="789">
        <v>3454.5993559845701</v>
      </c>
      <c r="F1193" s="790">
        <v>0.17795050499819301</v>
      </c>
      <c r="G1193" s="791">
        <v>8.5412123651840505E-2</v>
      </c>
    </row>
    <row r="1194" spans="1:7" x14ac:dyDescent="0.3">
      <c r="A1194" s="6" t="s">
        <v>995</v>
      </c>
      <c r="B1194" s="6" t="s">
        <v>6026</v>
      </c>
      <c r="C1194" s="784">
        <v>6</v>
      </c>
      <c r="D1194" s="784">
        <v>3816.0565370894201</v>
      </c>
      <c r="E1194" s="785">
        <v>1862.4455483689401</v>
      </c>
      <c r="F1194" s="786">
        <v>9.4402404299429102E-2</v>
      </c>
      <c r="G1194" s="787">
        <v>4.6356775067136098E-2</v>
      </c>
    </row>
    <row r="1195" spans="1:7" x14ac:dyDescent="0.3">
      <c r="A1195" s="11" t="s">
        <v>999</v>
      </c>
      <c r="B1195" s="11" t="s">
        <v>6028</v>
      </c>
      <c r="C1195" s="788">
        <v>3</v>
      </c>
      <c r="D1195" s="788">
        <v>3800.3406800437301</v>
      </c>
      <c r="E1195" s="789">
        <v>3072.51141784742</v>
      </c>
      <c r="F1195" s="790">
        <v>9.4013622142686895E-2</v>
      </c>
      <c r="G1195" s="791">
        <v>7.6091702293541799E-2</v>
      </c>
    </row>
    <row r="1196" spans="1:7" x14ac:dyDescent="0.3">
      <c r="A1196" s="6" t="s">
        <v>1011</v>
      </c>
      <c r="B1196" s="6" t="s">
        <v>978</v>
      </c>
      <c r="C1196" s="784">
        <v>4</v>
      </c>
      <c r="D1196" s="784">
        <v>1119.2187570584899</v>
      </c>
      <c r="E1196" s="785">
        <v>759.08952631694399</v>
      </c>
      <c r="F1196" s="786">
        <v>2.76874675666956E-2</v>
      </c>
      <c r="G1196" s="787">
        <v>1.87259244532356E-2</v>
      </c>
    </row>
    <row r="1197" spans="1:7" x14ac:dyDescent="0.3">
      <c r="A1197" s="11" t="s">
        <v>981</v>
      </c>
      <c r="B1197" s="11" t="s">
        <v>6023</v>
      </c>
      <c r="C1197" s="788">
        <v>1</v>
      </c>
      <c r="D1197" s="788">
        <v>69.325097941688796</v>
      </c>
      <c r="E1197" s="789">
        <v>70.153454688287994</v>
      </c>
      <c r="F1197" s="790">
        <v>1.71497876417219E-3</v>
      </c>
      <c r="G1197" s="791">
        <v>1.7336360444532501E-3</v>
      </c>
    </row>
    <row r="1198" spans="1:7" x14ac:dyDescent="0.3">
      <c r="A1198" s="6" t="s">
        <v>960</v>
      </c>
      <c r="B1198" s="6" t="s">
        <v>961</v>
      </c>
      <c r="C1198" s="784">
        <v>11579</v>
      </c>
      <c r="D1198" s="784">
        <v>6172367.4570406098</v>
      </c>
      <c r="E1198" s="785">
        <v>36674.101233253299</v>
      </c>
      <c r="F1198" s="786">
        <v>99.997363709561697</v>
      </c>
      <c r="G1198" s="787">
        <v>2.6592236984743002E-3</v>
      </c>
    </row>
    <row r="1199" spans="1:7" x14ac:dyDescent="0.3">
      <c r="A1199" s="11" t="s">
        <v>956</v>
      </c>
      <c r="B1199" s="11" t="s">
        <v>957</v>
      </c>
      <c r="C1199" s="788">
        <v>1</v>
      </c>
      <c r="D1199" s="788">
        <v>162.72582300913501</v>
      </c>
      <c r="E1199" s="789">
        <v>164.1887922821</v>
      </c>
      <c r="F1199" s="790">
        <v>2.6362904382533402E-3</v>
      </c>
      <c r="G1199" s="791">
        <v>2.6592236984772102E-3</v>
      </c>
    </row>
    <row r="1200" spans="1:7" x14ac:dyDescent="0.3">
      <c r="A1200" s="6" t="s">
        <v>6269</v>
      </c>
      <c r="B1200" s="6" t="s">
        <v>6270</v>
      </c>
      <c r="C1200" s="784">
        <v>6988</v>
      </c>
      <c r="D1200" s="784">
        <v>4042329.8171363398</v>
      </c>
      <c r="E1200" s="785">
        <v>36733.693697313298</v>
      </c>
      <c r="F1200" s="786">
        <v>39.573032005689299</v>
      </c>
      <c r="G1200" s="787">
        <v>0.35961034901418498</v>
      </c>
    </row>
    <row r="1201" spans="1:7" x14ac:dyDescent="0.3">
      <c r="A1201" s="11" t="s">
        <v>6269</v>
      </c>
      <c r="B1201" s="11" t="s">
        <v>6271</v>
      </c>
      <c r="C1201" s="788">
        <v>18568</v>
      </c>
      <c r="D1201" s="788">
        <v>10214860</v>
      </c>
      <c r="E1201" s="789">
        <v>0</v>
      </c>
      <c r="F1201" s="790">
        <v>100</v>
      </c>
      <c r="G1201" s="791">
        <v>0</v>
      </c>
    </row>
    <row r="1202" spans="1:7" x14ac:dyDescent="0.3">
      <c r="A1202" s="3299" t="s">
        <v>929</v>
      </c>
      <c r="B1202" s="3298"/>
      <c r="C1202" s="3298"/>
      <c r="D1202" s="3298"/>
      <c r="E1202" s="3298"/>
      <c r="F1202" s="3298"/>
      <c r="G1202" s="3298"/>
    </row>
    <row r="1203" spans="1:7" x14ac:dyDescent="0.3">
      <c r="A1203" s="11" t="s">
        <v>6467</v>
      </c>
      <c r="B1203" s="11"/>
      <c r="C1203" s="796">
        <v>7</v>
      </c>
      <c r="D1203" s="796">
        <v>6411.4006376739999</v>
      </c>
      <c r="E1203" s="797">
        <v>4084.8943474656799</v>
      </c>
      <c r="F1203" s="798">
        <v>41.874848101124599</v>
      </c>
      <c r="G1203" s="799">
        <v>19.287404482918799</v>
      </c>
    </row>
    <row r="1204" spans="1:7" x14ac:dyDescent="0.3">
      <c r="A1204" s="6" t="s">
        <v>6468</v>
      </c>
      <c r="B1204" s="6"/>
      <c r="C1204" s="792">
        <v>3</v>
      </c>
      <c r="D1204" s="792">
        <v>3365.6559004907299</v>
      </c>
      <c r="E1204" s="793">
        <v>2363.6449529386</v>
      </c>
      <c r="F1204" s="794">
        <v>21.982143615475799</v>
      </c>
      <c r="G1204" s="795">
        <v>11.999319611070201</v>
      </c>
    </row>
    <row r="1205" spans="1:7" x14ac:dyDescent="0.3">
      <c r="A1205" s="11" t="s">
        <v>6469</v>
      </c>
      <c r="B1205" s="11"/>
      <c r="C1205" s="796">
        <v>4</v>
      </c>
      <c r="D1205" s="796">
        <v>2300.2712811494798</v>
      </c>
      <c r="E1205" s="797">
        <v>1991.06030388927</v>
      </c>
      <c r="F1205" s="798">
        <v>15.0237858984366</v>
      </c>
      <c r="G1205" s="799">
        <v>16.661558511465199</v>
      </c>
    </row>
    <row r="1206" spans="1:7" x14ac:dyDescent="0.3">
      <c r="A1206" s="6" t="s">
        <v>6470</v>
      </c>
      <c r="B1206" s="6"/>
      <c r="C1206" s="792">
        <v>2</v>
      </c>
      <c r="D1206" s="792">
        <v>1580.9596763469201</v>
      </c>
      <c r="E1206" s="793">
        <v>1157.4024919639101</v>
      </c>
      <c r="F1206" s="794">
        <v>10.325738484040199</v>
      </c>
      <c r="G1206" s="795">
        <v>9.3894114742091404</v>
      </c>
    </row>
    <row r="1207" spans="1:7" x14ac:dyDescent="0.3">
      <c r="A1207" s="11" t="s">
        <v>6471</v>
      </c>
      <c r="B1207" s="11"/>
      <c r="C1207" s="796">
        <v>5</v>
      </c>
      <c r="D1207" s="796">
        <v>811.36049034688904</v>
      </c>
      <c r="E1207" s="797">
        <v>457.923708689384</v>
      </c>
      <c r="F1207" s="798">
        <v>5.2992472641447597</v>
      </c>
      <c r="G1207" s="799">
        <v>2.8568432747138899</v>
      </c>
    </row>
    <row r="1208" spans="1:7" x14ac:dyDescent="0.3">
      <c r="A1208" s="6" t="s">
        <v>6472</v>
      </c>
      <c r="B1208" s="6"/>
      <c r="C1208" s="792">
        <v>5</v>
      </c>
      <c r="D1208" s="792">
        <v>656.87727590126201</v>
      </c>
      <c r="E1208" s="793">
        <v>381.90426742103898</v>
      </c>
      <c r="F1208" s="794">
        <v>4.2902694284637599</v>
      </c>
      <c r="G1208" s="795">
        <v>3.9241228184365902</v>
      </c>
    </row>
    <row r="1209" spans="1:7" x14ac:dyDescent="0.3">
      <c r="A1209" s="11" t="s">
        <v>6473</v>
      </c>
      <c r="B1209" s="11"/>
      <c r="C1209" s="796">
        <v>1</v>
      </c>
      <c r="D1209" s="796">
        <v>184.33777021672401</v>
      </c>
      <c r="E1209" s="797">
        <v>185.52013134443399</v>
      </c>
      <c r="F1209" s="798">
        <v>1.20396720831437</v>
      </c>
      <c r="G1209" s="799">
        <v>1.5601599901217</v>
      </c>
    </row>
    <row r="1210" spans="1:7" x14ac:dyDescent="0.3">
      <c r="A1210" s="6" t="s">
        <v>960</v>
      </c>
      <c r="B1210" s="6" t="s">
        <v>961</v>
      </c>
      <c r="C1210" s="792">
        <v>18543</v>
      </c>
      <c r="D1210" s="792">
        <v>10199549.136967899</v>
      </c>
      <c r="E1210" s="793">
        <v>5908.6107941094497</v>
      </c>
      <c r="F1210" s="794">
        <v>100</v>
      </c>
      <c r="G1210" s="795">
        <v>0</v>
      </c>
    </row>
    <row r="1211" spans="1:7" x14ac:dyDescent="0.3">
      <c r="A1211" s="11" t="s">
        <v>6269</v>
      </c>
      <c r="B1211" s="11" t="s">
        <v>6270</v>
      </c>
      <c r="C1211" s="796">
        <v>27</v>
      </c>
      <c r="D1211" s="796">
        <v>15310.863032126001</v>
      </c>
      <c r="E1211" s="797">
        <v>5908.6107941006703</v>
      </c>
      <c r="F1211" s="798">
        <v>0.14988813387678299</v>
      </c>
      <c r="G1211" s="799">
        <v>5.7843287074915102E-2</v>
      </c>
    </row>
    <row r="1212" spans="1:7" x14ac:dyDescent="0.3">
      <c r="A1212" s="6" t="s">
        <v>6269</v>
      </c>
      <c r="B1212" s="6" t="s">
        <v>6271</v>
      </c>
      <c r="C1212" s="792">
        <v>18570</v>
      </c>
      <c r="D1212" s="792">
        <v>10214860</v>
      </c>
      <c r="E1212" s="793">
        <v>0</v>
      </c>
      <c r="F1212" s="794">
        <v>100</v>
      </c>
      <c r="G1212" s="795">
        <v>0</v>
      </c>
    </row>
    <row r="1213" spans="1:7" x14ac:dyDescent="0.3">
      <c r="A1213" s="3299" t="s">
        <v>328</v>
      </c>
      <c r="B1213" s="3298"/>
      <c r="C1213" s="3298"/>
      <c r="D1213" s="3298"/>
      <c r="E1213" s="3298"/>
      <c r="F1213" s="3298"/>
      <c r="G1213" s="3298"/>
    </row>
    <row r="1214" spans="1:7" x14ac:dyDescent="0.3">
      <c r="A1214" s="11" t="s">
        <v>962</v>
      </c>
      <c r="B1214" s="11" t="s">
        <v>3108</v>
      </c>
      <c r="C1214" s="804">
        <v>1503</v>
      </c>
      <c r="D1214" s="804">
        <v>723286.33459816803</v>
      </c>
      <c r="E1214" s="805">
        <v>45276.346671375097</v>
      </c>
      <c r="F1214" s="806">
        <v>47.730991787860297</v>
      </c>
      <c r="G1214" s="807">
        <v>2.3134307758698101</v>
      </c>
    </row>
    <row r="1215" spans="1:7" x14ac:dyDescent="0.3">
      <c r="A1215" s="6" t="s">
        <v>964</v>
      </c>
      <c r="B1215" s="6" t="s">
        <v>3109</v>
      </c>
      <c r="C1215" s="800">
        <v>906</v>
      </c>
      <c r="D1215" s="800">
        <v>445934.62268709601</v>
      </c>
      <c r="E1215" s="801">
        <v>25974.6523327498</v>
      </c>
      <c r="F1215" s="802">
        <v>29.428043632575299</v>
      </c>
      <c r="G1215" s="803">
        <v>1.64875182825583</v>
      </c>
    </row>
    <row r="1216" spans="1:7" x14ac:dyDescent="0.3">
      <c r="A1216" s="11" t="s">
        <v>966</v>
      </c>
      <c r="B1216" s="11" t="s">
        <v>3110</v>
      </c>
      <c r="C1216" s="804">
        <v>265</v>
      </c>
      <c r="D1216" s="804">
        <v>137552.777503855</v>
      </c>
      <c r="E1216" s="805">
        <v>12044.2809839204</v>
      </c>
      <c r="F1216" s="806">
        <v>9.0773600707961197</v>
      </c>
      <c r="G1216" s="807">
        <v>0.76227583768783902</v>
      </c>
    </row>
    <row r="1217" spans="1:7" x14ac:dyDescent="0.3">
      <c r="A1217" s="6" t="s">
        <v>970</v>
      </c>
      <c r="B1217" s="6" t="s">
        <v>3112</v>
      </c>
      <c r="C1217" s="800">
        <v>166</v>
      </c>
      <c r="D1217" s="800">
        <v>105435.532191894</v>
      </c>
      <c r="E1217" s="801">
        <v>8167.8276853561401</v>
      </c>
      <c r="F1217" s="802">
        <v>6.9578841469414696</v>
      </c>
      <c r="G1217" s="803">
        <v>0.55429753997541198</v>
      </c>
    </row>
    <row r="1218" spans="1:7" x14ac:dyDescent="0.3">
      <c r="A1218" s="11" t="s">
        <v>968</v>
      </c>
      <c r="B1218" s="11" t="s">
        <v>3111</v>
      </c>
      <c r="C1218" s="804">
        <v>185</v>
      </c>
      <c r="D1218" s="804">
        <v>103129.735009147</v>
      </c>
      <c r="E1218" s="805">
        <v>13315.7290730604</v>
      </c>
      <c r="F1218" s="806">
        <v>6.8057203618267996</v>
      </c>
      <c r="G1218" s="807">
        <v>0.76058334519036397</v>
      </c>
    </row>
    <row r="1219" spans="1:7" x14ac:dyDescent="0.3">
      <c r="A1219" s="6" t="s">
        <v>974</v>
      </c>
      <c r="B1219" s="6" t="s">
        <v>975</v>
      </c>
      <c r="C1219" s="800">
        <v>14656</v>
      </c>
      <c r="D1219" s="800">
        <v>8031542.58914534</v>
      </c>
      <c r="E1219" s="801">
        <v>50737.957559306902</v>
      </c>
      <c r="F1219" s="802">
        <v>92.321664502938503</v>
      </c>
      <c r="G1219" s="803">
        <v>6.0704923227421201E-2</v>
      </c>
    </row>
    <row r="1220" spans="1:7" x14ac:dyDescent="0.3">
      <c r="A1220" s="11" t="s">
        <v>960</v>
      </c>
      <c r="B1220" s="11"/>
      <c r="C1220" s="804">
        <v>851</v>
      </c>
      <c r="D1220" s="804">
        <v>649360.005185658</v>
      </c>
      <c r="E1220" s="805">
        <v>7.74581865908651E-3</v>
      </c>
      <c r="F1220" s="806">
        <v>7.4643190738226801</v>
      </c>
      <c r="G1220" s="807">
        <v>4.4202915647172498E-2</v>
      </c>
    </row>
    <row r="1221" spans="1:7" x14ac:dyDescent="0.3">
      <c r="A1221" s="6" t="s">
        <v>956</v>
      </c>
      <c r="B1221" s="6" t="s">
        <v>957</v>
      </c>
      <c r="C1221" s="800">
        <v>30</v>
      </c>
      <c r="D1221" s="800">
        <v>15857.2816098434</v>
      </c>
      <c r="E1221" s="801">
        <v>3371.44265393665</v>
      </c>
      <c r="F1221" s="802">
        <v>0.18227764049849399</v>
      </c>
      <c r="G1221" s="803">
        <v>3.8670014987571701E-2</v>
      </c>
    </row>
    <row r="1222" spans="1:7" x14ac:dyDescent="0.3">
      <c r="A1222" s="11" t="s">
        <v>958</v>
      </c>
      <c r="B1222" s="11" t="s">
        <v>959</v>
      </c>
      <c r="C1222" s="804">
        <v>8</v>
      </c>
      <c r="D1222" s="804">
        <v>2761.12206900403</v>
      </c>
      <c r="E1222" s="805">
        <v>1579.20579723067</v>
      </c>
      <c r="F1222" s="806">
        <v>3.1738782740287401E-2</v>
      </c>
      <c r="G1222" s="807">
        <v>1.80619886752444E-2</v>
      </c>
    </row>
    <row r="1223" spans="1:7" x14ac:dyDescent="0.3">
      <c r="A1223" s="6" t="s">
        <v>6269</v>
      </c>
      <c r="B1223" s="6" t="s">
        <v>6270</v>
      </c>
      <c r="C1223" s="800">
        <v>3025</v>
      </c>
      <c r="D1223" s="800">
        <v>1515339.00199016</v>
      </c>
      <c r="E1223" s="801">
        <v>51640.120797755597</v>
      </c>
      <c r="F1223" s="802">
        <v>14.834652672578599</v>
      </c>
      <c r="G1223" s="803">
        <v>0.50553919287938198</v>
      </c>
    </row>
    <row r="1224" spans="1:7" x14ac:dyDescent="0.3">
      <c r="A1224" s="11" t="s">
        <v>6269</v>
      </c>
      <c r="B1224" s="11" t="s">
        <v>6271</v>
      </c>
      <c r="C1224" s="804">
        <v>18570</v>
      </c>
      <c r="D1224" s="804">
        <v>10214860</v>
      </c>
      <c r="E1224" s="805">
        <v>0</v>
      </c>
      <c r="F1224" s="806">
        <v>100</v>
      </c>
      <c r="G1224" s="807">
        <v>0</v>
      </c>
    </row>
    <row r="1225" spans="1:7" x14ac:dyDescent="0.3">
      <c r="A1225" s="3299" t="s">
        <v>380</v>
      </c>
      <c r="B1225" s="3298"/>
      <c r="C1225" s="3298"/>
      <c r="D1225" s="3298"/>
      <c r="E1225" s="3298"/>
      <c r="F1225" s="3298"/>
      <c r="G1225" s="3298"/>
    </row>
    <row r="1226" spans="1:7" x14ac:dyDescent="0.3">
      <c r="A1226" s="11" t="s">
        <v>968</v>
      </c>
      <c r="B1226" s="11" t="s">
        <v>5961</v>
      </c>
      <c r="C1226" s="812">
        <v>4130</v>
      </c>
      <c r="D1226" s="812">
        <v>2143301.8807318099</v>
      </c>
      <c r="E1226" s="813">
        <v>70067.680967321096</v>
      </c>
      <c r="F1226" s="814">
        <v>45.936695833208397</v>
      </c>
      <c r="G1226" s="815">
        <v>1.37855751585626</v>
      </c>
    </row>
    <row r="1227" spans="1:7" x14ac:dyDescent="0.3">
      <c r="A1227" s="6" t="s">
        <v>962</v>
      </c>
      <c r="B1227" s="6" t="s">
        <v>5958</v>
      </c>
      <c r="C1227" s="808">
        <v>1983</v>
      </c>
      <c r="D1227" s="808">
        <v>1278440.1276336899</v>
      </c>
      <c r="E1227" s="809">
        <v>45633.722298635097</v>
      </c>
      <c r="F1227" s="810">
        <v>27.4003936692413</v>
      </c>
      <c r="G1227" s="811">
        <v>1.11259893899111</v>
      </c>
    </row>
    <row r="1228" spans="1:7" x14ac:dyDescent="0.3">
      <c r="A1228" s="11" t="s">
        <v>966</v>
      </c>
      <c r="B1228" s="11" t="s">
        <v>5960</v>
      </c>
      <c r="C1228" s="812">
        <v>1150</v>
      </c>
      <c r="D1228" s="812">
        <v>801520.27835919103</v>
      </c>
      <c r="E1228" s="813">
        <v>43315.786778317299</v>
      </c>
      <c r="F1228" s="814">
        <v>17.1787248273972</v>
      </c>
      <c r="G1228" s="815">
        <v>0.85937081230052303</v>
      </c>
    </row>
    <row r="1229" spans="1:7" x14ac:dyDescent="0.3">
      <c r="A1229" s="6" t="s">
        <v>964</v>
      </c>
      <c r="B1229" s="6" t="s">
        <v>5959</v>
      </c>
      <c r="C1229" s="808">
        <v>804</v>
      </c>
      <c r="D1229" s="808">
        <v>434237.18535045697</v>
      </c>
      <c r="E1229" s="809">
        <v>22299.430198219601</v>
      </c>
      <c r="F1229" s="810">
        <v>9.3068651141674792</v>
      </c>
      <c r="G1229" s="811">
        <v>0.45805722875224902</v>
      </c>
    </row>
    <row r="1230" spans="1:7" x14ac:dyDescent="0.3">
      <c r="A1230" s="11" t="s">
        <v>983</v>
      </c>
      <c r="B1230" s="11" t="s">
        <v>1015</v>
      </c>
      <c r="C1230" s="812">
        <v>10</v>
      </c>
      <c r="D1230" s="812">
        <v>8273.3743523124303</v>
      </c>
      <c r="E1230" s="813">
        <v>3565.4672255574201</v>
      </c>
      <c r="F1230" s="814">
        <v>0.177320555985645</v>
      </c>
      <c r="G1230" s="815">
        <v>7.5375177793654602E-2</v>
      </c>
    </row>
    <row r="1231" spans="1:7" x14ac:dyDescent="0.3">
      <c r="A1231" s="6" t="s">
        <v>960</v>
      </c>
      <c r="B1231" s="6" t="s">
        <v>961</v>
      </c>
      <c r="C1231" s="808">
        <v>10488</v>
      </c>
      <c r="D1231" s="808">
        <v>5547728.8209013604</v>
      </c>
      <c r="E1231" s="809">
        <v>39113.143224177496</v>
      </c>
      <c r="F1231" s="810">
        <v>99.975521511312607</v>
      </c>
      <c r="G1231" s="811">
        <v>1.4840870567934599E-2</v>
      </c>
    </row>
    <row r="1232" spans="1:7" x14ac:dyDescent="0.3">
      <c r="A1232" s="11" t="s">
        <v>956</v>
      </c>
      <c r="B1232" s="11" t="s">
        <v>957</v>
      </c>
      <c r="C1232" s="812">
        <v>4</v>
      </c>
      <c r="D1232" s="812">
        <v>1234.2460070699301</v>
      </c>
      <c r="E1232" s="813">
        <v>847.61710772226195</v>
      </c>
      <c r="F1232" s="814">
        <v>2.2242325141268001E-2</v>
      </c>
      <c r="G1232" s="815">
        <v>1.52914455391834E-2</v>
      </c>
    </row>
    <row r="1233" spans="1:7" x14ac:dyDescent="0.3">
      <c r="A1233" s="6" t="s">
        <v>958</v>
      </c>
      <c r="B1233" s="6" t="s">
        <v>959</v>
      </c>
      <c r="C1233" s="808">
        <v>1</v>
      </c>
      <c r="D1233" s="808">
        <v>124.086664074377</v>
      </c>
      <c r="E1233" s="809">
        <v>125.057959975964</v>
      </c>
      <c r="F1233" s="810">
        <v>2.2361635461877701E-3</v>
      </c>
      <c r="G1233" s="811">
        <v>2.2541247578207698E-3</v>
      </c>
    </row>
    <row r="1234" spans="1:7" x14ac:dyDescent="0.3">
      <c r="A1234" s="11" t="s">
        <v>6269</v>
      </c>
      <c r="B1234" s="11" t="s">
        <v>6270</v>
      </c>
      <c r="C1234" s="812">
        <v>8077</v>
      </c>
      <c r="D1234" s="812">
        <v>4665772.8464274602</v>
      </c>
      <c r="E1234" s="813">
        <v>39093.700841128702</v>
      </c>
      <c r="F1234" s="814">
        <v>45.6763269044067</v>
      </c>
      <c r="G1234" s="815">
        <v>0.38271401508310299</v>
      </c>
    </row>
    <row r="1235" spans="1:7" x14ac:dyDescent="0.3">
      <c r="A1235" s="6" t="s">
        <v>6269</v>
      </c>
      <c r="B1235" s="6" t="s">
        <v>6271</v>
      </c>
      <c r="C1235" s="808">
        <v>18570</v>
      </c>
      <c r="D1235" s="808">
        <v>10214860</v>
      </c>
      <c r="E1235" s="809">
        <v>0</v>
      </c>
      <c r="F1235" s="810">
        <v>100</v>
      </c>
      <c r="G1235" s="811">
        <v>0</v>
      </c>
    </row>
    <row r="1236" spans="1:7" x14ac:dyDescent="0.3">
      <c r="A1236" s="3299" t="s">
        <v>299</v>
      </c>
      <c r="B1236" s="3298"/>
      <c r="C1236" s="3298"/>
      <c r="D1236" s="3298"/>
      <c r="E1236" s="3298"/>
      <c r="F1236" s="3298"/>
      <c r="G1236" s="3298"/>
    </row>
    <row r="1237" spans="1:7" x14ac:dyDescent="0.3">
      <c r="A1237" s="11" t="s">
        <v>960</v>
      </c>
      <c r="B1237" s="11" t="s">
        <v>961</v>
      </c>
      <c r="C1237" s="820">
        <v>18560</v>
      </c>
      <c r="D1237" s="820">
        <v>10206586.625647699</v>
      </c>
      <c r="E1237" s="821">
        <v>3565.4672254869301</v>
      </c>
      <c r="F1237" s="822">
        <v>99.919006483179302</v>
      </c>
      <c r="G1237" s="823">
        <v>3.4904709663742199E-2</v>
      </c>
    </row>
    <row r="1238" spans="1:7" x14ac:dyDescent="0.3">
      <c r="A1238" s="6" t="s">
        <v>974</v>
      </c>
      <c r="B1238" s="6"/>
      <c r="C1238" s="816">
        <v>10</v>
      </c>
      <c r="D1238" s="816">
        <v>8273.3743523124303</v>
      </c>
      <c r="E1238" s="817">
        <v>3565.4672255574201</v>
      </c>
      <c r="F1238" s="818">
        <v>8.0993516820714304E-2</v>
      </c>
      <c r="G1238" s="819">
        <v>3.4904709663738598E-2</v>
      </c>
    </row>
    <row r="1239" spans="1:7" x14ac:dyDescent="0.3">
      <c r="A1239" s="11" t="s">
        <v>6269</v>
      </c>
      <c r="B1239" s="11" t="s">
        <v>6270</v>
      </c>
      <c r="C1239" s="820">
        <v>0</v>
      </c>
      <c r="D1239" s="820">
        <v>0</v>
      </c>
      <c r="E1239" s="821">
        <v>0</v>
      </c>
      <c r="F1239" s="822">
        <v>0</v>
      </c>
      <c r="G1239" s="823">
        <v>0</v>
      </c>
    </row>
    <row r="1240" spans="1:7" x14ac:dyDescent="0.3">
      <c r="A1240" s="6" t="s">
        <v>6269</v>
      </c>
      <c r="B1240" s="6" t="s">
        <v>6271</v>
      </c>
      <c r="C1240" s="816">
        <v>18570</v>
      </c>
      <c r="D1240" s="816">
        <v>10214860</v>
      </c>
      <c r="E1240" s="817">
        <v>0</v>
      </c>
      <c r="F1240" s="818">
        <v>100</v>
      </c>
      <c r="G1240" s="819">
        <v>0</v>
      </c>
    </row>
    <row r="1241" spans="1:7" x14ac:dyDescent="0.3">
      <c r="A1241" s="3299" t="s">
        <v>561</v>
      </c>
      <c r="B1241" s="3298"/>
      <c r="C1241" s="3298"/>
      <c r="D1241" s="3298"/>
      <c r="E1241" s="3298"/>
      <c r="F1241" s="3298"/>
      <c r="G1241" s="3298"/>
    </row>
    <row r="1242" spans="1:7" x14ac:dyDescent="0.3">
      <c r="A1242" s="11" t="s">
        <v>962</v>
      </c>
      <c r="B1242" s="11" t="s">
        <v>6037</v>
      </c>
      <c r="C1242" s="828">
        <v>2277</v>
      </c>
      <c r="D1242" s="828">
        <v>1709541.20504422</v>
      </c>
      <c r="E1242" s="829">
        <v>16068.46061052</v>
      </c>
      <c r="F1242" s="830">
        <v>95.032684029267102</v>
      </c>
      <c r="G1242" s="831">
        <v>0.54936688842426795</v>
      </c>
    </row>
    <row r="1243" spans="1:7" x14ac:dyDescent="0.3">
      <c r="A1243" s="6" t="s">
        <v>964</v>
      </c>
      <c r="B1243" s="6" t="s">
        <v>6038</v>
      </c>
      <c r="C1243" s="824">
        <v>110</v>
      </c>
      <c r="D1243" s="824">
        <v>72074.928010230593</v>
      </c>
      <c r="E1243" s="825">
        <v>10160.104562918001</v>
      </c>
      <c r="F1243" s="826">
        <v>4.0066152484761304</v>
      </c>
      <c r="G1243" s="827">
        <v>0.56584437263732001</v>
      </c>
    </row>
    <row r="1244" spans="1:7" x14ac:dyDescent="0.3">
      <c r="A1244" s="11" t="s">
        <v>966</v>
      </c>
      <c r="B1244" s="11" t="s">
        <v>6039</v>
      </c>
      <c r="C1244" s="828">
        <v>25</v>
      </c>
      <c r="D1244" s="828">
        <v>17282.027622285099</v>
      </c>
      <c r="E1244" s="829">
        <v>4140.3944158522399</v>
      </c>
      <c r="F1244" s="830">
        <v>0.96070072225676795</v>
      </c>
      <c r="G1244" s="831">
        <v>0.232856069856853</v>
      </c>
    </row>
    <row r="1245" spans="1:7" x14ac:dyDescent="0.3">
      <c r="A1245" s="6" t="s">
        <v>960</v>
      </c>
      <c r="B1245" s="6" t="s">
        <v>961</v>
      </c>
      <c r="C1245" s="824">
        <v>16156</v>
      </c>
      <c r="D1245" s="824">
        <v>8415281.5198265892</v>
      </c>
      <c r="E1245" s="825">
        <v>10858.5341812524</v>
      </c>
      <c r="F1245" s="826">
        <v>99.991916319136706</v>
      </c>
      <c r="G1245" s="827">
        <v>8.2291583479364994E-3</v>
      </c>
    </row>
    <row r="1246" spans="1:7" x14ac:dyDescent="0.3">
      <c r="A1246" s="11" t="s">
        <v>974</v>
      </c>
      <c r="B1246" s="11" t="s">
        <v>975</v>
      </c>
      <c r="C1246" s="828">
        <v>2</v>
      </c>
      <c r="D1246" s="828">
        <v>680.31949666750199</v>
      </c>
      <c r="E1246" s="829">
        <v>692.65162202404804</v>
      </c>
      <c r="F1246" s="830">
        <v>8.0836808632940207E-3</v>
      </c>
      <c r="G1246" s="831">
        <v>8.2291583479333907E-3</v>
      </c>
    </row>
    <row r="1247" spans="1:7" x14ac:dyDescent="0.3">
      <c r="A1247" s="6" t="s">
        <v>6269</v>
      </c>
      <c r="B1247" s="6" t="s">
        <v>6270</v>
      </c>
      <c r="C1247" s="824">
        <v>2412</v>
      </c>
      <c r="D1247" s="824">
        <v>1798898.1606767301</v>
      </c>
      <c r="E1247" s="825">
        <v>10920.671704426801</v>
      </c>
      <c r="F1247" s="826">
        <v>17.6106002498001</v>
      </c>
      <c r="G1247" s="827">
        <v>0.106909656171745</v>
      </c>
    </row>
    <row r="1248" spans="1:7" x14ac:dyDescent="0.3">
      <c r="A1248" s="11" t="s">
        <v>6269</v>
      </c>
      <c r="B1248" s="11" t="s">
        <v>6271</v>
      </c>
      <c r="C1248" s="828">
        <v>18570</v>
      </c>
      <c r="D1248" s="828">
        <v>10214860</v>
      </c>
      <c r="E1248" s="829">
        <v>0</v>
      </c>
      <c r="F1248" s="830">
        <v>100</v>
      </c>
      <c r="G1248" s="831">
        <v>0</v>
      </c>
    </row>
    <row r="1249" spans="1:7" x14ac:dyDescent="0.3">
      <c r="A1249" s="3299" t="s">
        <v>377</v>
      </c>
      <c r="B1249" s="3298"/>
      <c r="C1249" s="3298"/>
      <c r="D1249" s="3298"/>
      <c r="E1249" s="3298"/>
      <c r="F1249" s="3298"/>
      <c r="G1249" s="3298"/>
    </row>
    <row r="1250" spans="1:7" x14ac:dyDescent="0.3">
      <c r="A1250" s="11" t="s">
        <v>1152</v>
      </c>
      <c r="B1250" s="11"/>
      <c r="C1250" s="836">
        <v>4738</v>
      </c>
      <c r="D1250" s="836">
        <v>2563974.2652842901</v>
      </c>
      <c r="E1250" s="837">
        <v>50366.888528135198</v>
      </c>
      <c r="F1250" s="838">
        <v>26.8928767507708</v>
      </c>
      <c r="G1250" s="839">
        <v>0.530002268596802</v>
      </c>
    </row>
    <row r="1251" spans="1:7" x14ac:dyDescent="0.3">
      <c r="A1251" s="6" t="s">
        <v>6277</v>
      </c>
      <c r="B1251" s="6"/>
      <c r="C1251" s="832">
        <v>2517</v>
      </c>
      <c r="D1251" s="832">
        <v>1362379.5133524199</v>
      </c>
      <c r="E1251" s="833">
        <v>42096.549900657701</v>
      </c>
      <c r="F1251" s="834">
        <v>14.2896536975574</v>
      </c>
      <c r="G1251" s="835">
        <v>0.442525348082206</v>
      </c>
    </row>
    <row r="1252" spans="1:7" x14ac:dyDescent="0.3">
      <c r="A1252" s="11" t="s">
        <v>6275</v>
      </c>
      <c r="B1252" s="11"/>
      <c r="C1252" s="836">
        <v>1684</v>
      </c>
      <c r="D1252" s="836">
        <v>953152.35300998203</v>
      </c>
      <c r="E1252" s="837">
        <v>41524.471131630999</v>
      </c>
      <c r="F1252" s="838">
        <v>9.9973736481175202</v>
      </c>
      <c r="G1252" s="839">
        <v>0.43444665544838701</v>
      </c>
    </row>
    <row r="1253" spans="1:7" x14ac:dyDescent="0.3">
      <c r="A1253" s="6" t="s">
        <v>6273</v>
      </c>
      <c r="B1253" s="6"/>
      <c r="C1253" s="832">
        <v>1805</v>
      </c>
      <c r="D1253" s="832">
        <v>942284.27688465803</v>
      </c>
      <c r="E1253" s="833">
        <v>40378.156747855297</v>
      </c>
      <c r="F1253" s="834">
        <v>9.8833811499424495</v>
      </c>
      <c r="G1253" s="835">
        <v>0.42405202042748102</v>
      </c>
    </row>
    <row r="1254" spans="1:7" x14ac:dyDescent="0.3">
      <c r="A1254" s="11" t="s">
        <v>6274</v>
      </c>
      <c r="B1254" s="11"/>
      <c r="C1254" s="836">
        <v>1459</v>
      </c>
      <c r="D1254" s="836">
        <v>833988.41986301902</v>
      </c>
      <c r="E1254" s="837">
        <v>33263.160587116101</v>
      </c>
      <c r="F1254" s="838">
        <v>8.7474933312013707</v>
      </c>
      <c r="G1254" s="839">
        <v>0.35229168062013</v>
      </c>
    </row>
    <row r="1255" spans="1:7" x14ac:dyDescent="0.3">
      <c r="A1255" s="6" t="s">
        <v>6276</v>
      </c>
      <c r="B1255" s="6"/>
      <c r="C1255" s="832">
        <v>1155</v>
      </c>
      <c r="D1255" s="832">
        <v>588366.91104091704</v>
      </c>
      <c r="E1255" s="833">
        <v>29023.2402715762</v>
      </c>
      <c r="F1255" s="834">
        <v>6.1712315279813001</v>
      </c>
      <c r="G1255" s="835">
        <v>0.302063039113173</v>
      </c>
    </row>
    <row r="1256" spans="1:7" x14ac:dyDescent="0.3">
      <c r="A1256" s="11" t="s">
        <v>6272</v>
      </c>
      <c r="B1256" s="11"/>
      <c r="C1256" s="836">
        <v>891</v>
      </c>
      <c r="D1256" s="836">
        <v>470330.41627347103</v>
      </c>
      <c r="E1256" s="837">
        <v>18611.396152789999</v>
      </c>
      <c r="F1256" s="838">
        <v>4.9331766267079704</v>
      </c>
      <c r="G1256" s="839">
        <v>0.19353301406571299</v>
      </c>
    </row>
    <row r="1257" spans="1:7" x14ac:dyDescent="0.3">
      <c r="A1257" s="6" t="s">
        <v>995</v>
      </c>
      <c r="B1257" s="6"/>
      <c r="C1257" s="832">
        <v>488</v>
      </c>
      <c r="D1257" s="832">
        <v>275386.74767837703</v>
      </c>
      <c r="E1257" s="833">
        <v>18222.673722287302</v>
      </c>
      <c r="F1257" s="834">
        <v>2.88846185563763</v>
      </c>
      <c r="G1257" s="835">
        <v>0.19203732366478399</v>
      </c>
    </row>
    <row r="1258" spans="1:7" x14ac:dyDescent="0.3">
      <c r="A1258" s="11" t="s">
        <v>6278</v>
      </c>
      <c r="B1258" s="11"/>
      <c r="C1258" s="836">
        <v>515</v>
      </c>
      <c r="D1258" s="836">
        <v>248675.472696424</v>
      </c>
      <c r="E1258" s="837">
        <v>23133.0053727579</v>
      </c>
      <c r="F1258" s="838">
        <v>2.60829405689182</v>
      </c>
      <c r="G1258" s="839">
        <v>0.24236131241137501</v>
      </c>
    </row>
    <row r="1259" spans="1:7" x14ac:dyDescent="0.3">
      <c r="A1259" s="6" t="s">
        <v>1003</v>
      </c>
      <c r="B1259" s="6"/>
      <c r="C1259" s="832">
        <v>497</v>
      </c>
      <c r="D1259" s="832">
        <v>243918.22777382901</v>
      </c>
      <c r="E1259" s="833">
        <v>12848.0097163466</v>
      </c>
      <c r="F1259" s="834">
        <v>2.5583965196548899</v>
      </c>
      <c r="G1259" s="835">
        <v>0.13647904601487701</v>
      </c>
    </row>
    <row r="1260" spans="1:7" x14ac:dyDescent="0.3">
      <c r="A1260" s="11" t="s">
        <v>1155</v>
      </c>
      <c r="B1260" s="11"/>
      <c r="C1260" s="836">
        <v>289</v>
      </c>
      <c r="D1260" s="836">
        <v>198436.49128016099</v>
      </c>
      <c r="E1260" s="837">
        <v>21881.141599199102</v>
      </c>
      <c r="F1260" s="838">
        <v>2.0813501036684801</v>
      </c>
      <c r="G1260" s="839">
        <v>0.22982683129043499</v>
      </c>
    </row>
    <row r="1261" spans="1:7" x14ac:dyDescent="0.3">
      <c r="A1261" s="6" t="s">
        <v>1047</v>
      </c>
      <c r="B1261" s="6"/>
      <c r="C1261" s="832">
        <v>216</v>
      </c>
      <c r="D1261" s="832">
        <v>110056.84520412701</v>
      </c>
      <c r="E1261" s="833">
        <v>10731.2312870593</v>
      </c>
      <c r="F1261" s="834">
        <v>1.1543583778229001</v>
      </c>
      <c r="G1261" s="835">
        <v>0.11258890076722899</v>
      </c>
    </row>
    <row r="1262" spans="1:7" x14ac:dyDescent="0.3">
      <c r="A1262" s="11" t="s">
        <v>1005</v>
      </c>
      <c r="B1262" s="11"/>
      <c r="C1262" s="836">
        <v>209</v>
      </c>
      <c r="D1262" s="836">
        <v>109911.75004612</v>
      </c>
      <c r="E1262" s="837">
        <v>12715.224000276899</v>
      </c>
      <c r="F1262" s="838">
        <v>1.15283651145542</v>
      </c>
      <c r="G1262" s="839">
        <v>0.133177452446651</v>
      </c>
    </row>
    <row r="1263" spans="1:7" x14ac:dyDescent="0.3">
      <c r="A1263" s="6" t="s">
        <v>1157</v>
      </c>
      <c r="B1263" s="6"/>
      <c r="C1263" s="832">
        <v>137</v>
      </c>
      <c r="D1263" s="832">
        <v>79333.395118979097</v>
      </c>
      <c r="E1263" s="833">
        <v>5864.3304196787903</v>
      </c>
      <c r="F1263" s="834">
        <v>0.83210789048943401</v>
      </c>
      <c r="G1263" s="835">
        <v>6.1227639530674498E-2</v>
      </c>
    </row>
    <row r="1264" spans="1:7" x14ac:dyDescent="0.3">
      <c r="A1264" s="11" t="s">
        <v>6279</v>
      </c>
      <c r="B1264" s="11"/>
      <c r="C1264" s="836">
        <v>153</v>
      </c>
      <c r="D1264" s="836">
        <v>71734.5178436844</v>
      </c>
      <c r="E1264" s="837">
        <v>9414.3046249518502</v>
      </c>
      <c r="F1264" s="838">
        <v>0.75240519113879401</v>
      </c>
      <c r="G1264" s="839">
        <v>9.8491922055239295E-2</v>
      </c>
    </row>
    <row r="1265" spans="1:7" x14ac:dyDescent="0.3">
      <c r="A1265" s="6" t="s">
        <v>3032</v>
      </c>
      <c r="B1265" s="6"/>
      <c r="C1265" s="832">
        <v>103</v>
      </c>
      <c r="D1265" s="832">
        <v>62073.620516554103</v>
      </c>
      <c r="E1265" s="833">
        <v>7149.8354812110501</v>
      </c>
      <c r="F1265" s="834">
        <v>0.65107448566404102</v>
      </c>
      <c r="G1265" s="835">
        <v>7.4901815024288401E-2</v>
      </c>
    </row>
    <row r="1266" spans="1:7" x14ac:dyDescent="0.3">
      <c r="A1266" s="11" t="s">
        <v>999</v>
      </c>
      <c r="B1266" s="11"/>
      <c r="C1266" s="836">
        <v>129</v>
      </c>
      <c r="D1266" s="836">
        <v>52100.661954507603</v>
      </c>
      <c r="E1266" s="837">
        <v>7893.0882638539597</v>
      </c>
      <c r="F1266" s="838">
        <v>0.54647064892470398</v>
      </c>
      <c r="G1266" s="839">
        <v>8.2856488466822406E-2</v>
      </c>
    </row>
    <row r="1267" spans="1:7" x14ac:dyDescent="0.3">
      <c r="A1267" s="6" t="s">
        <v>3047</v>
      </c>
      <c r="B1267" s="6"/>
      <c r="C1267" s="832">
        <v>84</v>
      </c>
      <c r="D1267" s="832">
        <v>42876.225445227101</v>
      </c>
      <c r="E1267" s="833">
        <v>9297.2843668412097</v>
      </c>
      <c r="F1267" s="834">
        <v>0.44971787043615402</v>
      </c>
      <c r="G1267" s="835">
        <v>9.7555918330222494E-2</v>
      </c>
    </row>
    <row r="1268" spans="1:7" x14ac:dyDescent="0.3">
      <c r="A1268" s="11" t="s">
        <v>1161</v>
      </c>
      <c r="B1268" s="11"/>
      <c r="C1268" s="836">
        <v>66</v>
      </c>
      <c r="D1268" s="836">
        <v>42121.822156912604</v>
      </c>
      <c r="E1268" s="837">
        <v>7445.5545101837397</v>
      </c>
      <c r="F1268" s="838">
        <v>0.44180512539510097</v>
      </c>
      <c r="G1268" s="839">
        <v>7.7999346948797399E-2</v>
      </c>
    </row>
    <row r="1269" spans="1:7" x14ac:dyDescent="0.3">
      <c r="A1269" s="6" t="s">
        <v>1007</v>
      </c>
      <c r="B1269" s="6"/>
      <c r="C1269" s="832">
        <v>57</v>
      </c>
      <c r="D1269" s="832">
        <v>33088.789540502097</v>
      </c>
      <c r="E1269" s="833">
        <v>9159.7111829778405</v>
      </c>
      <c r="F1269" s="834">
        <v>0.34705993386647799</v>
      </c>
      <c r="G1269" s="835">
        <v>9.6082440594708093E-2</v>
      </c>
    </row>
    <row r="1270" spans="1:7" x14ac:dyDescent="0.3">
      <c r="A1270" s="11" t="s">
        <v>3038</v>
      </c>
      <c r="B1270" s="11"/>
      <c r="C1270" s="836">
        <v>76</v>
      </c>
      <c r="D1270" s="836">
        <v>31302.376698497501</v>
      </c>
      <c r="E1270" s="837">
        <v>7656.8755076560401</v>
      </c>
      <c r="F1270" s="838">
        <v>0.32832270196969099</v>
      </c>
      <c r="G1270" s="839">
        <v>8.0313591732885395E-2</v>
      </c>
    </row>
    <row r="1271" spans="1:7" x14ac:dyDescent="0.3">
      <c r="A1271" s="6" t="s">
        <v>1159</v>
      </c>
      <c r="B1271" s="6"/>
      <c r="C1271" s="832">
        <v>43</v>
      </c>
      <c r="D1271" s="832">
        <v>27695.447630749699</v>
      </c>
      <c r="E1271" s="833">
        <v>9340.3792920384603</v>
      </c>
      <c r="F1271" s="834">
        <v>0.29049053642065098</v>
      </c>
      <c r="G1271" s="835">
        <v>9.7927899180767497E-2</v>
      </c>
    </row>
    <row r="1272" spans="1:7" x14ac:dyDescent="0.3">
      <c r="A1272" s="11" t="s">
        <v>6280</v>
      </c>
      <c r="B1272" s="11"/>
      <c r="C1272" s="836">
        <v>52</v>
      </c>
      <c r="D1272" s="836">
        <v>24720.249692753299</v>
      </c>
      <c r="E1272" s="837">
        <v>6173.7882984242897</v>
      </c>
      <c r="F1272" s="838">
        <v>0.25928443870780499</v>
      </c>
      <c r="G1272" s="839">
        <v>6.4687820237831498E-2</v>
      </c>
    </row>
    <row r="1273" spans="1:7" x14ac:dyDescent="0.3">
      <c r="A1273" s="6" t="s">
        <v>1011</v>
      </c>
      <c r="B1273" s="6"/>
      <c r="C1273" s="832">
        <v>30</v>
      </c>
      <c r="D1273" s="832">
        <v>22527.801394490401</v>
      </c>
      <c r="E1273" s="833">
        <v>5496.9543493927404</v>
      </c>
      <c r="F1273" s="834">
        <v>0.23628840373742899</v>
      </c>
      <c r="G1273" s="835">
        <v>5.7625487864354799E-2</v>
      </c>
    </row>
    <row r="1274" spans="1:7" x14ac:dyDescent="0.3">
      <c r="A1274" s="11" t="s">
        <v>3210</v>
      </c>
      <c r="B1274" s="11"/>
      <c r="C1274" s="836">
        <v>29</v>
      </c>
      <c r="D1274" s="836">
        <v>19174.316771993501</v>
      </c>
      <c r="E1274" s="837">
        <v>9216.3232923754695</v>
      </c>
      <c r="F1274" s="838">
        <v>0.201114552790679</v>
      </c>
      <c r="G1274" s="839">
        <v>9.6685708417769495E-2</v>
      </c>
    </row>
    <row r="1275" spans="1:7" x14ac:dyDescent="0.3">
      <c r="A1275" s="6" t="s">
        <v>997</v>
      </c>
      <c r="B1275" s="6"/>
      <c r="C1275" s="832">
        <v>30</v>
      </c>
      <c r="D1275" s="832">
        <v>17412.926863811201</v>
      </c>
      <c r="E1275" s="833">
        <v>3560.1043307093601</v>
      </c>
      <c r="F1275" s="834">
        <v>0.18263978010978099</v>
      </c>
      <c r="G1275" s="835">
        <v>3.7291821204487499E-2</v>
      </c>
    </row>
    <row r="1276" spans="1:7" x14ac:dyDescent="0.3">
      <c r="A1276" s="11" t="s">
        <v>1165</v>
      </c>
      <c r="B1276" s="11"/>
      <c r="C1276" s="836">
        <v>24</v>
      </c>
      <c r="D1276" s="836">
        <v>11364.9755813256</v>
      </c>
      <c r="E1276" s="837">
        <v>2430.4661655191999</v>
      </c>
      <c r="F1276" s="838">
        <v>0.119204350730962</v>
      </c>
      <c r="G1276" s="839">
        <v>2.5477844634227201E-2</v>
      </c>
    </row>
    <row r="1277" spans="1:7" x14ac:dyDescent="0.3">
      <c r="A1277" s="6" t="s">
        <v>3077</v>
      </c>
      <c r="B1277" s="6"/>
      <c r="C1277" s="832">
        <v>10</v>
      </c>
      <c r="D1277" s="832">
        <v>8219.1323103706109</v>
      </c>
      <c r="E1277" s="833">
        <v>3524.7603768536401</v>
      </c>
      <c r="F1277" s="834">
        <v>8.6208397336065598E-2</v>
      </c>
      <c r="G1277" s="835">
        <v>3.6977779330845999E-2</v>
      </c>
    </row>
    <row r="1278" spans="1:7" x14ac:dyDescent="0.3">
      <c r="A1278" s="11" t="s">
        <v>1001</v>
      </c>
      <c r="B1278" s="11"/>
      <c r="C1278" s="836">
        <v>14</v>
      </c>
      <c r="D1278" s="836">
        <v>8052.4834734556698</v>
      </c>
      <c r="E1278" s="837">
        <v>3243.9402173462199</v>
      </c>
      <c r="F1278" s="838">
        <v>8.4460459888918094E-2</v>
      </c>
      <c r="G1278" s="839">
        <v>3.3987053932893398E-2</v>
      </c>
    </row>
    <row r="1279" spans="1:7" x14ac:dyDescent="0.3">
      <c r="A1279" s="6" t="s">
        <v>3061</v>
      </c>
      <c r="B1279" s="6"/>
      <c r="C1279" s="832">
        <v>10</v>
      </c>
      <c r="D1279" s="832">
        <v>7111.4580159227298</v>
      </c>
      <c r="E1279" s="833">
        <v>3511.5571360928998</v>
      </c>
      <c r="F1279" s="834">
        <v>7.4590282176364098E-2</v>
      </c>
      <c r="G1279" s="835">
        <v>3.68226277397702E-2</v>
      </c>
    </row>
    <row r="1280" spans="1:7" x14ac:dyDescent="0.3">
      <c r="A1280" s="11" t="s">
        <v>1009</v>
      </c>
      <c r="B1280" s="11"/>
      <c r="C1280" s="836">
        <v>13</v>
      </c>
      <c r="D1280" s="836">
        <v>6431.4222057669604</v>
      </c>
      <c r="E1280" s="837">
        <v>2990.98289710688</v>
      </c>
      <c r="F1280" s="838">
        <v>6.74575587804052E-2</v>
      </c>
      <c r="G1280" s="839">
        <v>3.13702369335103E-2</v>
      </c>
    </row>
    <row r="1281" spans="1:7" x14ac:dyDescent="0.3">
      <c r="A1281" s="6" t="s">
        <v>1163</v>
      </c>
      <c r="B1281" s="6"/>
      <c r="C1281" s="832">
        <v>12</v>
      </c>
      <c r="D1281" s="832">
        <v>6083.5868112824901</v>
      </c>
      <c r="E1281" s="833">
        <v>4078.40082688338</v>
      </c>
      <c r="F1281" s="834">
        <v>6.3809201415792896E-2</v>
      </c>
      <c r="G1281" s="835">
        <v>4.2769144140889198E-2</v>
      </c>
    </row>
    <row r="1282" spans="1:7" x14ac:dyDescent="0.3">
      <c r="A1282" s="11" t="s">
        <v>1049</v>
      </c>
      <c r="B1282" s="11"/>
      <c r="C1282" s="836">
        <v>13</v>
      </c>
      <c r="D1282" s="836">
        <v>5056.9641488918396</v>
      </c>
      <c r="E1282" s="837">
        <v>1899.60422087863</v>
      </c>
      <c r="F1282" s="838">
        <v>5.3041216298688403E-2</v>
      </c>
      <c r="G1282" s="839">
        <v>1.9911103608799201E-2</v>
      </c>
    </row>
    <row r="1283" spans="1:7" x14ac:dyDescent="0.3">
      <c r="A1283" s="6" t="s">
        <v>1053</v>
      </c>
      <c r="B1283" s="6"/>
      <c r="C1283" s="832">
        <v>15</v>
      </c>
      <c r="D1283" s="832">
        <v>5016.8010090975304</v>
      </c>
      <c r="E1283" s="833">
        <v>1410.1891971770101</v>
      </c>
      <c r="F1283" s="834">
        <v>5.2619955296564998E-2</v>
      </c>
      <c r="G1283" s="835">
        <v>1.47803408582313E-2</v>
      </c>
    </row>
    <row r="1284" spans="1:7" x14ac:dyDescent="0.3">
      <c r="A1284" s="11" t="s">
        <v>1065</v>
      </c>
      <c r="B1284" s="11"/>
      <c r="C1284" s="836">
        <v>13</v>
      </c>
      <c r="D1284" s="836">
        <v>4796.5181212821799</v>
      </c>
      <c r="E1284" s="837">
        <v>2244.1260954879099</v>
      </c>
      <c r="F1284" s="838">
        <v>5.0309463872164902E-2</v>
      </c>
      <c r="G1284" s="839">
        <v>2.35315905802005E-2</v>
      </c>
    </row>
    <row r="1285" spans="1:7" x14ac:dyDescent="0.3">
      <c r="A1285" s="6" t="s">
        <v>3051</v>
      </c>
      <c r="B1285" s="6"/>
      <c r="C1285" s="832">
        <v>5</v>
      </c>
      <c r="D1285" s="832">
        <v>3729.1567872942301</v>
      </c>
      <c r="E1285" s="833">
        <v>2398.65062459511</v>
      </c>
      <c r="F1285" s="834">
        <v>3.9114181145606899E-2</v>
      </c>
      <c r="G1285" s="835">
        <v>2.5157071195379001E-2</v>
      </c>
    </row>
    <row r="1286" spans="1:7" x14ac:dyDescent="0.3">
      <c r="A1286" s="11" t="s">
        <v>1013</v>
      </c>
      <c r="B1286" s="11"/>
      <c r="C1286" s="836">
        <v>6</v>
      </c>
      <c r="D1286" s="836">
        <v>3410.88077165703</v>
      </c>
      <c r="E1286" s="837">
        <v>2350.9049388314902</v>
      </c>
      <c r="F1286" s="838">
        <v>3.5775864619911002E-2</v>
      </c>
      <c r="G1286" s="839">
        <v>2.4663610482945599E-2</v>
      </c>
    </row>
    <row r="1287" spans="1:7" x14ac:dyDescent="0.3">
      <c r="A1287" s="6" t="s">
        <v>3067</v>
      </c>
      <c r="B1287" s="6"/>
      <c r="C1287" s="832">
        <v>4</v>
      </c>
      <c r="D1287" s="832">
        <v>3403.1868029070802</v>
      </c>
      <c r="E1287" s="833">
        <v>2001.6439084164101</v>
      </c>
      <c r="F1287" s="834">
        <v>3.5695164530164199E-2</v>
      </c>
      <c r="G1287" s="835">
        <v>2.1005301319090799E-2</v>
      </c>
    </row>
    <row r="1288" spans="1:7" x14ac:dyDescent="0.3">
      <c r="A1288" s="11" t="s">
        <v>1057</v>
      </c>
      <c r="B1288" s="11"/>
      <c r="C1288" s="836">
        <v>8</v>
      </c>
      <c r="D1288" s="836">
        <v>3300.3759293067401</v>
      </c>
      <c r="E1288" s="837">
        <v>1498.2326108119601</v>
      </c>
      <c r="F1288" s="838">
        <v>3.46168073134758E-2</v>
      </c>
      <c r="G1288" s="839">
        <v>1.5712411284193099E-2</v>
      </c>
    </row>
    <row r="1289" spans="1:7" x14ac:dyDescent="0.3">
      <c r="A1289" s="6" t="s">
        <v>3193</v>
      </c>
      <c r="B1289" s="6"/>
      <c r="C1289" s="832">
        <v>2</v>
      </c>
      <c r="D1289" s="832">
        <v>3183.6969746559998</v>
      </c>
      <c r="E1289" s="833">
        <v>2605.8062799047502</v>
      </c>
      <c r="F1289" s="834">
        <v>3.3392991306694098E-2</v>
      </c>
      <c r="G1289" s="835">
        <v>2.7325331108848799E-2</v>
      </c>
    </row>
    <row r="1290" spans="1:7" x14ac:dyDescent="0.3">
      <c r="A1290" s="11" t="s">
        <v>3036</v>
      </c>
      <c r="B1290" s="11"/>
      <c r="C1290" s="836">
        <v>3</v>
      </c>
      <c r="D1290" s="836">
        <v>3092.4177352392599</v>
      </c>
      <c r="E1290" s="837">
        <v>2510.9997799085399</v>
      </c>
      <c r="F1290" s="838">
        <v>3.2435586480610103E-2</v>
      </c>
      <c r="G1290" s="839">
        <v>2.6337382164685699E-2</v>
      </c>
    </row>
    <row r="1291" spans="1:7" x14ac:dyDescent="0.3">
      <c r="A1291" s="6" t="s">
        <v>3040</v>
      </c>
      <c r="B1291" s="6"/>
      <c r="C1291" s="832">
        <v>1</v>
      </c>
      <c r="D1291" s="832">
        <v>2918.91275854368</v>
      </c>
      <c r="E1291" s="833">
        <v>2946.6517536644001</v>
      </c>
      <c r="F1291" s="834">
        <v>3.0615736719597601E-2</v>
      </c>
      <c r="G1291" s="835">
        <v>3.0904553005338901E-2</v>
      </c>
    </row>
    <row r="1292" spans="1:7" x14ac:dyDescent="0.3">
      <c r="A1292" s="11" t="s">
        <v>1061</v>
      </c>
      <c r="B1292" s="11"/>
      <c r="C1292" s="836">
        <v>3</v>
      </c>
      <c r="D1292" s="836">
        <v>2530.0791109711799</v>
      </c>
      <c r="E1292" s="837">
        <v>2324.6828411874899</v>
      </c>
      <c r="F1292" s="838">
        <v>2.65373590610136E-2</v>
      </c>
      <c r="G1292" s="839">
        <v>2.4382340274142301E-2</v>
      </c>
    </row>
    <row r="1293" spans="1:7" x14ac:dyDescent="0.3">
      <c r="A1293" s="6" t="s">
        <v>1051</v>
      </c>
      <c r="B1293" s="6"/>
      <c r="C1293" s="832">
        <v>2</v>
      </c>
      <c r="D1293" s="832">
        <v>2526.7120280999402</v>
      </c>
      <c r="E1293" s="833">
        <v>2508.09253326423</v>
      </c>
      <c r="F1293" s="834">
        <v>2.65020425814795E-2</v>
      </c>
      <c r="G1293" s="835">
        <v>2.6305291410402401E-2</v>
      </c>
    </row>
    <row r="1294" spans="1:7" x14ac:dyDescent="0.3">
      <c r="A1294" s="11" t="s">
        <v>1167</v>
      </c>
      <c r="B1294" s="11"/>
      <c r="C1294" s="836">
        <v>6</v>
      </c>
      <c r="D1294" s="836">
        <v>2207.1282401020999</v>
      </c>
      <c r="E1294" s="837">
        <v>824.316725956695</v>
      </c>
      <c r="F1294" s="838">
        <v>2.3150009162681701E-2</v>
      </c>
      <c r="G1294" s="839">
        <v>8.6371271477744503E-3</v>
      </c>
    </row>
    <row r="1295" spans="1:7" x14ac:dyDescent="0.3">
      <c r="A1295" s="6" t="s">
        <v>3069</v>
      </c>
      <c r="B1295" s="6"/>
      <c r="C1295" s="832">
        <v>5</v>
      </c>
      <c r="D1295" s="832">
        <v>2147.29086341231</v>
      </c>
      <c r="E1295" s="833">
        <v>1568.67038845657</v>
      </c>
      <c r="F1295" s="834">
        <v>2.2522390072195399E-2</v>
      </c>
      <c r="G1295" s="835">
        <v>1.6448511775852898E-2</v>
      </c>
    </row>
    <row r="1296" spans="1:7" x14ac:dyDescent="0.3">
      <c r="A1296" s="11" t="s">
        <v>1101</v>
      </c>
      <c r="B1296" s="11"/>
      <c r="C1296" s="836">
        <v>2</v>
      </c>
      <c r="D1296" s="836">
        <v>2097.3090162226899</v>
      </c>
      <c r="E1296" s="837">
        <v>1631.5320340118301</v>
      </c>
      <c r="F1296" s="838">
        <v>2.1998143134756998E-2</v>
      </c>
      <c r="G1296" s="839">
        <v>1.7110876992662501E-2</v>
      </c>
    </row>
    <row r="1297" spans="1:7" x14ac:dyDescent="0.3">
      <c r="A1297" s="6" t="s">
        <v>3083</v>
      </c>
      <c r="B1297" s="6"/>
      <c r="C1297" s="832">
        <v>4</v>
      </c>
      <c r="D1297" s="832">
        <v>1838.8053878963599</v>
      </c>
      <c r="E1297" s="833">
        <v>1248.4211606747999</v>
      </c>
      <c r="F1297" s="834">
        <v>1.9286764042410202E-2</v>
      </c>
      <c r="G1297" s="835">
        <v>1.3088661689971399E-2</v>
      </c>
    </row>
    <row r="1298" spans="1:7" x14ac:dyDescent="0.3">
      <c r="A1298" s="11" t="s">
        <v>6466</v>
      </c>
      <c r="B1298" s="11"/>
      <c r="C1298" s="836">
        <v>1</v>
      </c>
      <c r="D1298" s="836">
        <v>1455.6635097923099</v>
      </c>
      <c r="E1298" s="837">
        <v>1448.1341517543899</v>
      </c>
      <c r="F1298" s="838">
        <v>1.5268085912359401E-2</v>
      </c>
      <c r="G1298" s="839">
        <v>1.51885928827974E-2</v>
      </c>
    </row>
    <row r="1299" spans="1:7" x14ac:dyDescent="0.3">
      <c r="A1299" s="6" t="s">
        <v>3034</v>
      </c>
      <c r="B1299" s="6"/>
      <c r="C1299" s="832">
        <v>5</v>
      </c>
      <c r="D1299" s="832">
        <v>1387.87281740409</v>
      </c>
      <c r="E1299" s="833">
        <v>859.71392241098704</v>
      </c>
      <c r="F1299" s="834">
        <v>1.4557046507662499E-2</v>
      </c>
      <c r="G1299" s="835">
        <v>9.0193307999853495E-3</v>
      </c>
    </row>
    <row r="1300" spans="1:7" x14ac:dyDescent="0.3">
      <c r="A1300" s="11" t="s">
        <v>1075</v>
      </c>
      <c r="B1300" s="11"/>
      <c r="C1300" s="836">
        <v>1</v>
      </c>
      <c r="D1300" s="836">
        <v>1374.15937596765</v>
      </c>
      <c r="E1300" s="837">
        <v>1393.8140982500599</v>
      </c>
      <c r="F1300" s="838">
        <v>1.44132096933183E-2</v>
      </c>
      <c r="G1300" s="839">
        <v>1.4619498275477301E-2</v>
      </c>
    </row>
    <row r="1301" spans="1:7" x14ac:dyDescent="0.3">
      <c r="A1301" s="6" t="s">
        <v>3049</v>
      </c>
      <c r="B1301" s="6"/>
      <c r="C1301" s="832">
        <v>2</v>
      </c>
      <c r="D1301" s="832">
        <v>1358.0497392034099</v>
      </c>
      <c r="E1301" s="833">
        <v>916.38553298642398</v>
      </c>
      <c r="F1301" s="834">
        <v>1.42442397930091E-2</v>
      </c>
      <c r="G1301" s="835">
        <v>9.6068916326550492E-3</v>
      </c>
    </row>
    <row r="1302" spans="1:7" x14ac:dyDescent="0.3">
      <c r="A1302" s="11" t="s">
        <v>1099</v>
      </c>
      <c r="B1302" s="11"/>
      <c r="C1302" s="836">
        <v>1</v>
      </c>
      <c r="D1302" s="836">
        <v>694.54927503412796</v>
      </c>
      <c r="E1302" s="837">
        <v>695.67959627051403</v>
      </c>
      <c r="F1302" s="838">
        <v>7.2849514535821497E-3</v>
      </c>
      <c r="G1302" s="839">
        <v>7.2971827043471701E-3</v>
      </c>
    </row>
    <row r="1303" spans="1:7" x14ac:dyDescent="0.3">
      <c r="A1303" s="6" t="s">
        <v>1077</v>
      </c>
      <c r="B1303" s="6"/>
      <c r="C1303" s="832">
        <v>1</v>
      </c>
      <c r="D1303" s="832">
        <v>600.44223013558405</v>
      </c>
      <c r="E1303" s="833">
        <v>601.399579196236</v>
      </c>
      <c r="F1303" s="834">
        <v>6.2978864919316204E-3</v>
      </c>
      <c r="G1303" s="835">
        <v>6.3082965337076602E-3</v>
      </c>
    </row>
    <row r="1304" spans="1:7" x14ac:dyDescent="0.3">
      <c r="A1304" s="11" t="s">
        <v>3075</v>
      </c>
      <c r="B1304" s="11"/>
      <c r="C1304" s="836">
        <v>2</v>
      </c>
      <c r="D1304" s="836">
        <v>416.55625007188598</v>
      </c>
      <c r="E1304" s="837">
        <v>282.23017859837103</v>
      </c>
      <c r="F1304" s="838">
        <v>4.3691530155449496E-3</v>
      </c>
      <c r="G1304" s="839">
        <v>2.9610481881830499E-3</v>
      </c>
    </row>
    <row r="1305" spans="1:7" x14ac:dyDescent="0.3">
      <c r="A1305" s="6" t="s">
        <v>1083</v>
      </c>
      <c r="B1305" s="6"/>
      <c r="C1305" s="832">
        <v>1</v>
      </c>
      <c r="D1305" s="832">
        <v>339.57471420965499</v>
      </c>
      <c r="E1305" s="833">
        <v>339.39467204677902</v>
      </c>
      <c r="F1305" s="834">
        <v>3.5617131811991501E-3</v>
      </c>
      <c r="G1305" s="835">
        <v>3.5597180049613702E-3</v>
      </c>
    </row>
    <row r="1306" spans="1:7" x14ac:dyDescent="0.3">
      <c r="A1306" s="11" t="s">
        <v>3201</v>
      </c>
      <c r="B1306" s="11"/>
      <c r="C1306" s="836">
        <v>1</v>
      </c>
      <c r="D1306" s="836">
        <v>339.57471420965499</v>
      </c>
      <c r="E1306" s="837">
        <v>339.39467204677902</v>
      </c>
      <c r="F1306" s="838">
        <v>3.5617131811991501E-3</v>
      </c>
      <c r="G1306" s="839">
        <v>3.5597180049613702E-3</v>
      </c>
    </row>
    <row r="1307" spans="1:7" x14ac:dyDescent="0.3">
      <c r="A1307" s="6" t="s">
        <v>3197</v>
      </c>
      <c r="B1307" s="6"/>
      <c r="C1307" s="832">
        <v>1</v>
      </c>
      <c r="D1307" s="832">
        <v>339.00135811594203</v>
      </c>
      <c r="E1307" s="833">
        <v>339.48644928581501</v>
      </c>
      <c r="F1307" s="834">
        <v>3.55569939433269E-3</v>
      </c>
      <c r="G1307" s="835">
        <v>3.5607691746124201E-3</v>
      </c>
    </row>
    <row r="1308" spans="1:7" x14ac:dyDescent="0.3">
      <c r="A1308" s="11" t="s">
        <v>1073</v>
      </c>
      <c r="B1308" s="11"/>
      <c r="C1308" s="836">
        <v>2</v>
      </c>
      <c r="D1308" s="836">
        <v>178.92112305721199</v>
      </c>
      <c r="E1308" s="837">
        <v>119.87950508328299</v>
      </c>
      <c r="F1308" s="838">
        <v>1.87665834857885E-3</v>
      </c>
      <c r="G1308" s="839">
        <v>1.25683960474123E-3</v>
      </c>
    </row>
    <row r="1309" spans="1:7" x14ac:dyDescent="0.3">
      <c r="A1309" s="6" t="s">
        <v>960</v>
      </c>
      <c r="B1309" s="6"/>
      <c r="C1309" s="832">
        <v>851</v>
      </c>
      <c r="D1309" s="832">
        <v>649360.005185658</v>
      </c>
      <c r="E1309" s="833">
        <v>7.74581865908651E-3</v>
      </c>
      <c r="F1309" s="834">
        <v>95.377351453875306</v>
      </c>
      <c r="G1309" s="835">
        <v>1.1234397817783399</v>
      </c>
    </row>
    <row r="1310" spans="1:7" x14ac:dyDescent="0.3">
      <c r="A1310" s="11" t="s">
        <v>956</v>
      </c>
      <c r="B1310" s="11" t="s">
        <v>957</v>
      </c>
      <c r="C1310" s="836">
        <v>61</v>
      </c>
      <c r="D1310" s="836">
        <v>25525.4561305549</v>
      </c>
      <c r="E1310" s="837">
        <v>6492.93671845886</v>
      </c>
      <c r="F1310" s="838">
        <v>3.74915359883975</v>
      </c>
      <c r="G1310" s="839">
        <v>0.91997734341062198</v>
      </c>
    </row>
    <row r="1311" spans="1:7" x14ac:dyDescent="0.3">
      <c r="A1311" s="6" t="s">
        <v>958</v>
      </c>
      <c r="B1311" s="6" t="s">
        <v>959</v>
      </c>
      <c r="C1311" s="832">
        <v>9</v>
      </c>
      <c r="D1311" s="832">
        <v>5947.0374764274602</v>
      </c>
      <c r="E1311" s="833">
        <v>4071.07648909514</v>
      </c>
      <c r="F1311" s="834">
        <v>0.87349494728493104</v>
      </c>
      <c r="G1311" s="835">
        <v>0.59447459390291002</v>
      </c>
    </row>
    <row r="1312" spans="1:7" x14ac:dyDescent="0.3">
      <c r="A1312" s="11" t="s">
        <v>6269</v>
      </c>
      <c r="B1312" s="11" t="s">
        <v>6270</v>
      </c>
      <c r="C1312" s="836">
        <v>17645</v>
      </c>
      <c r="D1312" s="836">
        <v>9534027.5012073591</v>
      </c>
      <c r="E1312" s="837">
        <v>7990.3390878281298</v>
      </c>
      <c r="F1312" s="838">
        <v>93.334881742944702</v>
      </c>
      <c r="G1312" s="839">
        <v>7.8222697989303105E-2</v>
      </c>
    </row>
    <row r="1313" spans="1:7" x14ac:dyDescent="0.3">
      <c r="A1313" s="6" t="s">
        <v>6269</v>
      </c>
      <c r="B1313" s="6" t="s">
        <v>6271</v>
      </c>
      <c r="C1313" s="832">
        <v>18566</v>
      </c>
      <c r="D1313" s="832">
        <v>10214860</v>
      </c>
      <c r="E1313" s="833">
        <v>0</v>
      </c>
      <c r="F1313" s="834">
        <v>100</v>
      </c>
      <c r="G1313" s="835">
        <v>0</v>
      </c>
    </row>
    <row r="1314" spans="1:7" x14ac:dyDescent="0.3">
      <c r="A1314" s="3299" t="s">
        <v>831</v>
      </c>
      <c r="B1314" s="3298"/>
      <c r="C1314" s="3298"/>
      <c r="D1314" s="3298"/>
      <c r="E1314" s="3298"/>
      <c r="F1314" s="3298"/>
      <c r="G1314" s="3298"/>
    </row>
    <row r="1315" spans="1:7" x14ac:dyDescent="0.3">
      <c r="A1315" s="11" t="s">
        <v>1152</v>
      </c>
      <c r="B1315" s="11"/>
      <c r="C1315" s="844">
        <v>4425</v>
      </c>
      <c r="D1315" s="844">
        <v>2506005.1456301198</v>
      </c>
      <c r="E1315" s="845">
        <v>85593.7807454391</v>
      </c>
      <c r="F1315" s="846">
        <v>36.125315647391098</v>
      </c>
      <c r="G1315" s="847">
        <v>1.1715313829135501</v>
      </c>
    </row>
    <row r="1316" spans="1:7" x14ac:dyDescent="0.3">
      <c r="A1316" s="6" t="s">
        <v>6274</v>
      </c>
      <c r="B1316" s="6"/>
      <c r="C1316" s="840">
        <v>1539</v>
      </c>
      <c r="D1316" s="840">
        <v>885958.53037281695</v>
      </c>
      <c r="E1316" s="841">
        <v>62371.710318083002</v>
      </c>
      <c r="F1316" s="842">
        <v>12.771534653880099</v>
      </c>
      <c r="G1316" s="843">
        <v>0.88219780317493801</v>
      </c>
    </row>
    <row r="1317" spans="1:7" x14ac:dyDescent="0.3">
      <c r="A1317" s="11" t="s">
        <v>6273</v>
      </c>
      <c r="B1317" s="11"/>
      <c r="C1317" s="844">
        <v>1537</v>
      </c>
      <c r="D1317" s="844">
        <v>827461.89832513302</v>
      </c>
      <c r="E1317" s="845">
        <v>39428.107890335297</v>
      </c>
      <c r="F1317" s="846">
        <v>11.928276490297799</v>
      </c>
      <c r="G1317" s="847">
        <v>0.54559718129713497</v>
      </c>
    </row>
    <row r="1318" spans="1:7" x14ac:dyDescent="0.3">
      <c r="A1318" s="6" t="s">
        <v>6277</v>
      </c>
      <c r="B1318" s="6"/>
      <c r="C1318" s="840">
        <v>1267</v>
      </c>
      <c r="D1318" s="840">
        <v>637767.75553975196</v>
      </c>
      <c r="E1318" s="841">
        <v>25328.468145022802</v>
      </c>
      <c r="F1318" s="842">
        <v>9.19374069074731</v>
      </c>
      <c r="G1318" s="843">
        <v>0.40380833395844201</v>
      </c>
    </row>
    <row r="1319" spans="1:7" x14ac:dyDescent="0.3">
      <c r="A1319" s="11" t="s">
        <v>6275</v>
      </c>
      <c r="B1319" s="11"/>
      <c r="C1319" s="844">
        <v>1161</v>
      </c>
      <c r="D1319" s="844">
        <v>615301.02425019105</v>
      </c>
      <c r="E1319" s="845">
        <v>39442.5016850252</v>
      </c>
      <c r="F1319" s="846">
        <v>8.8698715395543104</v>
      </c>
      <c r="G1319" s="847">
        <v>0.56850461514986095</v>
      </c>
    </row>
    <row r="1320" spans="1:7" x14ac:dyDescent="0.3">
      <c r="A1320" s="6" t="s">
        <v>6272</v>
      </c>
      <c r="B1320" s="6"/>
      <c r="C1320" s="840">
        <v>945</v>
      </c>
      <c r="D1320" s="840">
        <v>504462.44337942603</v>
      </c>
      <c r="E1320" s="841">
        <v>22456.219637347502</v>
      </c>
      <c r="F1320" s="842">
        <v>7.2720780446576798</v>
      </c>
      <c r="G1320" s="843">
        <v>0.33980001492679601</v>
      </c>
    </row>
    <row r="1321" spans="1:7" x14ac:dyDescent="0.3">
      <c r="A1321" s="11" t="s">
        <v>6276</v>
      </c>
      <c r="B1321" s="11"/>
      <c r="C1321" s="844">
        <v>879</v>
      </c>
      <c r="D1321" s="844">
        <v>421004.93067419401</v>
      </c>
      <c r="E1321" s="845">
        <v>23737.2486994096</v>
      </c>
      <c r="F1321" s="846">
        <v>6.0689963211903502</v>
      </c>
      <c r="G1321" s="847">
        <v>0.34215577333450697</v>
      </c>
    </row>
    <row r="1322" spans="1:7" x14ac:dyDescent="0.3">
      <c r="A1322" s="6" t="s">
        <v>6278</v>
      </c>
      <c r="B1322" s="6"/>
      <c r="C1322" s="840">
        <v>314</v>
      </c>
      <c r="D1322" s="840">
        <v>123825.748836987</v>
      </c>
      <c r="E1322" s="841">
        <v>12948.5041032597</v>
      </c>
      <c r="F1322" s="842">
        <v>1.7850100067875001</v>
      </c>
      <c r="G1322" s="843">
        <v>0.18282055793964899</v>
      </c>
    </row>
    <row r="1323" spans="1:7" x14ac:dyDescent="0.3">
      <c r="A1323" s="11" t="s">
        <v>995</v>
      </c>
      <c r="B1323" s="11"/>
      <c r="C1323" s="844">
        <v>227</v>
      </c>
      <c r="D1323" s="844">
        <v>123480.05399840001</v>
      </c>
      <c r="E1323" s="845">
        <v>19901.009745187799</v>
      </c>
      <c r="F1323" s="846">
        <v>1.78002664305283</v>
      </c>
      <c r="G1323" s="847">
        <v>0.28112933536038298</v>
      </c>
    </row>
    <row r="1324" spans="1:7" x14ac:dyDescent="0.3">
      <c r="A1324" s="6" t="s">
        <v>1003</v>
      </c>
      <c r="B1324" s="6"/>
      <c r="C1324" s="840">
        <v>139</v>
      </c>
      <c r="D1324" s="840">
        <v>72963.580210281507</v>
      </c>
      <c r="E1324" s="841">
        <v>6155.9824927459304</v>
      </c>
      <c r="F1324" s="842">
        <v>1.05180644599092</v>
      </c>
      <c r="G1324" s="843">
        <v>9.1754095652023096E-2</v>
      </c>
    </row>
    <row r="1325" spans="1:7" x14ac:dyDescent="0.3">
      <c r="A1325" s="11" t="s">
        <v>1005</v>
      </c>
      <c r="B1325" s="11"/>
      <c r="C1325" s="844">
        <v>57</v>
      </c>
      <c r="D1325" s="844">
        <v>37523.831599801699</v>
      </c>
      <c r="E1325" s="845">
        <v>7870.28354821828</v>
      </c>
      <c r="F1325" s="846">
        <v>0.54092477152577501</v>
      </c>
      <c r="G1325" s="847">
        <v>0.113768644647485</v>
      </c>
    </row>
    <row r="1326" spans="1:7" x14ac:dyDescent="0.3">
      <c r="A1326" s="6" t="s">
        <v>1155</v>
      </c>
      <c r="B1326" s="6"/>
      <c r="C1326" s="840">
        <v>56</v>
      </c>
      <c r="D1326" s="840">
        <v>33064.046109038602</v>
      </c>
      <c r="E1326" s="841">
        <v>9962.1803346427496</v>
      </c>
      <c r="F1326" s="842">
        <v>0.47663473650553101</v>
      </c>
      <c r="G1326" s="843">
        <v>0.144297695195714</v>
      </c>
    </row>
    <row r="1327" spans="1:7" x14ac:dyDescent="0.3">
      <c r="A1327" s="11" t="s">
        <v>6279</v>
      </c>
      <c r="B1327" s="11"/>
      <c r="C1327" s="844">
        <v>64</v>
      </c>
      <c r="D1327" s="844">
        <v>25888.0017338422</v>
      </c>
      <c r="E1327" s="845">
        <v>3939.0064502774298</v>
      </c>
      <c r="F1327" s="846">
        <v>0.37318847319449799</v>
      </c>
      <c r="G1327" s="847">
        <v>5.60375911765192E-2</v>
      </c>
    </row>
    <row r="1328" spans="1:7" x14ac:dyDescent="0.3">
      <c r="A1328" s="6" t="s">
        <v>999</v>
      </c>
      <c r="B1328" s="6"/>
      <c r="C1328" s="840">
        <v>41</v>
      </c>
      <c r="D1328" s="840">
        <v>20533.782755161599</v>
      </c>
      <c r="E1328" s="841">
        <v>3062.6557966457899</v>
      </c>
      <c r="F1328" s="842">
        <v>0.29600473277506001</v>
      </c>
      <c r="G1328" s="843">
        <v>4.4703154685216399E-2</v>
      </c>
    </row>
    <row r="1329" spans="1:7" x14ac:dyDescent="0.3">
      <c r="A1329" s="11" t="s">
        <v>1047</v>
      </c>
      <c r="B1329" s="11"/>
      <c r="C1329" s="844">
        <v>35</v>
      </c>
      <c r="D1329" s="844">
        <v>16946.279939091201</v>
      </c>
      <c r="E1329" s="845">
        <v>3505.7134442910401</v>
      </c>
      <c r="F1329" s="846">
        <v>0.24428908811948699</v>
      </c>
      <c r="G1329" s="847">
        <v>4.9631677236931397E-2</v>
      </c>
    </row>
    <row r="1330" spans="1:7" x14ac:dyDescent="0.3">
      <c r="A1330" s="6" t="s">
        <v>6280</v>
      </c>
      <c r="B1330" s="6"/>
      <c r="C1330" s="840">
        <v>25</v>
      </c>
      <c r="D1330" s="840">
        <v>16070.769699399099</v>
      </c>
      <c r="E1330" s="841">
        <v>5345.50501909578</v>
      </c>
      <c r="F1330" s="842">
        <v>0.23166817079353799</v>
      </c>
      <c r="G1330" s="843">
        <v>7.7087433944365499E-2</v>
      </c>
    </row>
    <row r="1331" spans="1:7" x14ac:dyDescent="0.3">
      <c r="A1331" s="11" t="s">
        <v>3032</v>
      </c>
      <c r="B1331" s="11"/>
      <c r="C1331" s="844">
        <v>19</v>
      </c>
      <c r="D1331" s="844">
        <v>15051.471114592099</v>
      </c>
      <c r="E1331" s="845">
        <v>5990.9828091376903</v>
      </c>
      <c r="F1331" s="846">
        <v>0.21697447266634101</v>
      </c>
      <c r="G1331" s="847">
        <v>8.6548433819601298E-2</v>
      </c>
    </row>
    <row r="1332" spans="1:7" x14ac:dyDescent="0.3">
      <c r="A1332" s="6" t="s">
        <v>1157</v>
      </c>
      <c r="B1332" s="6"/>
      <c r="C1332" s="840">
        <v>25</v>
      </c>
      <c r="D1332" s="840">
        <v>10240.6782206266</v>
      </c>
      <c r="E1332" s="841">
        <v>3857.3873139296002</v>
      </c>
      <c r="F1332" s="842">
        <v>0.14762449063945601</v>
      </c>
      <c r="G1332" s="843">
        <v>5.6038825477274699E-2</v>
      </c>
    </row>
    <row r="1333" spans="1:7" x14ac:dyDescent="0.3">
      <c r="A1333" s="11" t="s">
        <v>997</v>
      </c>
      <c r="B1333" s="11"/>
      <c r="C1333" s="844">
        <v>13</v>
      </c>
      <c r="D1333" s="844">
        <v>6650.5661882650202</v>
      </c>
      <c r="E1333" s="845">
        <v>3408.9075192628702</v>
      </c>
      <c r="F1333" s="846">
        <v>9.5871232828027897E-2</v>
      </c>
      <c r="G1333" s="847">
        <v>4.9134523733349103E-2</v>
      </c>
    </row>
    <row r="1334" spans="1:7" x14ac:dyDescent="0.3">
      <c r="A1334" s="6" t="s">
        <v>1007</v>
      </c>
      <c r="B1334" s="6"/>
      <c r="C1334" s="840">
        <v>8</v>
      </c>
      <c r="D1334" s="840">
        <v>6305.6939745166701</v>
      </c>
      <c r="E1334" s="841">
        <v>2800.1588031165602</v>
      </c>
      <c r="F1334" s="842">
        <v>9.0899727641217398E-2</v>
      </c>
      <c r="G1334" s="843">
        <v>4.0775439620714497E-2</v>
      </c>
    </row>
    <row r="1335" spans="1:7" x14ac:dyDescent="0.3">
      <c r="A1335" s="11" t="s">
        <v>1161</v>
      </c>
      <c r="B1335" s="11"/>
      <c r="C1335" s="844">
        <v>4</v>
      </c>
      <c r="D1335" s="844">
        <v>3445.2823771580602</v>
      </c>
      <c r="E1335" s="845">
        <v>2112.5603870134501</v>
      </c>
      <c r="F1335" s="846">
        <v>4.9665466005231897E-2</v>
      </c>
      <c r="G1335" s="847">
        <v>3.0366947427125202E-2</v>
      </c>
    </row>
    <row r="1336" spans="1:7" x14ac:dyDescent="0.3">
      <c r="A1336" s="6" t="s">
        <v>3038</v>
      </c>
      <c r="B1336" s="6"/>
      <c r="C1336" s="840">
        <v>14</v>
      </c>
      <c r="D1336" s="840">
        <v>3271.6713693986198</v>
      </c>
      <c r="E1336" s="841">
        <v>1541.8234078125299</v>
      </c>
      <c r="F1336" s="842">
        <v>4.7162776628832302E-2</v>
      </c>
      <c r="G1336" s="843">
        <v>2.23086410485859E-2</v>
      </c>
    </row>
    <row r="1337" spans="1:7" x14ac:dyDescent="0.3">
      <c r="A1337" s="11" t="s">
        <v>1011</v>
      </c>
      <c r="B1337" s="11"/>
      <c r="C1337" s="844">
        <v>4</v>
      </c>
      <c r="D1337" s="844">
        <v>3193.8153866918401</v>
      </c>
      <c r="E1337" s="845">
        <v>2237.7982957182398</v>
      </c>
      <c r="F1337" s="846">
        <v>4.6040443757639E-2</v>
      </c>
      <c r="G1337" s="847">
        <v>3.2157511563647503E-2</v>
      </c>
    </row>
    <row r="1338" spans="1:7" x14ac:dyDescent="0.3">
      <c r="A1338" s="6" t="s">
        <v>1001</v>
      </c>
      <c r="B1338" s="6"/>
      <c r="C1338" s="840">
        <v>7</v>
      </c>
      <c r="D1338" s="840">
        <v>3150.8242343619499</v>
      </c>
      <c r="E1338" s="841">
        <v>1434.95000779057</v>
      </c>
      <c r="F1338" s="842">
        <v>4.5420704827465401E-2</v>
      </c>
      <c r="G1338" s="843">
        <v>2.06618411556851E-2</v>
      </c>
    </row>
    <row r="1339" spans="1:7" x14ac:dyDescent="0.3">
      <c r="A1339" s="11" t="s">
        <v>1009</v>
      </c>
      <c r="B1339" s="11"/>
      <c r="C1339" s="844">
        <v>1</v>
      </c>
      <c r="D1339" s="844">
        <v>2925.1102754359299</v>
      </c>
      <c r="E1339" s="845">
        <v>2780.6456096914198</v>
      </c>
      <c r="F1339" s="846">
        <v>4.2166925390322803E-2</v>
      </c>
      <c r="G1339" s="847">
        <v>4.0129399047626697E-2</v>
      </c>
    </row>
    <row r="1340" spans="1:7" x14ac:dyDescent="0.3">
      <c r="A1340" s="6" t="s">
        <v>3047</v>
      </c>
      <c r="B1340" s="6"/>
      <c r="C1340" s="840">
        <v>8</v>
      </c>
      <c r="D1340" s="840">
        <v>2202.43436033742</v>
      </c>
      <c r="E1340" s="841">
        <v>992.261597602503</v>
      </c>
      <c r="F1340" s="842">
        <v>3.1749191177276502E-2</v>
      </c>
      <c r="G1340" s="843">
        <v>1.43126201179681E-2</v>
      </c>
    </row>
    <row r="1341" spans="1:7" x14ac:dyDescent="0.3">
      <c r="A1341" s="11" t="s">
        <v>1053</v>
      </c>
      <c r="B1341" s="11"/>
      <c r="C1341" s="844">
        <v>3</v>
      </c>
      <c r="D1341" s="844">
        <v>2037.9251099161199</v>
      </c>
      <c r="E1341" s="845">
        <v>1161.67185836926</v>
      </c>
      <c r="F1341" s="846">
        <v>2.9377708178229801E-2</v>
      </c>
      <c r="G1341" s="847">
        <v>1.6709266823042201E-2</v>
      </c>
    </row>
    <row r="1342" spans="1:7" x14ac:dyDescent="0.3">
      <c r="A1342" s="6" t="s">
        <v>1159</v>
      </c>
      <c r="B1342" s="6"/>
      <c r="C1342" s="840">
        <v>6</v>
      </c>
      <c r="D1342" s="840">
        <v>2027.6035713387</v>
      </c>
      <c r="E1342" s="841">
        <v>1339.5015469417599</v>
      </c>
      <c r="F1342" s="842">
        <v>2.9228918045166499E-2</v>
      </c>
      <c r="G1342" s="843">
        <v>1.9252839829448601E-2</v>
      </c>
    </row>
    <row r="1343" spans="1:7" x14ac:dyDescent="0.3">
      <c r="A1343" s="11" t="s">
        <v>3210</v>
      </c>
      <c r="B1343" s="11"/>
      <c r="C1343" s="844">
        <v>3</v>
      </c>
      <c r="D1343" s="844">
        <v>1550.3361296097401</v>
      </c>
      <c r="E1343" s="845">
        <v>1064.51035209209</v>
      </c>
      <c r="F1343" s="846">
        <v>2.2348869530203701E-2</v>
      </c>
      <c r="G1343" s="847">
        <v>1.53084514621795E-2</v>
      </c>
    </row>
    <row r="1344" spans="1:7" x14ac:dyDescent="0.3">
      <c r="A1344" s="6" t="s">
        <v>1069</v>
      </c>
      <c r="B1344" s="6"/>
      <c r="C1344" s="840">
        <v>1</v>
      </c>
      <c r="D1344" s="840">
        <v>1202.0172156358999</v>
      </c>
      <c r="E1344" s="841">
        <v>1224.3593986974799</v>
      </c>
      <c r="F1344" s="842">
        <v>1.7327678438396301E-2</v>
      </c>
      <c r="G1344" s="843">
        <v>1.7640427078613699E-2</v>
      </c>
    </row>
    <row r="1345" spans="1:7" x14ac:dyDescent="0.3">
      <c r="A1345" s="11" t="s">
        <v>3083</v>
      </c>
      <c r="B1345" s="11"/>
      <c r="C1345" s="844">
        <v>1</v>
      </c>
      <c r="D1345" s="844">
        <v>1192.4921058920199</v>
      </c>
      <c r="E1345" s="845">
        <v>1236.01493713902</v>
      </c>
      <c r="F1345" s="846">
        <v>1.7190369224696599E-2</v>
      </c>
      <c r="G1345" s="847">
        <v>1.7816170908255699E-2</v>
      </c>
    </row>
    <row r="1346" spans="1:7" x14ac:dyDescent="0.3">
      <c r="A1346" s="6" t="s">
        <v>3172</v>
      </c>
      <c r="B1346" s="6"/>
      <c r="C1346" s="840">
        <v>1</v>
      </c>
      <c r="D1346" s="840">
        <v>1142.42589653245</v>
      </c>
      <c r="E1346" s="841">
        <v>1161.1698649463001</v>
      </c>
      <c r="F1346" s="842">
        <v>1.6468639814229701E-2</v>
      </c>
      <c r="G1346" s="843">
        <v>1.6742657230273999E-2</v>
      </c>
    </row>
    <row r="1347" spans="1:7" x14ac:dyDescent="0.3">
      <c r="A1347" s="11" t="s">
        <v>1163</v>
      </c>
      <c r="B1347" s="11"/>
      <c r="C1347" s="844">
        <v>3</v>
      </c>
      <c r="D1347" s="844">
        <v>794.60811341316105</v>
      </c>
      <c r="E1347" s="845">
        <v>399.78895656760699</v>
      </c>
      <c r="F1347" s="846">
        <v>1.14546727739502E-2</v>
      </c>
      <c r="G1347" s="847">
        <v>5.7518960906847803E-3</v>
      </c>
    </row>
    <row r="1348" spans="1:7" x14ac:dyDescent="0.3">
      <c r="A1348" s="6" t="s">
        <v>3034</v>
      </c>
      <c r="B1348" s="6"/>
      <c r="C1348" s="840">
        <v>1</v>
      </c>
      <c r="D1348" s="840">
        <v>759.05915240074</v>
      </c>
      <c r="E1348" s="841">
        <v>771.24592881485296</v>
      </c>
      <c r="F1348" s="842">
        <v>1.09422167481715E-2</v>
      </c>
      <c r="G1348" s="843">
        <v>1.1109998954288399E-2</v>
      </c>
    </row>
    <row r="1349" spans="1:7" x14ac:dyDescent="0.3">
      <c r="A1349" s="11" t="s">
        <v>1049</v>
      </c>
      <c r="B1349" s="11"/>
      <c r="C1349" s="844">
        <v>1</v>
      </c>
      <c r="D1349" s="844">
        <v>632.93523106205703</v>
      </c>
      <c r="E1349" s="845">
        <v>643.69582611815599</v>
      </c>
      <c r="F1349" s="846">
        <v>9.1240774370884292E-3</v>
      </c>
      <c r="G1349" s="847">
        <v>9.2848778231364795E-3</v>
      </c>
    </row>
    <row r="1350" spans="1:7" x14ac:dyDescent="0.3">
      <c r="A1350" s="6" t="s">
        <v>1165</v>
      </c>
      <c r="B1350" s="6"/>
      <c r="C1350" s="840">
        <v>3</v>
      </c>
      <c r="D1350" s="840">
        <v>448.37911923733498</v>
      </c>
      <c r="E1350" s="841">
        <v>457.14790238629303</v>
      </c>
      <c r="F1350" s="842">
        <v>6.4636089197155798E-3</v>
      </c>
      <c r="G1350" s="843">
        <v>6.5926961460658897E-3</v>
      </c>
    </row>
    <row r="1351" spans="1:7" x14ac:dyDescent="0.3">
      <c r="A1351" s="11" t="s">
        <v>3061</v>
      </c>
      <c r="B1351" s="11"/>
      <c r="C1351" s="844">
        <v>4</v>
      </c>
      <c r="D1351" s="844">
        <v>209.68475845294799</v>
      </c>
      <c r="E1351" s="845">
        <v>94.837077561411206</v>
      </c>
      <c r="F1351" s="846">
        <v>3.0227105075057901E-3</v>
      </c>
      <c r="G1351" s="847">
        <v>1.3655956330065201E-3</v>
      </c>
    </row>
    <row r="1352" spans="1:7" x14ac:dyDescent="0.3">
      <c r="A1352" s="6" t="s">
        <v>3069</v>
      </c>
      <c r="B1352" s="6"/>
      <c r="C1352" s="840">
        <v>1</v>
      </c>
      <c r="D1352" s="840">
        <v>160.02853867543701</v>
      </c>
      <c r="E1352" s="841">
        <v>158.69190104021101</v>
      </c>
      <c r="F1352" s="842">
        <v>2.3068913016087598E-3</v>
      </c>
      <c r="G1352" s="843">
        <v>2.2864216837023398E-3</v>
      </c>
    </row>
    <row r="1353" spans="1:7" x14ac:dyDescent="0.3">
      <c r="A1353" s="11" t="s">
        <v>1057</v>
      </c>
      <c r="B1353" s="11"/>
      <c r="C1353" s="844">
        <v>1</v>
      </c>
      <c r="D1353" s="844">
        <v>124.987071678544</v>
      </c>
      <c r="E1353" s="845">
        <v>126.113457517687</v>
      </c>
      <c r="F1353" s="846">
        <v>1.8017510555012001E-3</v>
      </c>
      <c r="G1353" s="847">
        <v>1.8175450192801301E-3</v>
      </c>
    </row>
    <row r="1354" spans="1:7" x14ac:dyDescent="0.3">
      <c r="A1354" s="6" t="s">
        <v>960</v>
      </c>
      <c r="B1354" s="6" t="s">
        <v>961</v>
      </c>
      <c r="C1354" s="840">
        <v>5659</v>
      </c>
      <c r="D1354" s="840">
        <v>3244806.7640769202</v>
      </c>
      <c r="E1354" s="841">
        <v>51470.0618418534</v>
      </c>
      <c r="F1354" s="842">
        <v>98.990952637509196</v>
      </c>
      <c r="G1354" s="843">
        <v>0.16959799152469801</v>
      </c>
    </row>
    <row r="1355" spans="1:7" x14ac:dyDescent="0.3">
      <c r="A1355" s="11" t="s">
        <v>956</v>
      </c>
      <c r="B1355" s="11" t="s">
        <v>1025</v>
      </c>
      <c r="C1355" s="844">
        <v>43</v>
      </c>
      <c r="D1355" s="844">
        <v>22582.1393024998</v>
      </c>
      <c r="E1355" s="845">
        <v>5630.20886267488</v>
      </c>
      <c r="F1355" s="846">
        <v>0.68892468633130599</v>
      </c>
      <c r="G1355" s="847">
        <v>0.170304396319507</v>
      </c>
    </row>
    <row r="1356" spans="1:7" x14ac:dyDescent="0.3">
      <c r="A1356" s="6" t="s">
        <v>958</v>
      </c>
      <c r="B1356" s="6" t="s">
        <v>959</v>
      </c>
      <c r="C1356" s="840">
        <v>24</v>
      </c>
      <c r="D1356" s="840">
        <v>10493.2440517124</v>
      </c>
      <c r="E1356" s="841">
        <v>2611.7944901610599</v>
      </c>
      <c r="F1356" s="842">
        <v>0.32012267615954199</v>
      </c>
      <c r="G1356" s="843">
        <v>7.9098073210160894E-2</v>
      </c>
    </row>
    <row r="1357" spans="1:7" x14ac:dyDescent="0.3">
      <c r="A1357" s="11" t="s">
        <v>6269</v>
      </c>
      <c r="B1357" s="11" t="s">
        <v>6270</v>
      </c>
      <c r="C1357" s="844">
        <v>12843</v>
      </c>
      <c r="D1357" s="844">
        <v>6936977.8525688602</v>
      </c>
      <c r="E1357" s="845">
        <v>52196.1392836226</v>
      </c>
      <c r="F1357" s="846">
        <v>67.910650293482902</v>
      </c>
      <c r="G1357" s="847">
        <v>0.51098242446419895</v>
      </c>
    </row>
    <row r="1358" spans="1:7" x14ac:dyDescent="0.3">
      <c r="A1358" s="6" t="s">
        <v>6269</v>
      </c>
      <c r="B1358" s="6" t="s">
        <v>6271</v>
      </c>
      <c r="C1358" s="840">
        <v>18569</v>
      </c>
      <c r="D1358" s="840">
        <v>10214860</v>
      </c>
      <c r="E1358" s="841">
        <v>0</v>
      </c>
      <c r="F1358" s="842">
        <v>100</v>
      </c>
      <c r="G1358" s="843">
        <v>0</v>
      </c>
    </row>
    <row r="1359" spans="1:7" x14ac:dyDescent="0.3">
      <c r="A1359" s="3299" t="s">
        <v>362</v>
      </c>
      <c r="B1359" s="3298"/>
      <c r="C1359" s="3298"/>
      <c r="D1359" s="3298"/>
      <c r="E1359" s="3298"/>
      <c r="F1359" s="3298"/>
      <c r="G1359" s="3298"/>
    </row>
    <row r="1360" spans="1:7" x14ac:dyDescent="0.3">
      <c r="A1360" s="11" t="s">
        <v>1152</v>
      </c>
      <c r="B1360" s="11"/>
      <c r="C1360" s="852">
        <v>16029</v>
      </c>
      <c r="D1360" s="852">
        <v>8565038.6360016894</v>
      </c>
      <c r="E1360" s="853">
        <v>33797.411270594297</v>
      </c>
      <c r="F1360" s="854">
        <v>89.611329635680903</v>
      </c>
      <c r="G1360" s="855">
        <v>0.35947965443538599</v>
      </c>
    </row>
    <row r="1361" spans="1:7" x14ac:dyDescent="0.3">
      <c r="A1361" s="6" t="s">
        <v>6272</v>
      </c>
      <c r="B1361" s="6"/>
      <c r="C1361" s="848">
        <v>453</v>
      </c>
      <c r="D1361" s="848">
        <v>261045.66935046299</v>
      </c>
      <c r="E1361" s="849">
        <v>23529.443375036401</v>
      </c>
      <c r="F1361" s="850">
        <v>2.73117851772487</v>
      </c>
      <c r="G1361" s="851">
        <v>0.24555333835851501</v>
      </c>
    </row>
    <row r="1362" spans="1:7" x14ac:dyDescent="0.3">
      <c r="A1362" s="11" t="s">
        <v>6274</v>
      </c>
      <c r="B1362" s="11"/>
      <c r="C1362" s="852">
        <v>415</v>
      </c>
      <c r="D1362" s="852">
        <v>228433.22028311301</v>
      </c>
      <c r="E1362" s="853">
        <v>21123.110669141199</v>
      </c>
      <c r="F1362" s="854">
        <v>2.3899722432642698</v>
      </c>
      <c r="G1362" s="855">
        <v>0.221408166777774</v>
      </c>
    </row>
    <row r="1363" spans="1:7" x14ac:dyDescent="0.3">
      <c r="A1363" s="6" t="s">
        <v>6273</v>
      </c>
      <c r="B1363" s="6"/>
      <c r="C1363" s="848">
        <v>268</v>
      </c>
      <c r="D1363" s="848">
        <v>172972.54016401901</v>
      </c>
      <c r="E1363" s="849">
        <v>16521.621943883001</v>
      </c>
      <c r="F1363" s="850">
        <v>1.80971738404145</v>
      </c>
      <c r="G1363" s="851">
        <v>0.17243429622192899</v>
      </c>
    </row>
    <row r="1364" spans="1:7" x14ac:dyDescent="0.3">
      <c r="A1364" s="11" t="s">
        <v>6277</v>
      </c>
      <c r="B1364" s="11"/>
      <c r="C1364" s="852">
        <v>133</v>
      </c>
      <c r="D1364" s="852">
        <v>97146.683357810398</v>
      </c>
      <c r="E1364" s="853">
        <v>12625.234287244401</v>
      </c>
      <c r="F1364" s="854">
        <v>1.0163927841256899</v>
      </c>
      <c r="G1364" s="855">
        <v>0.13232764027763799</v>
      </c>
    </row>
    <row r="1365" spans="1:7" x14ac:dyDescent="0.3">
      <c r="A1365" s="6" t="s">
        <v>6275</v>
      </c>
      <c r="B1365" s="6"/>
      <c r="C1365" s="848">
        <v>153</v>
      </c>
      <c r="D1365" s="848">
        <v>85368.289007293104</v>
      </c>
      <c r="E1365" s="849">
        <v>14350.2934353664</v>
      </c>
      <c r="F1365" s="850">
        <v>0.89316186555321297</v>
      </c>
      <c r="G1365" s="851">
        <v>0.15008725049108901</v>
      </c>
    </row>
    <row r="1366" spans="1:7" x14ac:dyDescent="0.3">
      <c r="A1366" s="11" t="s">
        <v>6276</v>
      </c>
      <c r="B1366" s="11"/>
      <c r="C1366" s="852">
        <v>143</v>
      </c>
      <c r="D1366" s="852">
        <v>79104.853903217198</v>
      </c>
      <c r="E1366" s="853">
        <v>12667.383416889301</v>
      </c>
      <c r="F1366" s="854">
        <v>0.82763095885025695</v>
      </c>
      <c r="G1366" s="855">
        <v>0.13259409518922199</v>
      </c>
    </row>
    <row r="1367" spans="1:7" x14ac:dyDescent="0.3">
      <c r="A1367" s="6" t="s">
        <v>6278</v>
      </c>
      <c r="B1367" s="6"/>
      <c r="C1367" s="848">
        <v>32</v>
      </c>
      <c r="D1367" s="848">
        <v>16764.169587947599</v>
      </c>
      <c r="E1367" s="849">
        <v>4499.3996501765096</v>
      </c>
      <c r="F1367" s="850">
        <v>0.17539436666397901</v>
      </c>
      <c r="G1367" s="851">
        <v>4.7061347329728297E-2</v>
      </c>
    </row>
    <row r="1368" spans="1:7" x14ac:dyDescent="0.3">
      <c r="A1368" s="11" t="s">
        <v>995</v>
      </c>
      <c r="B1368" s="11"/>
      <c r="C1368" s="852">
        <v>22</v>
      </c>
      <c r="D1368" s="852">
        <v>13719.738151208299</v>
      </c>
      <c r="E1368" s="853">
        <v>4957.1525077318402</v>
      </c>
      <c r="F1368" s="854">
        <v>0.14354214034895199</v>
      </c>
      <c r="G1368" s="855">
        <v>5.18555948606262E-2</v>
      </c>
    </row>
    <row r="1369" spans="1:7" x14ac:dyDescent="0.3">
      <c r="A1369" s="6" t="s">
        <v>1005</v>
      </c>
      <c r="B1369" s="6"/>
      <c r="C1369" s="848">
        <v>13</v>
      </c>
      <c r="D1369" s="848">
        <v>11412.4470497605</v>
      </c>
      <c r="E1369" s="849">
        <v>3667.5246780655598</v>
      </c>
      <c r="F1369" s="850">
        <v>0.11940221147715099</v>
      </c>
      <c r="G1369" s="851">
        <v>3.8356533766670198E-2</v>
      </c>
    </row>
    <row r="1370" spans="1:7" x14ac:dyDescent="0.3">
      <c r="A1370" s="11" t="s">
        <v>1155</v>
      </c>
      <c r="B1370" s="11"/>
      <c r="C1370" s="852">
        <v>9</v>
      </c>
      <c r="D1370" s="852">
        <v>6508.5705970999297</v>
      </c>
      <c r="E1370" s="853">
        <v>3271.6420775513002</v>
      </c>
      <c r="F1370" s="854">
        <v>6.80956257199197E-2</v>
      </c>
      <c r="G1370" s="855">
        <v>3.4233811912077403E-2</v>
      </c>
    </row>
    <row r="1371" spans="1:7" x14ac:dyDescent="0.3">
      <c r="A1371" s="6" t="s">
        <v>1003</v>
      </c>
      <c r="B1371" s="6"/>
      <c r="C1371" s="848">
        <v>11</v>
      </c>
      <c r="D1371" s="848">
        <v>6243.7072478968003</v>
      </c>
      <c r="E1371" s="849">
        <v>3585.5613878171498</v>
      </c>
      <c r="F1371" s="850">
        <v>6.5324504899274799E-2</v>
      </c>
      <c r="G1371" s="851">
        <v>3.75145740712374E-2</v>
      </c>
    </row>
    <row r="1372" spans="1:7" x14ac:dyDescent="0.3">
      <c r="A1372" s="11" t="s">
        <v>6279</v>
      </c>
      <c r="B1372" s="11"/>
      <c r="C1372" s="852">
        <v>6</v>
      </c>
      <c r="D1372" s="852">
        <v>4737.9272027903598</v>
      </c>
      <c r="E1372" s="853">
        <v>2662.64879379587</v>
      </c>
      <c r="F1372" s="854">
        <v>4.9570349230474001E-2</v>
      </c>
      <c r="G1372" s="855">
        <v>2.7866609954529001E-2</v>
      </c>
    </row>
    <row r="1373" spans="1:7" x14ac:dyDescent="0.3">
      <c r="A1373" s="6" t="s">
        <v>1047</v>
      </c>
      <c r="B1373" s="6"/>
      <c r="C1373" s="848">
        <v>5</v>
      </c>
      <c r="D1373" s="848">
        <v>2320.2806169005198</v>
      </c>
      <c r="E1373" s="849">
        <v>1602.80429048119</v>
      </c>
      <c r="F1373" s="850">
        <v>2.4275831090169599E-2</v>
      </c>
      <c r="G1373" s="851">
        <v>1.6772350759973301E-2</v>
      </c>
    </row>
    <row r="1374" spans="1:7" x14ac:dyDescent="0.3">
      <c r="A1374" s="11" t="s">
        <v>997</v>
      </c>
      <c r="B1374" s="11"/>
      <c r="C1374" s="852">
        <v>1</v>
      </c>
      <c r="D1374" s="852">
        <v>1608.3597611432999</v>
      </c>
      <c r="E1374" s="853">
        <v>1643.4098254389901</v>
      </c>
      <c r="F1374" s="854">
        <v>1.6827391311787301E-2</v>
      </c>
      <c r="G1374" s="855">
        <v>1.7193113994871102E-2</v>
      </c>
    </row>
    <row r="1375" spans="1:7" x14ac:dyDescent="0.3">
      <c r="A1375" s="6" t="s">
        <v>6280</v>
      </c>
      <c r="B1375" s="6"/>
      <c r="C1375" s="848">
        <v>2</v>
      </c>
      <c r="D1375" s="848">
        <v>1525.87230889445</v>
      </c>
      <c r="E1375" s="849">
        <v>1226.17499132944</v>
      </c>
      <c r="F1375" s="850">
        <v>1.5964370070621001E-2</v>
      </c>
      <c r="G1375" s="851">
        <v>1.2829201269051699E-2</v>
      </c>
    </row>
    <row r="1376" spans="1:7" x14ac:dyDescent="0.3">
      <c r="A1376" s="11" t="s">
        <v>3032</v>
      </c>
      <c r="B1376" s="11"/>
      <c r="C1376" s="852">
        <v>2</v>
      </c>
      <c r="D1376" s="852">
        <v>1135.73007359183</v>
      </c>
      <c r="E1376" s="853">
        <v>812.35487895730603</v>
      </c>
      <c r="F1376" s="854">
        <v>1.1882524566089301E-2</v>
      </c>
      <c r="G1376" s="855">
        <v>8.4980883013899798E-3</v>
      </c>
    </row>
    <row r="1377" spans="1:7" x14ac:dyDescent="0.3">
      <c r="A1377" s="6" t="s">
        <v>1011</v>
      </c>
      <c r="B1377" s="6"/>
      <c r="C1377" s="848">
        <v>1</v>
      </c>
      <c r="D1377" s="848">
        <v>712.76097020815598</v>
      </c>
      <c r="E1377" s="849">
        <v>727.80098083704104</v>
      </c>
      <c r="F1377" s="850">
        <v>7.4572294378565801E-3</v>
      </c>
      <c r="G1377" s="851">
        <v>7.6150252341530304E-3</v>
      </c>
    </row>
    <row r="1378" spans="1:7" x14ac:dyDescent="0.3">
      <c r="A1378" s="11" t="s">
        <v>999</v>
      </c>
      <c r="B1378" s="11"/>
      <c r="C1378" s="852">
        <v>2</v>
      </c>
      <c r="D1378" s="852">
        <v>703.12925013472102</v>
      </c>
      <c r="E1378" s="853">
        <v>702.31192556081396</v>
      </c>
      <c r="F1378" s="854">
        <v>7.3564580018899896E-3</v>
      </c>
      <c r="G1378" s="855">
        <v>7.34802554799236E-3</v>
      </c>
    </row>
    <row r="1379" spans="1:7" x14ac:dyDescent="0.3">
      <c r="A1379" s="6" t="s">
        <v>1159</v>
      </c>
      <c r="B1379" s="6"/>
      <c r="C1379" s="848">
        <v>1</v>
      </c>
      <c r="D1379" s="848">
        <v>431.03973291140301</v>
      </c>
      <c r="E1379" s="849">
        <v>435.122537662794</v>
      </c>
      <c r="F1379" s="850">
        <v>4.5097337249176599E-3</v>
      </c>
      <c r="G1379" s="851">
        <v>4.55266701488336E-3</v>
      </c>
    </row>
    <row r="1380" spans="1:7" x14ac:dyDescent="0.3">
      <c r="A1380" s="11" t="s">
        <v>1161</v>
      </c>
      <c r="B1380" s="11"/>
      <c r="C1380" s="852">
        <v>1</v>
      </c>
      <c r="D1380" s="852">
        <v>416.86528324140301</v>
      </c>
      <c r="E1380" s="853">
        <v>423.623299994435</v>
      </c>
      <c r="F1380" s="854">
        <v>4.3614341858538601E-3</v>
      </c>
      <c r="G1380" s="855">
        <v>4.4320982255716098E-3</v>
      </c>
    </row>
    <row r="1381" spans="1:7" x14ac:dyDescent="0.3">
      <c r="A1381" s="6" t="s">
        <v>1167</v>
      </c>
      <c r="B1381" s="6"/>
      <c r="C1381" s="848">
        <v>1</v>
      </c>
      <c r="D1381" s="848">
        <v>237.53222825652199</v>
      </c>
      <c r="E1381" s="849">
        <v>236.96229917922801</v>
      </c>
      <c r="F1381" s="850">
        <v>2.4851702029600499E-3</v>
      </c>
      <c r="G1381" s="851">
        <v>2.4793494339361102E-3</v>
      </c>
    </row>
    <row r="1382" spans="1:7" x14ac:dyDescent="0.3">
      <c r="A1382" s="11" t="s">
        <v>1053</v>
      </c>
      <c r="B1382" s="11"/>
      <c r="C1382" s="852">
        <v>2</v>
      </c>
      <c r="D1382" s="852">
        <v>224.86862109722699</v>
      </c>
      <c r="E1382" s="853">
        <v>228.63904327669701</v>
      </c>
      <c r="F1382" s="854">
        <v>2.3526777853825698E-3</v>
      </c>
      <c r="G1382" s="855">
        <v>2.39209866678965E-3</v>
      </c>
    </row>
    <row r="1383" spans="1:7" x14ac:dyDescent="0.3">
      <c r="A1383" s="6" t="s">
        <v>1001</v>
      </c>
      <c r="B1383" s="6"/>
      <c r="C1383" s="848">
        <v>1</v>
      </c>
      <c r="D1383" s="848">
        <v>173.43845931316599</v>
      </c>
      <c r="E1383" s="849">
        <v>174.973167430698</v>
      </c>
      <c r="F1383" s="850">
        <v>1.81459204208238E-3</v>
      </c>
      <c r="G1383" s="851">
        <v>1.83070938484307E-3</v>
      </c>
    </row>
    <row r="1384" spans="1:7" x14ac:dyDescent="0.3">
      <c r="A1384" s="11" t="s">
        <v>960</v>
      </c>
      <c r="B1384" s="11"/>
      <c r="C1384" s="852">
        <v>851</v>
      </c>
      <c r="D1384" s="852">
        <v>649360.005185658</v>
      </c>
      <c r="E1384" s="853">
        <v>7.74581865908651E-3</v>
      </c>
      <c r="F1384" s="854">
        <v>98.856147545795196</v>
      </c>
      <c r="G1384" s="855">
        <v>0.54260598262372695</v>
      </c>
    </row>
    <row r="1385" spans="1:7" x14ac:dyDescent="0.3">
      <c r="A1385" s="6" t="s">
        <v>956</v>
      </c>
      <c r="B1385" s="6" t="s">
        <v>1025</v>
      </c>
      <c r="C1385" s="848">
        <v>5</v>
      </c>
      <c r="D1385" s="848">
        <v>5631.5964270446202</v>
      </c>
      <c r="E1385" s="849">
        <v>3404.2893459404399</v>
      </c>
      <c r="F1385" s="850">
        <v>0.85733325561238505</v>
      </c>
      <c r="G1385" s="851">
        <v>0.51501569312280104</v>
      </c>
    </row>
    <row r="1386" spans="1:7" x14ac:dyDescent="0.3">
      <c r="A1386" s="11" t="s">
        <v>958</v>
      </c>
      <c r="B1386" s="11" t="s">
        <v>1019</v>
      </c>
      <c r="C1386" s="852">
        <v>5</v>
      </c>
      <c r="D1386" s="852">
        <v>1882.06917731218</v>
      </c>
      <c r="E1386" s="853">
        <v>1166.0086026204001</v>
      </c>
      <c r="F1386" s="854">
        <v>0.28651919859242198</v>
      </c>
      <c r="G1386" s="855">
        <v>0.17713264541019</v>
      </c>
    </row>
    <row r="1387" spans="1:7" x14ac:dyDescent="0.3">
      <c r="A1387" s="6" t="s">
        <v>6269</v>
      </c>
      <c r="B1387" s="6" t="s">
        <v>6270</v>
      </c>
      <c r="C1387" s="848">
        <v>17706</v>
      </c>
      <c r="D1387" s="848">
        <v>9557986.3292100001</v>
      </c>
      <c r="E1387" s="849">
        <v>3599.8141308938498</v>
      </c>
      <c r="F1387" s="850">
        <v>93.569430508200696</v>
      </c>
      <c r="G1387" s="851">
        <v>3.5240954167936003E-2</v>
      </c>
    </row>
    <row r="1388" spans="1:7" x14ac:dyDescent="0.3">
      <c r="A1388" s="11" t="s">
        <v>6269</v>
      </c>
      <c r="B1388" s="11" t="s">
        <v>6271</v>
      </c>
      <c r="C1388" s="852">
        <v>18567</v>
      </c>
      <c r="D1388" s="852">
        <v>10214860</v>
      </c>
      <c r="E1388" s="853">
        <v>0</v>
      </c>
      <c r="F1388" s="854">
        <v>100</v>
      </c>
      <c r="G1388" s="855">
        <v>0</v>
      </c>
    </row>
    <row r="1389" spans="1:7" x14ac:dyDescent="0.3">
      <c r="A1389" s="3299" t="s">
        <v>52</v>
      </c>
      <c r="B1389" s="3298"/>
      <c r="C1389" s="3298"/>
      <c r="D1389" s="3298"/>
      <c r="E1389" s="3298"/>
      <c r="F1389" s="3298"/>
      <c r="G1389" s="3298"/>
    </row>
    <row r="1390" spans="1:7" x14ac:dyDescent="0.3">
      <c r="A1390" s="11" t="s">
        <v>1152</v>
      </c>
      <c r="B1390" s="11"/>
      <c r="C1390" s="860">
        <v>539</v>
      </c>
      <c r="D1390" s="860">
        <v>342033.22600057098</v>
      </c>
      <c r="E1390" s="861">
        <v>19377.775906691801</v>
      </c>
      <c r="F1390" s="862">
        <v>34.541021941920697</v>
      </c>
      <c r="G1390" s="863">
        <v>1.62647372196068</v>
      </c>
    </row>
    <row r="1391" spans="1:7" x14ac:dyDescent="0.3">
      <c r="A1391" s="6" t="s">
        <v>6272</v>
      </c>
      <c r="B1391" s="6"/>
      <c r="C1391" s="856">
        <v>382</v>
      </c>
      <c r="D1391" s="856">
        <v>220547.97714864099</v>
      </c>
      <c r="E1391" s="857">
        <v>17768.460225953801</v>
      </c>
      <c r="F1391" s="858">
        <v>22.272551140761699</v>
      </c>
      <c r="G1391" s="859">
        <v>1.1550416325373301</v>
      </c>
    </row>
    <row r="1392" spans="1:7" x14ac:dyDescent="0.3">
      <c r="A1392" s="11" t="s">
        <v>6274</v>
      </c>
      <c r="B1392" s="11"/>
      <c r="C1392" s="860">
        <v>287</v>
      </c>
      <c r="D1392" s="860">
        <v>159668.96894533001</v>
      </c>
      <c r="E1392" s="861">
        <v>13445.034327761699</v>
      </c>
      <c r="F1392" s="862">
        <v>16.1245427067816</v>
      </c>
      <c r="G1392" s="863">
        <v>1.1070594684882</v>
      </c>
    </row>
    <row r="1393" spans="1:7" x14ac:dyDescent="0.3">
      <c r="A1393" s="6" t="s">
        <v>6273</v>
      </c>
      <c r="B1393" s="6"/>
      <c r="C1393" s="856">
        <v>184</v>
      </c>
      <c r="D1393" s="856">
        <v>113037.643584367</v>
      </c>
      <c r="E1393" s="857">
        <v>10803.499638082099</v>
      </c>
      <c r="F1393" s="858">
        <v>11.415369708275399</v>
      </c>
      <c r="G1393" s="859">
        <v>1.1338965471499001</v>
      </c>
    </row>
    <row r="1394" spans="1:7" x14ac:dyDescent="0.3">
      <c r="A1394" s="11" t="s">
        <v>6275</v>
      </c>
      <c r="B1394" s="11"/>
      <c r="C1394" s="860">
        <v>87</v>
      </c>
      <c r="D1394" s="860">
        <v>49910.661634071999</v>
      </c>
      <c r="E1394" s="861">
        <v>8874.0230871547392</v>
      </c>
      <c r="F1394" s="862">
        <v>5.0403444098012304</v>
      </c>
      <c r="G1394" s="863">
        <v>0.99212401653424998</v>
      </c>
    </row>
    <row r="1395" spans="1:7" x14ac:dyDescent="0.3">
      <c r="A1395" s="6" t="s">
        <v>6277</v>
      </c>
      <c r="B1395" s="6"/>
      <c r="C1395" s="856">
        <v>67</v>
      </c>
      <c r="D1395" s="856">
        <v>39431.1272990422</v>
      </c>
      <c r="E1395" s="857">
        <v>9540.1346569019697</v>
      </c>
      <c r="F1395" s="858">
        <v>3.9820442275646402</v>
      </c>
      <c r="G1395" s="859">
        <v>0.90170941482677502</v>
      </c>
    </row>
    <row r="1396" spans="1:7" x14ac:dyDescent="0.3">
      <c r="A1396" s="11" t="s">
        <v>6276</v>
      </c>
      <c r="B1396" s="11"/>
      <c r="C1396" s="860">
        <v>84</v>
      </c>
      <c r="D1396" s="860">
        <v>35978.774843692998</v>
      </c>
      <c r="E1396" s="861">
        <v>6949.7372605974397</v>
      </c>
      <c r="F1396" s="862">
        <v>3.6334003741418699</v>
      </c>
      <c r="G1396" s="863">
        <v>0.687241736268695</v>
      </c>
    </row>
    <row r="1397" spans="1:7" x14ac:dyDescent="0.3">
      <c r="A1397" s="6" t="s">
        <v>6278</v>
      </c>
      <c r="B1397" s="6"/>
      <c r="C1397" s="856">
        <v>16</v>
      </c>
      <c r="D1397" s="856">
        <v>10441.076623876201</v>
      </c>
      <c r="E1397" s="857">
        <v>4827.8333232814502</v>
      </c>
      <c r="F1397" s="858">
        <v>1.05441644070562</v>
      </c>
      <c r="G1397" s="859">
        <v>0.50132710444704998</v>
      </c>
    </row>
    <row r="1398" spans="1:7" x14ac:dyDescent="0.3">
      <c r="A1398" s="11" t="s">
        <v>995</v>
      </c>
      <c r="B1398" s="11"/>
      <c r="C1398" s="860">
        <v>10</v>
      </c>
      <c r="D1398" s="860">
        <v>5398.6795874707605</v>
      </c>
      <c r="E1398" s="861">
        <v>2239.8612152160399</v>
      </c>
      <c r="F1398" s="862">
        <v>0.54519823196333395</v>
      </c>
      <c r="G1398" s="863">
        <v>0.22449268232699501</v>
      </c>
    </row>
    <row r="1399" spans="1:7" x14ac:dyDescent="0.3">
      <c r="A1399" s="6" t="s">
        <v>6279</v>
      </c>
      <c r="B1399" s="6"/>
      <c r="C1399" s="856">
        <v>3</v>
      </c>
      <c r="D1399" s="856">
        <v>4588.1785424193304</v>
      </c>
      <c r="E1399" s="857">
        <v>2690.2529176118801</v>
      </c>
      <c r="F1399" s="858">
        <v>0.46334789622716799</v>
      </c>
      <c r="G1399" s="859">
        <v>0.27656690725650701</v>
      </c>
    </row>
    <row r="1400" spans="1:7" x14ac:dyDescent="0.3">
      <c r="A1400" s="11" t="s">
        <v>1005</v>
      </c>
      <c r="B1400" s="11"/>
      <c r="C1400" s="860">
        <v>3</v>
      </c>
      <c r="D1400" s="860">
        <v>2822.7641137021401</v>
      </c>
      <c r="E1400" s="861">
        <v>2599.9195480595399</v>
      </c>
      <c r="F1400" s="862">
        <v>0.28506340839555999</v>
      </c>
      <c r="G1400" s="863">
        <v>0.26191079650473897</v>
      </c>
    </row>
    <row r="1401" spans="1:7" x14ac:dyDescent="0.3">
      <c r="A1401" s="6" t="s">
        <v>1009</v>
      </c>
      <c r="B1401" s="6"/>
      <c r="C1401" s="856">
        <v>1</v>
      </c>
      <c r="D1401" s="856">
        <v>1516.97108502526</v>
      </c>
      <c r="E1401" s="857">
        <v>1535.5873791594099</v>
      </c>
      <c r="F1401" s="858">
        <v>0.153194858130623</v>
      </c>
      <c r="G1401" s="859">
        <v>0.15477008642047499</v>
      </c>
    </row>
    <row r="1402" spans="1:7" x14ac:dyDescent="0.3">
      <c r="A1402" s="11" t="s">
        <v>1003</v>
      </c>
      <c r="B1402" s="11"/>
      <c r="C1402" s="860">
        <v>3</v>
      </c>
      <c r="D1402" s="860">
        <v>1462.43495143671</v>
      </c>
      <c r="E1402" s="861">
        <v>1122.7276485827099</v>
      </c>
      <c r="F1402" s="862">
        <v>0.14768739966251901</v>
      </c>
      <c r="G1402" s="863">
        <v>0.112630558020838</v>
      </c>
    </row>
    <row r="1403" spans="1:7" x14ac:dyDescent="0.3">
      <c r="A1403" s="6" t="s">
        <v>1155</v>
      </c>
      <c r="B1403" s="6"/>
      <c r="C1403" s="856">
        <v>3</v>
      </c>
      <c r="D1403" s="856">
        <v>1025.0273630428001</v>
      </c>
      <c r="E1403" s="857">
        <v>659.66553698216399</v>
      </c>
      <c r="F1403" s="858">
        <v>0.103514775602156</v>
      </c>
      <c r="G1403" s="859">
        <v>6.5631193429363605E-2</v>
      </c>
    </row>
    <row r="1404" spans="1:7" x14ac:dyDescent="0.3">
      <c r="A1404" s="11" t="s">
        <v>1011</v>
      </c>
      <c r="B1404" s="11"/>
      <c r="C1404" s="860">
        <v>1</v>
      </c>
      <c r="D1404" s="860">
        <v>712.76097020815598</v>
      </c>
      <c r="E1404" s="861">
        <v>727.80098083704104</v>
      </c>
      <c r="F1404" s="862">
        <v>7.1979826636092703E-2</v>
      </c>
      <c r="G1404" s="863">
        <v>7.3739259682248703E-2</v>
      </c>
    </row>
    <row r="1405" spans="1:7" x14ac:dyDescent="0.3">
      <c r="A1405" s="6" t="s">
        <v>1047</v>
      </c>
      <c r="B1405" s="6"/>
      <c r="C1405" s="856">
        <v>2</v>
      </c>
      <c r="D1405" s="856">
        <v>561.61067197907403</v>
      </c>
      <c r="E1405" s="857">
        <v>567.08060289595596</v>
      </c>
      <c r="F1405" s="858">
        <v>5.6715561732045401E-2</v>
      </c>
      <c r="G1405" s="859">
        <v>5.7200911200000003E-2</v>
      </c>
    </row>
    <row r="1406" spans="1:7" x14ac:dyDescent="0.3">
      <c r="A1406" s="11" t="s">
        <v>1159</v>
      </c>
      <c r="B1406" s="11"/>
      <c r="C1406" s="860">
        <v>1</v>
      </c>
      <c r="D1406" s="860">
        <v>431.03973291140301</v>
      </c>
      <c r="E1406" s="861">
        <v>435.122537662794</v>
      </c>
      <c r="F1406" s="862">
        <v>4.3529551343376098E-2</v>
      </c>
      <c r="G1406" s="863">
        <v>4.4095285340073502E-2</v>
      </c>
    </row>
    <row r="1407" spans="1:7" x14ac:dyDescent="0.3">
      <c r="A1407" s="6" t="s">
        <v>999</v>
      </c>
      <c r="B1407" s="6"/>
      <c r="C1407" s="856">
        <v>1</v>
      </c>
      <c r="D1407" s="856">
        <v>243.34447228751799</v>
      </c>
      <c r="E1407" s="857">
        <v>246.367518327205</v>
      </c>
      <c r="F1407" s="858">
        <v>2.45747082966561E-2</v>
      </c>
      <c r="G1407" s="859">
        <v>2.4899839303375901E-2</v>
      </c>
    </row>
    <row r="1408" spans="1:7" x14ac:dyDescent="0.3">
      <c r="A1408" s="11" t="s">
        <v>1167</v>
      </c>
      <c r="B1408" s="11"/>
      <c r="C1408" s="860">
        <v>1</v>
      </c>
      <c r="D1408" s="860">
        <v>237.53222825652199</v>
      </c>
      <c r="E1408" s="861">
        <v>236.96229917922801</v>
      </c>
      <c r="F1408" s="862">
        <v>2.3987745296148898E-2</v>
      </c>
      <c r="G1408" s="863">
        <v>2.39121346455341E-2</v>
      </c>
    </row>
    <row r="1409" spans="1:7" x14ac:dyDescent="0.3">
      <c r="A1409" s="6" t="s">
        <v>1001</v>
      </c>
      <c r="B1409" s="6"/>
      <c r="C1409" s="856">
        <v>1</v>
      </c>
      <c r="D1409" s="856">
        <v>173.43845931316599</v>
      </c>
      <c r="E1409" s="857">
        <v>174.973167430698</v>
      </c>
      <c r="F1409" s="858">
        <v>1.7515086761480302E-2</v>
      </c>
      <c r="G1409" s="859">
        <v>1.7655872823138699E-2</v>
      </c>
    </row>
    <row r="1410" spans="1:7" x14ac:dyDescent="0.3">
      <c r="A1410" s="11" t="s">
        <v>960</v>
      </c>
      <c r="B1410" s="11" t="s">
        <v>961</v>
      </c>
      <c r="C1410" s="860">
        <v>16890</v>
      </c>
      <c r="D1410" s="860">
        <v>9221912.3067917097</v>
      </c>
      <c r="E1410" s="861">
        <v>34441.108144384001</v>
      </c>
      <c r="F1410" s="862">
        <v>99.970465450065603</v>
      </c>
      <c r="G1410" s="863">
        <v>2.6946460019468901E-2</v>
      </c>
    </row>
    <row r="1411" spans="1:7" x14ac:dyDescent="0.3">
      <c r="A1411" s="6" t="s">
        <v>958</v>
      </c>
      <c r="B1411" s="6" t="s">
        <v>1019</v>
      </c>
      <c r="C1411" s="856">
        <v>1</v>
      </c>
      <c r="D1411" s="856">
        <v>1871.8944662732899</v>
      </c>
      <c r="E1411" s="857">
        <v>1935.3873358609301</v>
      </c>
      <c r="F1411" s="858">
        <v>2.0292337949139198E-2</v>
      </c>
      <c r="G1411" s="859">
        <v>2.09881634076623E-2</v>
      </c>
    </row>
    <row r="1412" spans="1:7" x14ac:dyDescent="0.3">
      <c r="A1412" s="11" t="s">
        <v>956</v>
      </c>
      <c r="B1412" s="11" t="s">
        <v>1025</v>
      </c>
      <c r="C1412" s="860">
        <v>3</v>
      </c>
      <c r="D1412" s="860">
        <v>852.56048439287099</v>
      </c>
      <c r="E1412" s="861">
        <v>573.02556430784796</v>
      </c>
      <c r="F1412" s="862">
        <v>9.2422119852862104E-3</v>
      </c>
      <c r="G1412" s="863">
        <v>6.2174593084417503E-3</v>
      </c>
    </row>
    <row r="1413" spans="1:7" x14ac:dyDescent="0.3">
      <c r="A1413" s="6" t="s">
        <v>6269</v>
      </c>
      <c r="B1413" s="6" t="s">
        <v>6270</v>
      </c>
      <c r="C1413" s="856">
        <v>1676</v>
      </c>
      <c r="D1413" s="856">
        <v>990223.23825764505</v>
      </c>
      <c r="E1413" s="857">
        <v>33808.763461165698</v>
      </c>
      <c r="F1413" s="858">
        <v>9.6939482113082693</v>
      </c>
      <c r="G1413" s="859">
        <v>0.33097627829619097</v>
      </c>
    </row>
    <row r="1414" spans="1:7" x14ac:dyDescent="0.3">
      <c r="A1414" s="11" t="s">
        <v>6269</v>
      </c>
      <c r="B1414" s="11" t="s">
        <v>6271</v>
      </c>
      <c r="C1414" s="860">
        <v>18570</v>
      </c>
      <c r="D1414" s="860">
        <v>10214860</v>
      </c>
      <c r="E1414" s="861">
        <v>0</v>
      </c>
      <c r="F1414" s="862">
        <v>100</v>
      </c>
      <c r="G1414" s="863">
        <v>0</v>
      </c>
    </row>
    <row r="1415" spans="1:7" x14ac:dyDescent="0.3">
      <c r="A1415" s="3299" t="s">
        <v>72</v>
      </c>
      <c r="B1415" s="3298"/>
      <c r="C1415" s="3298"/>
      <c r="D1415" s="3298"/>
      <c r="E1415" s="3298"/>
      <c r="F1415" s="3298"/>
      <c r="G1415" s="3298"/>
    </row>
    <row r="1416" spans="1:7" x14ac:dyDescent="0.3">
      <c r="A1416" s="11" t="s">
        <v>1152</v>
      </c>
      <c r="B1416" s="11"/>
      <c r="C1416" s="868">
        <v>1599</v>
      </c>
      <c r="D1416" s="868">
        <v>933252.44154485897</v>
      </c>
      <c r="E1416" s="869">
        <v>35585.374241678197</v>
      </c>
      <c r="F1416" s="870">
        <v>94.108860302332104</v>
      </c>
      <c r="G1416" s="871">
        <v>1.4006915852651101</v>
      </c>
    </row>
    <row r="1417" spans="1:7" x14ac:dyDescent="0.3">
      <c r="A1417" s="6" t="s">
        <v>6274</v>
      </c>
      <c r="B1417" s="6"/>
      <c r="C1417" s="864">
        <v>10</v>
      </c>
      <c r="D1417" s="864">
        <v>10843.3691893863</v>
      </c>
      <c r="E1417" s="865">
        <v>6590.3331633342405</v>
      </c>
      <c r="F1417" s="866">
        <v>1.09344167861094</v>
      </c>
      <c r="G1417" s="867">
        <v>0.66213755698670296</v>
      </c>
    </row>
    <row r="1418" spans="1:7" x14ac:dyDescent="0.3">
      <c r="A1418" s="11" t="s">
        <v>995</v>
      </c>
      <c r="B1418" s="11"/>
      <c r="C1418" s="868">
        <v>9</v>
      </c>
      <c r="D1418" s="868">
        <v>9477.3384954992307</v>
      </c>
      <c r="E1418" s="869">
        <v>6458.8357231150503</v>
      </c>
      <c r="F1418" s="870">
        <v>0.95569160583651203</v>
      </c>
      <c r="G1418" s="871">
        <v>0.64441663538574401</v>
      </c>
    </row>
    <row r="1419" spans="1:7" x14ac:dyDescent="0.3">
      <c r="A1419" s="6" t="s">
        <v>6272</v>
      </c>
      <c r="B1419" s="6"/>
      <c r="C1419" s="864">
        <v>11</v>
      </c>
      <c r="D1419" s="864">
        <v>7795.8113241422898</v>
      </c>
      <c r="E1419" s="865">
        <v>5021.9613707012904</v>
      </c>
      <c r="F1419" s="866">
        <v>0.78612697506859996</v>
      </c>
      <c r="G1419" s="867">
        <v>0.50180686427349497</v>
      </c>
    </row>
    <row r="1420" spans="1:7" x14ac:dyDescent="0.3">
      <c r="A1420" s="11" t="s">
        <v>6273</v>
      </c>
      <c r="B1420" s="11"/>
      <c r="C1420" s="868">
        <v>11</v>
      </c>
      <c r="D1420" s="868">
        <v>7413.3243907382002</v>
      </c>
      <c r="E1420" s="869">
        <v>3613.24044698334</v>
      </c>
      <c r="F1420" s="870">
        <v>0.74755712217476999</v>
      </c>
      <c r="G1420" s="871">
        <v>0.36987836692464598</v>
      </c>
    </row>
    <row r="1421" spans="1:7" x14ac:dyDescent="0.3">
      <c r="A1421" s="6" t="s">
        <v>6278</v>
      </c>
      <c r="B1421" s="6"/>
      <c r="C1421" s="864">
        <v>3</v>
      </c>
      <c r="D1421" s="864">
        <v>5361.7295687054002</v>
      </c>
      <c r="E1421" s="865">
        <v>2958.12243152565</v>
      </c>
      <c r="F1421" s="866">
        <v>0.54067499477945502</v>
      </c>
      <c r="G1421" s="867">
        <v>0.303260253758313</v>
      </c>
    </row>
    <row r="1422" spans="1:7" x14ac:dyDescent="0.3">
      <c r="A1422" s="11" t="s">
        <v>6275</v>
      </c>
      <c r="B1422" s="11"/>
      <c r="C1422" s="868">
        <v>5</v>
      </c>
      <c r="D1422" s="868">
        <v>3333.8688360061801</v>
      </c>
      <c r="E1422" s="869">
        <v>2434.0420318146698</v>
      </c>
      <c r="F1422" s="870">
        <v>0.336186204918622</v>
      </c>
      <c r="G1422" s="871">
        <v>0.245296573409333</v>
      </c>
    </row>
    <row r="1423" spans="1:7" x14ac:dyDescent="0.3">
      <c r="A1423" s="6" t="s">
        <v>1005</v>
      </c>
      <c r="B1423" s="6"/>
      <c r="C1423" s="864">
        <v>7</v>
      </c>
      <c r="D1423" s="864">
        <v>3256.9092083483001</v>
      </c>
      <c r="E1423" s="865">
        <v>1731.2173352303801</v>
      </c>
      <c r="F1423" s="866">
        <v>0.32842562211619702</v>
      </c>
      <c r="G1423" s="867">
        <v>0.17226492558106801</v>
      </c>
    </row>
    <row r="1424" spans="1:7" x14ac:dyDescent="0.3">
      <c r="A1424" s="11" t="s">
        <v>6276</v>
      </c>
      <c r="B1424" s="11"/>
      <c r="C1424" s="868">
        <v>7</v>
      </c>
      <c r="D1424" s="868">
        <v>3193.0788776723598</v>
      </c>
      <c r="E1424" s="869">
        <v>2114.3494563203299</v>
      </c>
      <c r="F1424" s="870">
        <v>0.32198899317720298</v>
      </c>
      <c r="G1424" s="871">
        <v>0.21297846297096201</v>
      </c>
    </row>
    <row r="1425" spans="1:7" x14ac:dyDescent="0.3">
      <c r="A1425" s="6" t="s">
        <v>6277</v>
      </c>
      <c r="B1425" s="6"/>
      <c r="C1425" s="864">
        <v>1</v>
      </c>
      <c r="D1425" s="864">
        <v>2504.8066573032502</v>
      </c>
      <c r="E1425" s="865">
        <v>2466.0407413879002</v>
      </c>
      <c r="F1425" s="866">
        <v>0.25258385545319001</v>
      </c>
      <c r="G1425" s="867">
        <v>0.24912785168344101</v>
      </c>
    </row>
    <row r="1426" spans="1:7" x14ac:dyDescent="0.3">
      <c r="A1426" s="11" t="s">
        <v>1155</v>
      </c>
      <c r="B1426" s="11"/>
      <c r="C1426" s="868">
        <v>7</v>
      </c>
      <c r="D1426" s="868">
        <v>1641.6036811587901</v>
      </c>
      <c r="E1426" s="869">
        <v>1145.3368707684201</v>
      </c>
      <c r="F1426" s="870">
        <v>0.165538759530308</v>
      </c>
      <c r="G1426" s="871">
        <v>0.116269875422342</v>
      </c>
    </row>
    <row r="1427" spans="1:7" x14ac:dyDescent="0.3">
      <c r="A1427" s="6" t="s">
        <v>999</v>
      </c>
      <c r="B1427" s="6"/>
      <c r="C1427" s="864">
        <v>2</v>
      </c>
      <c r="D1427" s="864">
        <v>1586.5286115766401</v>
      </c>
      <c r="E1427" s="865">
        <v>1561.23199220061</v>
      </c>
      <c r="F1427" s="866">
        <v>0.159985008156383</v>
      </c>
      <c r="G1427" s="867">
        <v>0.157607513684624</v>
      </c>
    </row>
    <row r="1428" spans="1:7" x14ac:dyDescent="0.3">
      <c r="A1428" s="11" t="s">
        <v>6279</v>
      </c>
      <c r="B1428" s="11"/>
      <c r="C1428" s="868">
        <v>3</v>
      </c>
      <c r="D1428" s="868">
        <v>1558.92932334943</v>
      </c>
      <c r="E1428" s="869">
        <v>1165.1019284573699</v>
      </c>
      <c r="F1428" s="870">
        <v>0.15720190527382499</v>
      </c>
      <c r="G1428" s="871">
        <v>0.11706012983260899</v>
      </c>
    </row>
    <row r="1429" spans="1:7" x14ac:dyDescent="0.3">
      <c r="A1429" s="6" t="s">
        <v>6280</v>
      </c>
      <c r="B1429" s="6"/>
      <c r="C1429" s="864">
        <v>2</v>
      </c>
      <c r="D1429" s="864">
        <v>453.56134570571299</v>
      </c>
      <c r="E1429" s="865">
        <v>458.612055438298</v>
      </c>
      <c r="F1429" s="866">
        <v>4.5736972571857999E-2</v>
      </c>
      <c r="G1429" s="867">
        <v>4.6246935054364502E-2</v>
      </c>
    </row>
    <row r="1430" spans="1:7" x14ac:dyDescent="0.3">
      <c r="A1430" s="11" t="s">
        <v>960</v>
      </c>
      <c r="B1430" s="11" t="s">
        <v>961</v>
      </c>
      <c r="C1430" s="868">
        <v>16890</v>
      </c>
      <c r="D1430" s="868">
        <v>9221912.3067917097</v>
      </c>
      <c r="E1430" s="869">
        <v>34441.108144384001</v>
      </c>
      <c r="F1430" s="870">
        <v>99.986182734932498</v>
      </c>
      <c r="G1430" s="871">
        <v>8.9656064129406896E-3</v>
      </c>
    </row>
    <row r="1431" spans="1:7" x14ac:dyDescent="0.3">
      <c r="A1431" s="6" t="s">
        <v>956</v>
      </c>
      <c r="B1431" s="6" t="s">
        <v>1025</v>
      </c>
      <c r="C1431" s="864">
        <v>2</v>
      </c>
      <c r="D1431" s="864">
        <v>1073.7902569345399</v>
      </c>
      <c r="E1431" s="865">
        <v>813.99494147894904</v>
      </c>
      <c r="F1431" s="866">
        <v>1.16422912382041E-2</v>
      </c>
      <c r="G1431" s="867">
        <v>8.8271008783983793E-3</v>
      </c>
    </row>
    <row r="1432" spans="1:7" x14ac:dyDescent="0.3">
      <c r="A1432" s="11" t="s">
        <v>958</v>
      </c>
      <c r="B1432" s="11" t="s">
        <v>1019</v>
      </c>
      <c r="C1432" s="868">
        <v>1</v>
      </c>
      <c r="D1432" s="868">
        <v>200.60189692820899</v>
      </c>
      <c r="E1432" s="869">
        <v>202.20588232347399</v>
      </c>
      <c r="F1432" s="870">
        <v>2.1749738292855202E-3</v>
      </c>
      <c r="G1432" s="871">
        <v>2.1921818686749298E-3</v>
      </c>
    </row>
    <row r="1433" spans="1:7" x14ac:dyDescent="0.3">
      <c r="A1433" s="6" t="s">
        <v>6269</v>
      </c>
      <c r="B1433" s="6" t="s">
        <v>6270</v>
      </c>
      <c r="C1433" s="864">
        <v>1677</v>
      </c>
      <c r="D1433" s="864">
        <v>991673.30105445103</v>
      </c>
      <c r="E1433" s="865">
        <v>34406.363913069603</v>
      </c>
      <c r="F1433" s="866">
        <v>9.7081438321665594</v>
      </c>
      <c r="G1433" s="867">
        <v>0.336826583164825</v>
      </c>
    </row>
    <row r="1434" spans="1:7" x14ac:dyDescent="0.3">
      <c r="A1434" s="11" t="s">
        <v>6269</v>
      </c>
      <c r="B1434" s="11" t="s">
        <v>6271</v>
      </c>
      <c r="C1434" s="868">
        <v>18570</v>
      </c>
      <c r="D1434" s="868">
        <v>10214860</v>
      </c>
      <c r="E1434" s="869">
        <v>0</v>
      </c>
      <c r="F1434" s="870">
        <v>100</v>
      </c>
      <c r="G1434" s="871">
        <v>0</v>
      </c>
    </row>
    <row r="1435" spans="1:7" x14ac:dyDescent="0.3">
      <c r="A1435" s="3299" t="s">
        <v>55</v>
      </c>
      <c r="B1435" s="3298"/>
      <c r="C1435" s="3298"/>
      <c r="D1435" s="3298"/>
      <c r="E1435" s="3298"/>
      <c r="F1435" s="3298"/>
      <c r="G1435" s="3298"/>
    </row>
    <row r="1436" spans="1:7" x14ac:dyDescent="0.3">
      <c r="A1436" s="11" t="s">
        <v>962</v>
      </c>
      <c r="B1436" s="11" t="s">
        <v>1031</v>
      </c>
      <c r="C1436" s="876">
        <v>195</v>
      </c>
      <c r="D1436" s="876">
        <v>92773.022393225401</v>
      </c>
      <c r="E1436" s="877">
        <v>11453.258798250599</v>
      </c>
      <c r="F1436" s="878">
        <v>100</v>
      </c>
      <c r="G1436" s="879">
        <v>0</v>
      </c>
    </row>
    <row r="1437" spans="1:7" x14ac:dyDescent="0.3">
      <c r="A1437" s="6" t="s">
        <v>960</v>
      </c>
      <c r="B1437" s="6" t="s">
        <v>961</v>
      </c>
      <c r="C1437" s="872">
        <v>17442</v>
      </c>
      <c r="D1437" s="872">
        <v>9519131.9643207397</v>
      </c>
      <c r="E1437" s="873">
        <v>24602.845860938902</v>
      </c>
      <c r="F1437" s="874">
        <v>94.043174943862894</v>
      </c>
      <c r="G1437" s="875">
        <v>0.25241299904909398</v>
      </c>
    </row>
    <row r="1438" spans="1:7" x14ac:dyDescent="0.3">
      <c r="A1438" s="11" t="s">
        <v>974</v>
      </c>
      <c r="B1438" s="11" t="s">
        <v>975</v>
      </c>
      <c r="C1438" s="876">
        <v>933</v>
      </c>
      <c r="D1438" s="876">
        <v>602955.01328606997</v>
      </c>
      <c r="E1438" s="877">
        <v>25754.3427731097</v>
      </c>
      <c r="F1438" s="878">
        <v>5.9568250561370704</v>
      </c>
      <c r="G1438" s="879">
        <v>0.25241299904909198</v>
      </c>
    </row>
    <row r="1439" spans="1:7" x14ac:dyDescent="0.3">
      <c r="A1439" s="6" t="s">
        <v>6269</v>
      </c>
      <c r="B1439" s="6" t="s">
        <v>6270</v>
      </c>
      <c r="C1439" s="872">
        <v>195</v>
      </c>
      <c r="D1439" s="872">
        <v>92773.022393225401</v>
      </c>
      <c r="E1439" s="873">
        <v>11453.258798250599</v>
      </c>
      <c r="F1439" s="874">
        <v>0.90821628875212301</v>
      </c>
      <c r="G1439" s="875">
        <v>0.112123502409729</v>
      </c>
    </row>
    <row r="1440" spans="1:7" x14ac:dyDescent="0.3">
      <c r="A1440" s="11" t="s">
        <v>6269</v>
      </c>
      <c r="B1440" s="11" t="s">
        <v>6271</v>
      </c>
      <c r="C1440" s="876">
        <v>18570</v>
      </c>
      <c r="D1440" s="876">
        <v>10214860</v>
      </c>
      <c r="E1440" s="877">
        <v>0</v>
      </c>
      <c r="F1440" s="878">
        <v>100</v>
      </c>
      <c r="G1440" s="879">
        <v>0</v>
      </c>
    </row>
    <row r="1441" spans="1:7" x14ac:dyDescent="0.3">
      <c r="A1441" s="3299" t="s">
        <v>60</v>
      </c>
      <c r="B1441" s="3298"/>
      <c r="C1441" s="3298"/>
      <c r="D1441" s="3298"/>
      <c r="E1441" s="3298"/>
      <c r="F1441" s="3298"/>
      <c r="G1441" s="3298"/>
    </row>
    <row r="1442" spans="1:7" x14ac:dyDescent="0.3">
      <c r="A1442" s="11" t="s">
        <v>966</v>
      </c>
      <c r="B1442" s="11" t="s">
        <v>1033</v>
      </c>
      <c r="C1442" s="884">
        <v>180</v>
      </c>
      <c r="D1442" s="884">
        <v>99720.715330502499</v>
      </c>
      <c r="E1442" s="885">
        <v>9369.6279671561897</v>
      </c>
      <c r="F1442" s="886">
        <v>100</v>
      </c>
      <c r="G1442" s="887">
        <v>0</v>
      </c>
    </row>
    <row r="1443" spans="1:7" x14ac:dyDescent="0.3">
      <c r="A1443" s="6" t="s">
        <v>960</v>
      </c>
      <c r="B1443" s="6" t="s">
        <v>961</v>
      </c>
      <c r="C1443" s="880">
        <v>17457</v>
      </c>
      <c r="D1443" s="880">
        <v>9512184.2713834606</v>
      </c>
      <c r="E1443" s="881">
        <v>32568.436850250499</v>
      </c>
      <c r="F1443" s="882">
        <v>94.039083434076801</v>
      </c>
      <c r="G1443" s="883">
        <v>0.25819552518160599</v>
      </c>
    </row>
    <row r="1444" spans="1:7" x14ac:dyDescent="0.3">
      <c r="A1444" s="11" t="s">
        <v>974</v>
      </c>
      <c r="B1444" s="11" t="s">
        <v>975</v>
      </c>
      <c r="C1444" s="884">
        <v>933</v>
      </c>
      <c r="D1444" s="884">
        <v>602955.01328606997</v>
      </c>
      <c r="E1444" s="885">
        <v>25754.3427731097</v>
      </c>
      <c r="F1444" s="886">
        <v>5.9609165659231804</v>
      </c>
      <c r="G1444" s="887">
        <v>0.25819552518160199</v>
      </c>
    </row>
    <row r="1445" spans="1:7" x14ac:dyDescent="0.3">
      <c r="A1445" s="6" t="s">
        <v>6269</v>
      </c>
      <c r="B1445" s="6" t="s">
        <v>6270</v>
      </c>
      <c r="C1445" s="880">
        <v>180</v>
      </c>
      <c r="D1445" s="880">
        <v>99720.715330502499</v>
      </c>
      <c r="E1445" s="881">
        <v>9369.6279671561897</v>
      </c>
      <c r="F1445" s="882">
        <v>0.97623183607511199</v>
      </c>
      <c r="G1445" s="883">
        <v>9.1725466302585407E-2</v>
      </c>
    </row>
    <row r="1446" spans="1:7" x14ac:dyDescent="0.3">
      <c r="A1446" s="11" t="s">
        <v>6269</v>
      </c>
      <c r="B1446" s="11" t="s">
        <v>6271</v>
      </c>
      <c r="C1446" s="884">
        <v>18570</v>
      </c>
      <c r="D1446" s="884">
        <v>10214860</v>
      </c>
      <c r="E1446" s="885">
        <v>0</v>
      </c>
      <c r="F1446" s="886">
        <v>100</v>
      </c>
      <c r="G1446" s="887">
        <v>0</v>
      </c>
    </row>
    <row r="1447" spans="1:7" x14ac:dyDescent="0.3">
      <c r="A1447" s="3299" t="s">
        <v>62</v>
      </c>
      <c r="B1447" s="3298"/>
      <c r="C1447" s="3298"/>
      <c r="D1447" s="3298"/>
      <c r="E1447" s="3298"/>
      <c r="F1447" s="3298"/>
      <c r="G1447" s="3298"/>
    </row>
    <row r="1448" spans="1:7" x14ac:dyDescent="0.3">
      <c r="A1448" s="11" t="s">
        <v>968</v>
      </c>
      <c r="B1448" s="11" t="s">
        <v>1034</v>
      </c>
      <c r="C1448" s="892">
        <v>149</v>
      </c>
      <c r="D1448" s="892">
        <v>83323.413660785998</v>
      </c>
      <c r="E1448" s="893">
        <v>7995.3634652558803</v>
      </c>
      <c r="F1448" s="894">
        <v>100</v>
      </c>
      <c r="G1448" s="895">
        <v>0</v>
      </c>
    </row>
    <row r="1449" spans="1:7" x14ac:dyDescent="0.3">
      <c r="A1449" s="6" t="s">
        <v>960</v>
      </c>
      <c r="B1449" s="6" t="s">
        <v>961</v>
      </c>
      <c r="C1449" s="888">
        <v>17488</v>
      </c>
      <c r="D1449" s="888">
        <v>9528581.57305317</v>
      </c>
      <c r="E1449" s="889">
        <v>32401.632374798701</v>
      </c>
      <c r="F1449" s="890">
        <v>94.048730830237005</v>
      </c>
      <c r="G1449" s="891">
        <v>0.25787146100080199</v>
      </c>
    </row>
    <row r="1450" spans="1:7" x14ac:dyDescent="0.3">
      <c r="A1450" s="11" t="s">
        <v>974</v>
      </c>
      <c r="B1450" s="11" t="s">
        <v>975</v>
      </c>
      <c r="C1450" s="892">
        <v>933</v>
      </c>
      <c r="D1450" s="892">
        <v>602955.01328606997</v>
      </c>
      <c r="E1450" s="893">
        <v>25754.3427731097</v>
      </c>
      <c r="F1450" s="894">
        <v>5.95126916976304</v>
      </c>
      <c r="G1450" s="895">
        <v>0.257871461000796</v>
      </c>
    </row>
    <row r="1451" spans="1:7" x14ac:dyDescent="0.3">
      <c r="A1451" s="6" t="s">
        <v>6269</v>
      </c>
      <c r="B1451" s="6" t="s">
        <v>6270</v>
      </c>
      <c r="C1451" s="888">
        <v>149</v>
      </c>
      <c r="D1451" s="888">
        <v>83323.413660785998</v>
      </c>
      <c r="E1451" s="889">
        <v>7995.3634652558803</v>
      </c>
      <c r="F1451" s="890">
        <v>0.815707838000577</v>
      </c>
      <c r="G1451" s="891">
        <v>7.8271884932891306E-2</v>
      </c>
    </row>
    <row r="1452" spans="1:7" x14ac:dyDescent="0.3">
      <c r="A1452" s="11" t="s">
        <v>6269</v>
      </c>
      <c r="B1452" s="11" t="s">
        <v>6271</v>
      </c>
      <c r="C1452" s="892">
        <v>18570</v>
      </c>
      <c r="D1452" s="892">
        <v>10214860</v>
      </c>
      <c r="E1452" s="893">
        <v>0</v>
      </c>
      <c r="F1452" s="894">
        <v>100</v>
      </c>
      <c r="G1452" s="895">
        <v>0</v>
      </c>
    </row>
    <row r="1453" spans="1:7" x14ac:dyDescent="0.3">
      <c r="A1453" s="3299" t="s">
        <v>64</v>
      </c>
      <c r="B1453" s="3298"/>
      <c r="C1453" s="3298"/>
      <c r="D1453" s="3298"/>
      <c r="E1453" s="3298"/>
      <c r="F1453" s="3298"/>
      <c r="G1453" s="3298"/>
    </row>
    <row r="1454" spans="1:7" x14ac:dyDescent="0.3">
      <c r="A1454" s="11" t="s">
        <v>970</v>
      </c>
      <c r="B1454" s="11" t="s">
        <v>1035</v>
      </c>
      <c r="C1454" s="900">
        <v>239</v>
      </c>
      <c r="D1454" s="900">
        <v>130565.351670972</v>
      </c>
      <c r="E1454" s="901">
        <v>16442.4256568151</v>
      </c>
      <c r="F1454" s="902">
        <v>100</v>
      </c>
      <c r="G1454" s="903">
        <v>0</v>
      </c>
    </row>
    <row r="1455" spans="1:7" x14ac:dyDescent="0.3">
      <c r="A1455" s="6" t="s">
        <v>960</v>
      </c>
      <c r="B1455" s="6" t="s">
        <v>961</v>
      </c>
      <c r="C1455" s="896">
        <v>17398</v>
      </c>
      <c r="D1455" s="896">
        <v>9481339.6350429896</v>
      </c>
      <c r="E1455" s="897">
        <v>35670.535915544497</v>
      </c>
      <c r="F1455" s="898">
        <v>94.020850894256895</v>
      </c>
      <c r="G1455" s="899">
        <v>0.25944596923530899</v>
      </c>
    </row>
    <row r="1456" spans="1:7" x14ac:dyDescent="0.3">
      <c r="A1456" s="11" t="s">
        <v>974</v>
      </c>
      <c r="B1456" s="11" t="s">
        <v>975</v>
      </c>
      <c r="C1456" s="900">
        <v>933</v>
      </c>
      <c r="D1456" s="900">
        <v>602955.01328606997</v>
      </c>
      <c r="E1456" s="901">
        <v>25754.3427731097</v>
      </c>
      <c r="F1456" s="902">
        <v>5.9791491057431303</v>
      </c>
      <c r="G1456" s="903">
        <v>0.25944596923531099</v>
      </c>
    </row>
    <row r="1457" spans="1:7" x14ac:dyDescent="0.3">
      <c r="A1457" s="6" t="s">
        <v>6269</v>
      </c>
      <c r="B1457" s="6" t="s">
        <v>6270</v>
      </c>
      <c r="C1457" s="896">
        <v>239</v>
      </c>
      <c r="D1457" s="896">
        <v>130565.351670972</v>
      </c>
      <c r="E1457" s="897">
        <v>16442.4256568151</v>
      </c>
      <c r="F1457" s="898">
        <v>1.2781903195048401</v>
      </c>
      <c r="G1457" s="899">
        <v>0.160965746538031</v>
      </c>
    </row>
    <row r="1458" spans="1:7" x14ac:dyDescent="0.3">
      <c r="A1458" s="11" t="s">
        <v>6269</v>
      </c>
      <c r="B1458" s="11" t="s">
        <v>6271</v>
      </c>
      <c r="C1458" s="900">
        <v>18570</v>
      </c>
      <c r="D1458" s="900">
        <v>10214860</v>
      </c>
      <c r="E1458" s="901">
        <v>0</v>
      </c>
      <c r="F1458" s="902">
        <v>100</v>
      </c>
      <c r="G1458" s="903">
        <v>0</v>
      </c>
    </row>
    <row r="1459" spans="1:7" x14ac:dyDescent="0.3">
      <c r="A1459" s="3299" t="s">
        <v>66</v>
      </c>
      <c r="B1459" s="3298"/>
      <c r="C1459" s="3298"/>
      <c r="D1459" s="3298"/>
      <c r="E1459" s="3298"/>
      <c r="F1459" s="3298"/>
      <c r="G1459" s="3298"/>
    </row>
    <row r="1460" spans="1:7" x14ac:dyDescent="0.3">
      <c r="A1460" s="11" t="s">
        <v>972</v>
      </c>
      <c r="B1460" s="11" t="s">
        <v>1036</v>
      </c>
      <c r="C1460" s="908">
        <v>157</v>
      </c>
      <c r="D1460" s="908">
        <v>91422.434536513203</v>
      </c>
      <c r="E1460" s="909">
        <v>13411.852748741399</v>
      </c>
      <c r="F1460" s="910">
        <v>100</v>
      </c>
      <c r="G1460" s="911">
        <v>0</v>
      </c>
    </row>
    <row r="1461" spans="1:7" x14ac:dyDescent="0.3">
      <c r="A1461" s="6" t="s">
        <v>960</v>
      </c>
      <c r="B1461" s="6" t="s">
        <v>961</v>
      </c>
      <c r="C1461" s="904">
        <v>17480</v>
      </c>
      <c r="D1461" s="904">
        <v>9520482.5521774497</v>
      </c>
      <c r="E1461" s="905">
        <v>31178.831685150799</v>
      </c>
      <c r="F1461" s="906">
        <v>94.043969655692095</v>
      </c>
      <c r="G1461" s="907">
        <v>0.25598610235374902</v>
      </c>
    </row>
    <row r="1462" spans="1:7" x14ac:dyDescent="0.3">
      <c r="A1462" s="11" t="s">
        <v>974</v>
      </c>
      <c r="B1462" s="11" t="s">
        <v>975</v>
      </c>
      <c r="C1462" s="908">
        <v>933</v>
      </c>
      <c r="D1462" s="908">
        <v>602955.01328606997</v>
      </c>
      <c r="E1462" s="909">
        <v>25754.3427731097</v>
      </c>
      <c r="F1462" s="910">
        <v>5.9560303443078801</v>
      </c>
      <c r="G1462" s="911">
        <v>0.25598610235374802</v>
      </c>
    </row>
    <row r="1463" spans="1:7" x14ac:dyDescent="0.3">
      <c r="A1463" s="6" t="s">
        <v>6269</v>
      </c>
      <c r="B1463" s="6" t="s">
        <v>6270</v>
      </c>
      <c r="C1463" s="904">
        <v>157</v>
      </c>
      <c r="D1463" s="904">
        <v>91422.434536513203</v>
      </c>
      <c r="E1463" s="905">
        <v>13411.852748741399</v>
      </c>
      <c r="F1463" s="906">
        <v>0.89499449367404804</v>
      </c>
      <c r="G1463" s="907">
        <v>0.13129747004600001</v>
      </c>
    </row>
    <row r="1464" spans="1:7" x14ac:dyDescent="0.3">
      <c r="A1464" s="11" t="s">
        <v>6269</v>
      </c>
      <c r="B1464" s="11" t="s">
        <v>6271</v>
      </c>
      <c r="C1464" s="908">
        <v>18570</v>
      </c>
      <c r="D1464" s="908">
        <v>10214860</v>
      </c>
      <c r="E1464" s="909">
        <v>0</v>
      </c>
      <c r="F1464" s="910">
        <v>100</v>
      </c>
      <c r="G1464" s="911">
        <v>0</v>
      </c>
    </row>
    <row r="1465" spans="1:7" x14ac:dyDescent="0.3">
      <c r="A1465" s="3299" t="s">
        <v>68</v>
      </c>
      <c r="B1465" s="3298"/>
      <c r="C1465" s="3298"/>
      <c r="D1465" s="3298"/>
      <c r="E1465" s="3298"/>
      <c r="F1465" s="3298"/>
      <c r="G1465" s="3298"/>
    </row>
    <row r="1466" spans="1:7" x14ac:dyDescent="0.3">
      <c r="A1466" s="11" t="s">
        <v>964</v>
      </c>
      <c r="B1466" s="11" t="s">
        <v>1032</v>
      </c>
      <c r="C1466" s="916">
        <v>119</v>
      </c>
      <c r="D1466" s="916">
        <v>69160.879724148996</v>
      </c>
      <c r="E1466" s="917">
        <v>10041.3919623401</v>
      </c>
      <c r="F1466" s="918">
        <v>100</v>
      </c>
      <c r="G1466" s="919">
        <v>0</v>
      </c>
    </row>
    <row r="1467" spans="1:7" x14ac:dyDescent="0.3">
      <c r="A1467" s="6" t="s">
        <v>960</v>
      </c>
      <c r="B1467" s="6" t="s">
        <v>961</v>
      </c>
      <c r="C1467" s="912">
        <v>17518</v>
      </c>
      <c r="D1467" s="912">
        <v>9542744.1069898102</v>
      </c>
      <c r="E1467" s="913">
        <v>25351.723393747401</v>
      </c>
      <c r="F1467" s="914">
        <v>94.057038296344899</v>
      </c>
      <c r="G1467" s="915">
        <v>0.25257773745397999</v>
      </c>
    </row>
    <row r="1468" spans="1:7" x14ac:dyDescent="0.3">
      <c r="A1468" s="11" t="s">
        <v>974</v>
      </c>
      <c r="B1468" s="11" t="s">
        <v>975</v>
      </c>
      <c r="C1468" s="916">
        <v>933</v>
      </c>
      <c r="D1468" s="916">
        <v>602955.01328606997</v>
      </c>
      <c r="E1468" s="917">
        <v>25754.3427731097</v>
      </c>
      <c r="F1468" s="918">
        <v>5.9429617036551203</v>
      </c>
      <c r="G1468" s="919">
        <v>0.25257773745397299</v>
      </c>
    </row>
    <row r="1469" spans="1:7" x14ac:dyDescent="0.3">
      <c r="A1469" s="6" t="s">
        <v>6269</v>
      </c>
      <c r="B1469" s="6" t="s">
        <v>6270</v>
      </c>
      <c r="C1469" s="912">
        <v>119</v>
      </c>
      <c r="D1469" s="912">
        <v>69160.879724148996</v>
      </c>
      <c r="E1469" s="913">
        <v>10041.3919623401</v>
      </c>
      <c r="F1469" s="914">
        <v>0.67706145482315705</v>
      </c>
      <c r="G1469" s="915">
        <v>9.8301806998236402E-2</v>
      </c>
    </row>
    <row r="1470" spans="1:7" x14ac:dyDescent="0.3">
      <c r="A1470" s="11" t="s">
        <v>6269</v>
      </c>
      <c r="B1470" s="11" t="s">
        <v>6271</v>
      </c>
      <c r="C1470" s="916">
        <v>18570</v>
      </c>
      <c r="D1470" s="916">
        <v>10214860</v>
      </c>
      <c r="E1470" s="917">
        <v>0</v>
      </c>
      <c r="F1470" s="918">
        <v>100</v>
      </c>
      <c r="G1470" s="919">
        <v>0</v>
      </c>
    </row>
    <row r="1471" spans="1:7" x14ac:dyDescent="0.3">
      <c r="A1471" s="3299" t="s">
        <v>75</v>
      </c>
      <c r="B1471" s="3298"/>
      <c r="C1471" s="3298"/>
      <c r="D1471" s="3298"/>
      <c r="E1471" s="3298"/>
      <c r="F1471" s="3298"/>
      <c r="G1471" s="3298"/>
    </row>
    <row r="1472" spans="1:7" x14ac:dyDescent="0.3">
      <c r="A1472" s="11" t="s">
        <v>981</v>
      </c>
      <c r="B1472" s="11" t="s">
        <v>1037</v>
      </c>
      <c r="C1472" s="924">
        <v>349</v>
      </c>
      <c r="D1472" s="924">
        <v>166214.226017315</v>
      </c>
      <c r="E1472" s="925">
        <v>15360.9107969095</v>
      </c>
      <c r="F1472" s="926">
        <v>100</v>
      </c>
      <c r="G1472" s="927">
        <v>0</v>
      </c>
    </row>
    <row r="1473" spans="1:7" x14ac:dyDescent="0.3">
      <c r="A1473" s="6" t="s">
        <v>960</v>
      </c>
      <c r="B1473" s="6" t="s">
        <v>961</v>
      </c>
      <c r="C1473" s="920">
        <v>17288</v>
      </c>
      <c r="D1473" s="920">
        <v>9445690.7606966309</v>
      </c>
      <c r="E1473" s="921">
        <v>25709.286458037801</v>
      </c>
      <c r="F1473" s="922">
        <v>93.999639087217105</v>
      </c>
      <c r="G1473" s="923">
        <v>0.25372651407969599</v>
      </c>
    </row>
    <row r="1474" spans="1:7" x14ac:dyDescent="0.3">
      <c r="A1474" s="11" t="s">
        <v>974</v>
      </c>
      <c r="B1474" s="11" t="s">
        <v>975</v>
      </c>
      <c r="C1474" s="924">
        <v>933</v>
      </c>
      <c r="D1474" s="924">
        <v>602955.01328606997</v>
      </c>
      <c r="E1474" s="925">
        <v>25754.3427731097</v>
      </c>
      <c r="F1474" s="926">
        <v>6.0003609127829103</v>
      </c>
      <c r="G1474" s="927">
        <v>0.25372651407969798</v>
      </c>
    </row>
    <row r="1475" spans="1:7" x14ac:dyDescent="0.3">
      <c r="A1475" s="6" t="s">
        <v>6269</v>
      </c>
      <c r="B1475" s="6" t="s">
        <v>6270</v>
      </c>
      <c r="C1475" s="920">
        <v>349</v>
      </c>
      <c r="D1475" s="920">
        <v>166214.226017315</v>
      </c>
      <c r="E1475" s="921">
        <v>15360.9107969095</v>
      </c>
      <c r="F1475" s="922">
        <v>1.6271806565857501</v>
      </c>
      <c r="G1475" s="923">
        <v>0.150378084446675</v>
      </c>
    </row>
    <row r="1476" spans="1:7" x14ac:dyDescent="0.3">
      <c r="A1476" s="11" t="s">
        <v>6269</v>
      </c>
      <c r="B1476" s="11" t="s">
        <v>6271</v>
      </c>
      <c r="C1476" s="924">
        <v>18570</v>
      </c>
      <c r="D1476" s="924">
        <v>10214860</v>
      </c>
      <c r="E1476" s="925">
        <v>0</v>
      </c>
      <c r="F1476" s="926">
        <v>100</v>
      </c>
      <c r="G1476" s="927">
        <v>0</v>
      </c>
    </row>
    <row r="1477" spans="1:7" x14ac:dyDescent="0.3">
      <c r="A1477" s="3299" t="s">
        <v>58</v>
      </c>
      <c r="B1477" s="3298"/>
      <c r="C1477" s="3298"/>
      <c r="D1477" s="3298"/>
      <c r="E1477" s="3298"/>
      <c r="F1477" s="3298"/>
      <c r="G1477" s="3298"/>
    </row>
    <row r="1478" spans="1:7" x14ac:dyDescent="0.3">
      <c r="A1478" s="11" t="s">
        <v>960</v>
      </c>
      <c r="B1478" s="11" t="s">
        <v>961</v>
      </c>
      <c r="C1478" s="932">
        <v>17636</v>
      </c>
      <c r="D1478" s="932">
        <v>9611477.5951413494</v>
      </c>
      <c r="E1478" s="933">
        <v>25666.4122686175</v>
      </c>
      <c r="F1478" s="934">
        <v>94.093091781398201</v>
      </c>
      <c r="G1478" s="935">
        <v>0.25126543357990899</v>
      </c>
    </row>
    <row r="1479" spans="1:7" x14ac:dyDescent="0.3">
      <c r="A1479" s="6" t="s">
        <v>974</v>
      </c>
      <c r="B1479" s="6" t="s">
        <v>975</v>
      </c>
      <c r="C1479" s="928">
        <v>933</v>
      </c>
      <c r="D1479" s="928">
        <v>602955.01328606997</v>
      </c>
      <c r="E1479" s="929">
        <v>25754.3427731097</v>
      </c>
      <c r="F1479" s="930">
        <v>5.9027242006847702</v>
      </c>
      <c r="G1479" s="931">
        <v>0.252126243268258</v>
      </c>
    </row>
    <row r="1480" spans="1:7" x14ac:dyDescent="0.3">
      <c r="A1480" s="11" t="s">
        <v>956</v>
      </c>
      <c r="B1480" s="11" t="s">
        <v>957</v>
      </c>
      <c r="C1480" s="932">
        <v>1</v>
      </c>
      <c r="D1480" s="932">
        <v>427.39157259512098</v>
      </c>
      <c r="E1480" s="933">
        <v>428.65514144646698</v>
      </c>
      <c r="F1480" s="934">
        <v>4.1840179169868198E-3</v>
      </c>
      <c r="G1480" s="935">
        <v>4.1963878256428997E-3</v>
      </c>
    </row>
    <row r="1481" spans="1:7" x14ac:dyDescent="0.3">
      <c r="A1481" s="6" t="s">
        <v>6269</v>
      </c>
      <c r="B1481" s="6" t="s">
        <v>6270</v>
      </c>
      <c r="C1481" s="928">
        <v>0</v>
      </c>
      <c r="D1481" s="928">
        <v>0</v>
      </c>
      <c r="E1481" s="929">
        <v>0</v>
      </c>
      <c r="F1481" s="930">
        <v>0</v>
      </c>
      <c r="G1481" s="931">
        <v>0</v>
      </c>
    </row>
    <row r="1482" spans="1:7" x14ac:dyDescent="0.3">
      <c r="A1482" s="11" t="s">
        <v>6269</v>
      </c>
      <c r="B1482" s="11" t="s">
        <v>6271</v>
      </c>
      <c r="C1482" s="932">
        <v>18570</v>
      </c>
      <c r="D1482" s="932">
        <v>10214860</v>
      </c>
      <c r="E1482" s="933">
        <v>0</v>
      </c>
      <c r="F1482" s="934">
        <v>100</v>
      </c>
      <c r="G1482" s="935">
        <v>0</v>
      </c>
    </row>
    <row r="1483" spans="1:7" x14ac:dyDescent="0.3">
      <c r="A1483" s="3299" t="s">
        <v>70</v>
      </c>
      <c r="B1483" s="3298"/>
      <c r="C1483" s="3298"/>
      <c r="D1483" s="3298"/>
      <c r="E1483" s="3298"/>
      <c r="F1483" s="3298"/>
      <c r="G1483" s="3298"/>
    </row>
    <row r="1484" spans="1:7" x14ac:dyDescent="0.3">
      <c r="A1484" s="11" t="s">
        <v>960</v>
      </c>
      <c r="B1484" s="11" t="s">
        <v>961</v>
      </c>
      <c r="C1484" s="940">
        <v>17637</v>
      </c>
      <c r="D1484" s="940">
        <v>9611904.9867139496</v>
      </c>
      <c r="E1484" s="941">
        <v>25754.342773152399</v>
      </c>
      <c r="F1484" s="942">
        <v>94.097275799315199</v>
      </c>
      <c r="G1484" s="943">
        <v>0.252126243268262</v>
      </c>
    </row>
    <row r="1485" spans="1:7" x14ac:dyDescent="0.3">
      <c r="A1485" s="6" t="s">
        <v>974</v>
      </c>
      <c r="B1485" s="6" t="s">
        <v>975</v>
      </c>
      <c r="C1485" s="936">
        <v>933</v>
      </c>
      <c r="D1485" s="936">
        <v>602955.01328606997</v>
      </c>
      <c r="E1485" s="937">
        <v>25754.3427731097</v>
      </c>
      <c r="F1485" s="938">
        <v>5.9027242006847702</v>
      </c>
      <c r="G1485" s="939">
        <v>0.25212624326826</v>
      </c>
    </row>
    <row r="1486" spans="1:7" x14ac:dyDescent="0.3">
      <c r="A1486" s="11" t="s">
        <v>6269</v>
      </c>
      <c r="B1486" s="11" t="s">
        <v>6270</v>
      </c>
      <c r="C1486" s="940">
        <v>0</v>
      </c>
      <c r="D1486" s="940">
        <v>0</v>
      </c>
      <c r="E1486" s="941">
        <v>0</v>
      </c>
      <c r="F1486" s="942">
        <v>0</v>
      </c>
      <c r="G1486" s="943">
        <v>0</v>
      </c>
    </row>
    <row r="1487" spans="1:7" x14ac:dyDescent="0.3">
      <c r="A1487" s="6" t="s">
        <v>6269</v>
      </c>
      <c r="B1487" s="6" t="s">
        <v>6271</v>
      </c>
      <c r="C1487" s="936">
        <v>18570</v>
      </c>
      <c r="D1487" s="936">
        <v>10214860</v>
      </c>
      <c r="E1487" s="937">
        <v>0</v>
      </c>
      <c r="F1487" s="938">
        <v>100</v>
      </c>
      <c r="G1487" s="939">
        <v>0</v>
      </c>
    </row>
    <row r="1488" spans="1:7" x14ac:dyDescent="0.3">
      <c r="A1488" s="3299" t="s">
        <v>834</v>
      </c>
      <c r="B1488" s="3298"/>
      <c r="C1488" s="3298"/>
      <c r="D1488" s="3298"/>
      <c r="E1488" s="3298"/>
      <c r="F1488" s="3298"/>
      <c r="G1488" s="3298"/>
    </row>
    <row r="1489" spans="1:7" x14ac:dyDescent="0.3">
      <c r="A1489" s="11" t="s">
        <v>962</v>
      </c>
      <c r="B1489" s="11" t="s">
        <v>1031</v>
      </c>
      <c r="C1489" s="948">
        <v>1935</v>
      </c>
      <c r="D1489" s="948">
        <v>1024159.07534793</v>
      </c>
      <c r="E1489" s="949">
        <v>39500.536947221699</v>
      </c>
      <c r="F1489" s="950">
        <v>100</v>
      </c>
      <c r="G1489" s="951">
        <v>0</v>
      </c>
    </row>
    <row r="1490" spans="1:7" x14ac:dyDescent="0.3">
      <c r="A1490" s="6" t="s">
        <v>960</v>
      </c>
      <c r="B1490" s="6" t="s">
        <v>961</v>
      </c>
      <c r="C1490" s="944">
        <v>16624</v>
      </c>
      <c r="D1490" s="944">
        <v>9181035.8547344394</v>
      </c>
      <c r="E1490" s="945">
        <v>40371.608756342401</v>
      </c>
      <c r="F1490" s="946">
        <v>99.894838598308397</v>
      </c>
      <c r="G1490" s="947">
        <v>4.57717659046658E-2</v>
      </c>
    </row>
    <row r="1491" spans="1:7" x14ac:dyDescent="0.3">
      <c r="A1491" s="11" t="s">
        <v>974</v>
      </c>
      <c r="B1491" s="11" t="s">
        <v>975</v>
      </c>
      <c r="C1491" s="948">
        <v>11</v>
      </c>
      <c r="D1491" s="948">
        <v>9665.0699176432408</v>
      </c>
      <c r="E1491" s="949">
        <v>4198.3743712582</v>
      </c>
      <c r="F1491" s="950">
        <v>0.10516140169155901</v>
      </c>
      <c r="G1491" s="951">
        <v>4.57717659046653E-2</v>
      </c>
    </row>
    <row r="1492" spans="1:7" x14ac:dyDescent="0.3">
      <c r="A1492" s="6" t="s">
        <v>6269</v>
      </c>
      <c r="B1492" s="6" t="s">
        <v>6270</v>
      </c>
      <c r="C1492" s="944">
        <v>1935</v>
      </c>
      <c r="D1492" s="944">
        <v>1024159.07534793</v>
      </c>
      <c r="E1492" s="945">
        <v>39500.536947221699</v>
      </c>
      <c r="F1492" s="946">
        <v>10.0261684971495</v>
      </c>
      <c r="G1492" s="947">
        <v>0.386696801984803</v>
      </c>
    </row>
    <row r="1493" spans="1:7" x14ac:dyDescent="0.3">
      <c r="A1493" s="11" t="s">
        <v>6269</v>
      </c>
      <c r="B1493" s="11" t="s">
        <v>6271</v>
      </c>
      <c r="C1493" s="948">
        <v>18570</v>
      </c>
      <c r="D1493" s="948">
        <v>10214860</v>
      </c>
      <c r="E1493" s="949">
        <v>0</v>
      </c>
      <c r="F1493" s="950">
        <v>100</v>
      </c>
      <c r="G1493" s="951">
        <v>0</v>
      </c>
    </row>
    <row r="1494" spans="1:7" x14ac:dyDescent="0.3">
      <c r="A1494" s="3299" t="s">
        <v>839</v>
      </c>
      <c r="B1494" s="3298"/>
      <c r="C1494" s="3298"/>
      <c r="D1494" s="3298"/>
      <c r="E1494" s="3298"/>
      <c r="F1494" s="3298"/>
      <c r="G1494" s="3298"/>
    </row>
    <row r="1495" spans="1:7" x14ac:dyDescent="0.3">
      <c r="A1495" s="11" t="s">
        <v>964</v>
      </c>
      <c r="B1495" s="11" t="s">
        <v>1032</v>
      </c>
      <c r="C1495" s="956">
        <v>1571</v>
      </c>
      <c r="D1495" s="956">
        <v>828223.45917495398</v>
      </c>
      <c r="E1495" s="957">
        <v>28425.235675575899</v>
      </c>
      <c r="F1495" s="958">
        <v>100</v>
      </c>
      <c r="G1495" s="959">
        <v>0</v>
      </c>
    </row>
    <row r="1496" spans="1:7" x14ac:dyDescent="0.3">
      <c r="A1496" s="6" t="s">
        <v>960</v>
      </c>
      <c r="B1496" s="6" t="s">
        <v>961</v>
      </c>
      <c r="C1496" s="952">
        <v>16988</v>
      </c>
      <c r="D1496" s="952">
        <v>9376971.4709074106</v>
      </c>
      <c r="E1496" s="953">
        <v>30163.476249359999</v>
      </c>
      <c r="F1496" s="954">
        <v>99.897033725812193</v>
      </c>
      <c r="G1496" s="955">
        <v>4.4777699377588701E-2</v>
      </c>
    </row>
    <row r="1497" spans="1:7" x14ac:dyDescent="0.3">
      <c r="A1497" s="11" t="s">
        <v>974</v>
      </c>
      <c r="B1497" s="11" t="s">
        <v>975</v>
      </c>
      <c r="C1497" s="956">
        <v>11</v>
      </c>
      <c r="D1497" s="956">
        <v>9665.0699176432408</v>
      </c>
      <c r="E1497" s="957">
        <v>4198.3743712582</v>
      </c>
      <c r="F1497" s="958">
        <v>0.10296627418785401</v>
      </c>
      <c r="G1497" s="959">
        <v>4.4777699377582303E-2</v>
      </c>
    </row>
    <row r="1498" spans="1:7" x14ac:dyDescent="0.3">
      <c r="A1498" s="6" t="s">
        <v>6269</v>
      </c>
      <c r="B1498" s="6" t="s">
        <v>6270</v>
      </c>
      <c r="C1498" s="952">
        <v>1571</v>
      </c>
      <c r="D1498" s="952">
        <v>828223.45917495398</v>
      </c>
      <c r="E1498" s="953">
        <v>28425.235675575899</v>
      </c>
      <c r="F1498" s="954">
        <v>8.1080255546816495</v>
      </c>
      <c r="G1498" s="955">
        <v>0.27827337502004301</v>
      </c>
    </row>
    <row r="1499" spans="1:7" x14ac:dyDescent="0.3">
      <c r="A1499" s="11" t="s">
        <v>6269</v>
      </c>
      <c r="B1499" s="11" t="s">
        <v>6271</v>
      </c>
      <c r="C1499" s="956">
        <v>18570</v>
      </c>
      <c r="D1499" s="956">
        <v>10214860</v>
      </c>
      <c r="E1499" s="957">
        <v>0</v>
      </c>
      <c r="F1499" s="958">
        <v>100</v>
      </c>
      <c r="G1499" s="959">
        <v>0</v>
      </c>
    </row>
    <row r="1500" spans="1:7" x14ac:dyDescent="0.3">
      <c r="A1500" s="3299" t="s">
        <v>841</v>
      </c>
      <c r="B1500" s="3298"/>
      <c r="C1500" s="3298"/>
      <c r="D1500" s="3298"/>
      <c r="E1500" s="3298"/>
      <c r="F1500" s="3298"/>
      <c r="G1500" s="3298"/>
    </row>
    <row r="1501" spans="1:7" x14ac:dyDescent="0.3">
      <c r="A1501" s="11" t="s">
        <v>966</v>
      </c>
      <c r="B1501" s="11" t="s">
        <v>1033</v>
      </c>
      <c r="C1501" s="964">
        <v>2455</v>
      </c>
      <c r="D1501" s="964">
        <v>1294867.2174212299</v>
      </c>
      <c r="E1501" s="965">
        <v>40073.619189497302</v>
      </c>
      <c r="F1501" s="966">
        <v>100</v>
      </c>
      <c r="G1501" s="967">
        <v>0</v>
      </c>
    </row>
    <row r="1502" spans="1:7" x14ac:dyDescent="0.3">
      <c r="A1502" s="6" t="s">
        <v>960</v>
      </c>
      <c r="B1502" s="6" t="s">
        <v>961</v>
      </c>
      <c r="C1502" s="960">
        <v>16104</v>
      </c>
      <c r="D1502" s="960">
        <v>8910327.7126611192</v>
      </c>
      <c r="E1502" s="961">
        <v>40883.657670123299</v>
      </c>
      <c r="F1502" s="962">
        <v>99.891647110561294</v>
      </c>
      <c r="G1502" s="963">
        <v>4.7088721143418902E-2</v>
      </c>
    </row>
    <row r="1503" spans="1:7" x14ac:dyDescent="0.3">
      <c r="A1503" s="11" t="s">
        <v>974</v>
      </c>
      <c r="B1503" s="11" t="s">
        <v>975</v>
      </c>
      <c r="C1503" s="964">
        <v>11</v>
      </c>
      <c r="D1503" s="964">
        <v>9665.0699176432408</v>
      </c>
      <c r="E1503" s="965">
        <v>4198.3743712582</v>
      </c>
      <c r="F1503" s="966">
        <v>0.108352889438651</v>
      </c>
      <c r="G1503" s="967">
        <v>4.7088721143417299E-2</v>
      </c>
    </row>
    <row r="1504" spans="1:7" x14ac:dyDescent="0.3">
      <c r="A1504" s="6" t="s">
        <v>6269</v>
      </c>
      <c r="B1504" s="6" t="s">
        <v>6270</v>
      </c>
      <c r="C1504" s="960">
        <v>2455</v>
      </c>
      <c r="D1504" s="960">
        <v>1294867.2174212299</v>
      </c>
      <c r="E1504" s="961">
        <v>40073.619189497302</v>
      </c>
      <c r="F1504" s="962">
        <v>12.676308999058501</v>
      </c>
      <c r="G1504" s="963">
        <v>0.39230708193257102</v>
      </c>
    </row>
    <row r="1505" spans="1:7" x14ac:dyDescent="0.3">
      <c r="A1505" s="11" t="s">
        <v>6269</v>
      </c>
      <c r="B1505" s="11" t="s">
        <v>6271</v>
      </c>
      <c r="C1505" s="964">
        <v>18570</v>
      </c>
      <c r="D1505" s="964">
        <v>10214860</v>
      </c>
      <c r="E1505" s="965">
        <v>0</v>
      </c>
      <c r="F1505" s="966">
        <v>100</v>
      </c>
      <c r="G1505" s="967">
        <v>0</v>
      </c>
    </row>
    <row r="1506" spans="1:7" x14ac:dyDescent="0.3">
      <c r="A1506" s="3299" t="s">
        <v>843</v>
      </c>
      <c r="B1506" s="3298"/>
      <c r="C1506" s="3298"/>
      <c r="D1506" s="3298"/>
      <c r="E1506" s="3298"/>
      <c r="F1506" s="3298"/>
      <c r="G1506" s="3298"/>
    </row>
    <row r="1507" spans="1:7" x14ac:dyDescent="0.3">
      <c r="A1507" s="11" t="s">
        <v>968</v>
      </c>
      <c r="B1507" s="11" t="s">
        <v>6118</v>
      </c>
      <c r="C1507" s="972">
        <v>1147</v>
      </c>
      <c r="D1507" s="972">
        <v>688843.91828828002</v>
      </c>
      <c r="E1507" s="973">
        <v>27010.567997618102</v>
      </c>
      <c r="F1507" s="974">
        <v>100</v>
      </c>
      <c r="G1507" s="975">
        <v>0</v>
      </c>
    </row>
    <row r="1508" spans="1:7" x14ac:dyDescent="0.3">
      <c r="A1508" s="6" t="s">
        <v>960</v>
      </c>
      <c r="B1508" s="6" t="s">
        <v>961</v>
      </c>
      <c r="C1508" s="968">
        <v>17412</v>
      </c>
      <c r="D1508" s="968">
        <v>9516351.0117940791</v>
      </c>
      <c r="E1508" s="969">
        <v>29204.518018819501</v>
      </c>
      <c r="F1508" s="970">
        <v>99.898540272924805</v>
      </c>
      <c r="G1508" s="971">
        <v>4.4185947397115601E-2</v>
      </c>
    </row>
    <row r="1509" spans="1:7" x14ac:dyDescent="0.3">
      <c r="A1509" s="11" t="s">
        <v>974</v>
      </c>
      <c r="B1509" s="11" t="s">
        <v>975</v>
      </c>
      <c r="C1509" s="972">
        <v>11</v>
      </c>
      <c r="D1509" s="972">
        <v>9665.0699176432408</v>
      </c>
      <c r="E1509" s="973">
        <v>4198.3743712582</v>
      </c>
      <c r="F1509" s="974">
        <v>0.10145972707518799</v>
      </c>
      <c r="G1509" s="975">
        <v>4.4185947397115399E-2</v>
      </c>
    </row>
    <row r="1510" spans="1:7" x14ac:dyDescent="0.3">
      <c r="A1510" s="6" t="s">
        <v>6269</v>
      </c>
      <c r="B1510" s="6" t="s">
        <v>6270</v>
      </c>
      <c r="C1510" s="968">
        <v>1147</v>
      </c>
      <c r="D1510" s="968">
        <v>688843.91828828002</v>
      </c>
      <c r="E1510" s="969">
        <v>27010.567997618102</v>
      </c>
      <c r="F1510" s="970">
        <v>6.74354732505663</v>
      </c>
      <c r="G1510" s="971">
        <v>0.26442426031898397</v>
      </c>
    </row>
    <row r="1511" spans="1:7" x14ac:dyDescent="0.3">
      <c r="A1511" s="11" t="s">
        <v>6269</v>
      </c>
      <c r="B1511" s="11" t="s">
        <v>6271</v>
      </c>
      <c r="C1511" s="972">
        <v>18570</v>
      </c>
      <c r="D1511" s="972">
        <v>10214860</v>
      </c>
      <c r="E1511" s="973">
        <v>0</v>
      </c>
      <c r="F1511" s="974">
        <v>100</v>
      </c>
      <c r="G1511" s="975">
        <v>0</v>
      </c>
    </row>
    <row r="1512" spans="1:7" x14ac:dyDescent="0.3">
      <c r="A1512" s="3299" t="s">
        <v>845</v>
      </c>
      <c r="B1512" s="3298"/>
      <c r="C1512" s="3298"/>
      <c r="D1512" s="3298"/>
      <c r="E1512" s="3298"/>
      <c r="F1512" s="3298"/>
      <c r="G1512" s="3298"/>
    </row>
    <row r="1513" spans="1:7" x14ac:dyDescent="0.3">
      <c r="A1513" s="11" t="s">
        <v>970</v>
      </c>
      <c r="B1513" s="11" t="s">
        <v>1035</v>
      </c>
      <c r="C1513" s="980">
        <v>1726</v>
      </c>
      <c r="D1513" s="980">
        <v>1002871.62067698</v>
      </c>
      <c r="E1513" s="981">
        <v>32971.103847341299</v>
      </c>
      <c r="F1513" s="982">
        <v>100</v>
      </c>
      <c r="G1513" s="983">
        <v>0</v>
      </c>
    </row>
    <row r="1514" spans="1:7" x14ac:dyDescent="0.3">
      <c r="A1514" s="6" t="s">
        <v>960</v>
      </c>
      <c r="B1514" s="6" t="s">
        <v>961</v>
      </c>
      <c r="C1514" s="976">
        <v>16833</v>
      </c>
      <c r="D1514" s="976">
        <v>9202323.3094053902</v>
      </c>
      <c r="E1514" s="977">
        <v>32604.540829679601</v>
      </c>
      <c r="F1514" s="978">
        <v>99.895081609749596</v>
      </c>
      <c r="G1514" s="979">
        <v>4.5543286732351203E-2</v>
      </c>
    </row>
    <row r="1515" spans="1:7" x14ac:dyDescent="0.3">
      <c r="A1515" s="11" t="s">
        <v>974</v>
      </c>
      <c r="B1515" s="11" t="s">
        <v>975</v>
      </c>
      <c r="C1515" s="980">
        <v>11</v>
      </c>
      <c r="D1515" s="980">
        <v>9665.0699176432408</v>
      </c>
      <c r="E1515" s="981">
        <v>4198.3743712582</v>
      </c>
      <c r="F1515" s="982">
        <v>0.104918390250439</v>
      </c>
      <c r="G1515" s="983">
        <v>4.5543286732354797E-2</v>
      </c>
    </row>
    <row r="1516" spans="1:7" x14ac:dyDescent="0.3">
      <c r="A1516" s="6" t="s">
        <v>6269</v>
      </c>
      <c r="B1516" s="6" t="s">
        <v>6270</v>
      </c>
      <c r="C1516" s="976">
        <v>1726</v>
      </c>
      <c r="D1516" s="976">
        <v>1002871.62067698</v>
      </c>
      <c r="E1516" s="977">
        <v>32971.103847341299</v>
      </c>
      <c r="F1516" s="978">
        <v>9.8177715668836996</v>
      </c>
      <c r="G1516" s="979">
        <v>0.32277587600167401</v>
      </c>
    </row>
    <row r="1517" spans="1:7" x14ac:dyDescent="0.3">
      <c r="A1517" s="11" t="s">
        <v>6269</v>
      </c>
      <c r="B1517" s="11" t="s">
        <v>6271</v>
      </c>
      <c r="C1517" s="980">
        <v>18570</v>
      </c>
      <c r="D1517" s="980">
        <v>10214860</v>
      </c>
      <c r="E1517" s="981">
        <v>0</v>
      </c>
      <c r="F1517" s="982">
        <v>100</v>
      </c>
      <c r="G1517" s="983">
        <v>0</v>
      </c>
    </row>
    <row r="1518" spans="1:7" x14ac:dyDescent="0.3">
      <c r="A1518" s="3299" t="s">
        <v>847</v>
      </c>
      <c r="B1518" s="3298"/>
      <c r="C1518" s="3298"/>
      <c r="D1518" s="3298"/>
      <c r="E1518" s="3298"/>
      <c r="F1518" s="3298"/>
      <c r="G1518" s="3298"/>
    </row>
    <row r="1519" spans="1:7" x14ac:dyDescent="0.3">
      <c r="A1519" s="11" t="s">
        <v>972</v>
      </c>
      <c r="B1519" s="11" t="s">
        <v>1036</v>
      </c>
      <c r="C1519" s="988">
        <v>2154</v>
      </c>
      <c r="D1519" s="988">
        <v>1217230.15046085</v>
      </c>
      <c r="E1519" s="989">
        <v>32685.960040509101</v>
      </c>
      <c r="F1519" s="990">
        <v>100</v>
      </c>
      <c r="G1519" s="991">
        <v>0</v>
      </c>
    </row>
    <row r="1520" spans="1:7" x14ac:dyDescent="0.3">
      <c r="A1520" s="6" t="s">
        <v>960</v>
      </c>
      <c r="B1520" s="6" t="s">
        <v>961</v>
      </c>
      <c r="C1520" s="984">
        <v>16405</v>
      </c>
      <c r="D1520" s="984">
        <v>8987964.7796214893</v>
      </c>
      <c r="E1520" s="985">
        <v>34351.470782664597</v>
      </c>
      <c r="F1520" s="986">
        <v>99.892582045724595</v>
      </c>
      <c r="G1520" s="987">
        <v>4.67539630629328E-2</v>
      </c>
    </row>
    <row r="1521" spans="1:7" x14ac:dyDescent="0.3">
      <c r="A1521" s="11" t="s">
        <v>974</v>
      </c>
      <c r="B1521" s="11" t="s">
        <v>975</v>
      </c>
      <c r="C1521" s="988">
        <v>11</v>
      </c>
      <c r="D1521" s="988">
        <v>9665.0699176432408</v>
      </c>
      <c r="E1521" s="989">
        <v>4198.3743712582</v>
      </c>
      <c r="F1521" s="990">
        <v>0.107417954275351</v>
      </c>
      <c r="G1521" s="991">
        <v>4.6753963062933099E-2</v>
      </c>
    </row>
    <row r="1522" spans="1:7" x14ac:dyDescent="0.3">
      <c r="A1522" s="6" t="s">
        <v>6269</v>
      </c>
      <c r="B1522" s="6" t="s">
        <v>6270</v>
      </c>
      <c r="C1522" s="984">
        <v>2154</v>
      </c>
      <c r="D1522" s="984">
        <v>1217230.15046085</v>
      </c>
      <c r="E1522" s="985">
        <v>32685.960040509101</v>
      </c>
      <c r="F1522" s="986">
        <v>11.9162685583635</v>
      </c>
      <c r="G1522" s="987">
        <v>0.31998441525883897</v>
      </c>
    </row>
    <row r="1523" spans="1:7" x14ac:dyDescent="0.3">
      <c r="A1523" s="11" t="s">
        <v>6269</v>
      </c>
      <c r="B1523" s="11" t="s">
        <v>6271</v>
      </c>
      <c r="C1523" s="988">
        <v>18570</v>
      </c>
      <c r="D1523" s="988">
        <v>10214860</v>
      </c>
      <c r="E1523" s="989">
        <v>0</v>
      </c>
      <c r="F1523" s="990">
        <v>100</v>
      </c>
      <c r="G1523" s="991">
        <v>0</v>
      </c>
    </row>
    <row r="1524" spans="1:7" x14ac:dyDescent="0.3">
      <c r="A1524" s="3299" t="s">
        <v>851</v>
      </c>
      <c r="B1524" s="3298"/>
      <c r="C1524" s="3298"/>
      <c r="D1524" s="3298"/>
      <c r="E1524" s="3298"/>
      <c r="F1524" s="3298"/>
      <c r="G1524" s="3298"/>
    </row>
    <row r="1525" spans="1:7" x14ac:dyDescent="0.3">
      <c r="A1525" s="11" t="s">
        <v>981</v>
      </c>
      <c r="B1525" s="11" t="s">
        <v>1037</v>
      </c>
      <c r="C1525" s="996">
        <v>4963</v>
      </c>
      <c r="D1525" s="996">
        <v>2249165.5509881298</v>
      </c>
      <c r="E1525" s="997">
        <v>49426.7734280761</v>
      </c>
      <c r="F1525" s="998">
        <v>100</v>
      </c>
      <c r="G1525" s="999">
        <v>0</v>
      </c>
    </row>
    <row r="1526" spans="1:7" x14ac:dyDescent="0.3">
      <c r="A1526" s="6" t="s">
        <v>960</v>
      </c>
      <c r="B1526" s="6" t="s">
        <v>961</v>
      </c>
      <c r="C1526" s="992">
        <v>13596</v>
      </c>
      <c r="D1526" s="992">
        <v>7956029.3790942403</v>
      </c>
      <c r="E1526" s="993">
        <v>48584.759562855797</v>
      </c>
      <c r="F1526" s="994">
        <v>99.878666323702106</v>
      </c>
      <c r="G1526" s="995">
        <v>5.25082857718819E-2</v>
      </c>
    </row>
    <row r="1527" spans="1:7" x14ac:dyDescent="0.3">
      <c r="A1527" s="11" t="s">
        <v>974</v>
      </c>
      <c r="B1527" s="11" t="s">
        <v>975</v>
      </c>
      <c r="C1527" s="996">
        <v>11</v>
      </c>
      <c r="D1527" s="996">
        <v>9665.0699176432408</v>
      </c>
      <c r="E1527" s="997">
        <v>4198.3743712582</v>
      </c>
      <c r="F1527" s="998">
        <v>0.121333676297892</v>
      </c>
      <c r="G1527" s="999">
        <v>5.2508285771881602E-2</v>
      </c>
    </row>
    <row r="1528" spans="1:7" x14ac:dyDescent="0.3">
      <c r="A1528" s="6" t="s">
        <v>6269</v>
      </c>
      <c r="B1528" s="6" t="s">
        <v>6270</v>
      </c>
      <c r="C1528" s="992">
        <v>4963</v>
      </c>
      <c r="D1528" s="992">
        <v>2249165.5509881298</v>
      </c>
      <c r="E1528" s="993">
        <v>49426.7734280761</v>
      </c>
      <c r="F1528" s="994">
        <v>22.018564630236</v>
      </c>
      <c r="G1528" s="995">
        <v>0.48387127604374403</v>
      </c>
    </row>
    <row r="1529" spans="1:7" x14ac:dyDescent="0.3">
      <c r="A1529" s="11" t="s">
        <v>6269</v>
      </c>
      <c r="B1529" s="11" t="s">
        <v>6271</v>
      </c>
      <c r="C1529" s="996">
        <v>18570</v>
      </c>
      <c r="D1529" s="996">
        <v>10214860</v>
      </c>
      <c r="E1529" s="997">
        <v>0</v>
      </c>
      <c r="F1529" s="998">
        <v>100</v>
      </c>
      <c r="G1529" s="999">
        <v>0</v>
      </c>
    </row>
    <row r="1530" spans="1:7" x14ac:dyDescent="0.3">
      <c r="A1530" s="3299" t="s">
        <v>837</v>
      </c>
      <c r="B1530" s="3298"/>
      <c r="C1530" s="3298"/>
      <c r="D1530" s="3298"/>
      <c r="E1530" s="3298"/>
      <c r="F1530" s="3298"/>
      <c r="G1530" s="3298"/>
    </row>
    <row r="1531" spans="1:7" x14ac:dyDescent="0.3">
      <c r="A1531" s="11" t="s">
        <v>960</v>
      </c>
      <c r="B1531" s="11" t="s">
        <v>961</v>
      </c>
      <c r="C1531" s="1004">
        <v>18553</v>
      </c>
      <c r="D1531" s="1004">
        <v>10201750.1918987</v>
      </c>
      <c r="E1531" s="1005">
        <v>4370.8734341628597</v>
      </c>
      <c r="F1531" s="1006">
        <v>99.871659444169794</v>
      </c>
      <c r="G1531" s="1007">
        <v>4.2789362107385598E-2</v>
      </c>
    </row>
    <row r="1532" spans="1:7" x14ac:dyDescent="0.3">
      <c r="A1532" s="6" t="s">
        <v>974</v>
      </c>
      <c r="B1532" s="6" t="s">
        <v>975</v>
      </c>
      <c r="C1532" s="1000">
        <v>11</v>
      </c>
      <c r="D1532" s="1000">
        <v>9665.0699176432408</v>
      </c>
      <c r="E1532" s="1001">
        <v>4198.3743712582</v>
      </c>
      <c r="F1532" s="1002">
        <v>9.4617742363999294E-2</v>
      </c>
      <c r="G1532" s="1003">
        <v>4.1100655038426297E-2</v>
      </c>
    </row>
    <row r="1533" spans="1:7" x14ac:dyDescent="0.3">
      <c r="A1533" s="11" t="s">
        <v>956</v>
      </c>
      <c r="B1533" s="11" t="s">
        <v>1025</v>
      </c>
      <c r="C1533" s="1004">
        <v>6</v>
      </c>
      <c r="D1533" s="1004">
        <v>3444.7381836350301</v>
      </c>
      <c r="E1533" s="1005">
        <v>1920.39687283176</v>
      </c>
      <c r="F1533" s="1006">
        <v>3.3722813466215099E-2</v>
      </c>
      <c r="G1533" s="1007">
        <v>1.8800031256735499E-2</v>
      </c>
    </row>
    <row r="1534" spans="1:7" x14ac:dyDescent="0.3">
      <c r="A1534" s="6" t="s">
        <v>6269</v>
      </c>
      <c r="B1534" s="6" t="s">
        <v>6270</v>
      </c>
      <c r="C1534" s="1000">
        <v>0</v>
      </c>
      <c r="D1534" s="1000">
        <v>0</v>
      </c>
      <c r="E1534" s="1001">
        <v>0</v>
      </c>
      <c r="F1534" s="1002">
        <v>0</v>
      </c>
      <c r="G1534" s="1003">
        <v>0</v>
      </c>
    </row>
    <row r="1535" spans="1:7" x14ac:dyDescent="0.3">
      <c r="A1535" s="11" t="s">
        <v>6269</v>
      </c>
      <c r="B1535" s="11" t="s">
        <v>6271</v>
      </c>
      <c r="C1535" s="1004">
        <v>18570</v>
      </c>
      <c r="D1535" s="1004">
        <v>10214860</v>
      </c>
      <c r="E1535" s="1005">
        <v>0</v>
      </c>
      <c r="F1535" s="1006">
        <v>100</v>
      </c>
      <c r="G1535" s="1007">
        <v>0</v>
      </c>
    </row>
    <row r="1536" spans="1:7" x14ac:dyDescent="0.3">
      <c r="A1536" s="3299" t="s">
        <v>849</v>
      </c>
      <c r="B1536" s="3298"/>
      <c r="C1536" s="3298"/>
      <c r="D1536" s="3298"/>
      <c r="E1536" s="3298"/>
      <c r="F1536" s="3298"/>
      <c r="G1536" s="3298"/>
    </row>
    <row r="1537" spans="1:7" x14ac:dyDescent="0.3">
      <c r="A1537" s="11" t="s">
        <v>960</v>
      </c>
      <c r="B1537" s="11" t="s">
        <v>961</v>
      </c>
      <c r="C1537" s="1012">
        <v>18552</v>
      </c>
      <c r="D1537" s="1012">
        <v>10202925.921809001</v>
      </c>
      <c r="E1537" s="1013">
        <v>4409.6585925653499</v>
      </c>
      <c r="F1537" s="1014">
        <v>99.8831694395124</v>
      </c>
      <c r="G1537" s="1015">
        <v>4.3169055597264201E-2</v>
      </c>
    </row>
    <row r="1538" spans="1:7" x14ac:dyDescent="0.3">
      <c r="A1538" s="6" t="s">
        <v>974</v>
      </c>
      <c r="B1538" s="6" t="s">
        <v>975</v>
      </c>
      <c r="C1538" s="1008">
        <v>11</v>
      </c>
      <c r="D1538" s="1008">
        <v>9665.0699176432408</v>
      </c>
      <c r="E1538" s="1009">
        <v>4198.3743712582</v>
      </c>
      <c r="F1538" s="1010">
        <v>9.4617742363999294E-2</v>
      </c>
      <c r="G1538" s="1011">
        <v>4.1100655038426297E-2</v>
      </c>
    </row>
    <row r="1539" spans="1:7" x14ac:dyDescent="0.3">
      <c r="A1539" s="11" t="s">
        <v>958</v>
      </c>
      <c r="B1539" s="11" t="s">
        <v>959</v>
      </c>
      <c r="C1539" s="1012">
        <v>7</v>
      </c>
      <c r="D1539" s="1012">
        <v>2269.00827337786</v>
      </c>
      <c r="E1539" s="1013">
        <v>1237.8344570888</v>
      </c>
      <c r="F1539" s="1014">
        <v>2.2212818123575399E-2</v>
      </c>
      <c r="G1539" s="1015">
        <v>1.21179777019831E-2</v>
      </c>
    </row>
    <row r="1540" spans="1:7" x14ac:dyDescent="0.3">
      <c r="A1540" s="6" t="s">
        <v>6269</v>
      </c>
      <c r="B1540" s="6" t="s">
        <v>6270</v>
      </c>
      <c r="C1540" s="1008">
        <v>0</v>
      </c>
      <c r="D1540" s="1008">
        <v>0</v>
      </c>
      <c r="E1540" s="1009">
        <v>0</v>
      </c>
      <c r="F1540" s="1010">
        <v>0</v>
      </c>
      <c r="G1540" s="1011">
        <v>0</v>
      </c>
    </row>
    <row r="1541" spans="1:7" x14ac:dyDescent="0.3">
      <c r="A1541" s="11" t="s">
        <v>6269</v>
      </c>
      <c r="B1541" s="11" t="s">
        <v>6271</v>
      </c>
      <c r="C1541" s="1012">
        <v>18570</v>
      </c>
      <c r="D1541" s="1012">
        <v>10214860</v>
      </c>
      <c r="E1541" s="1013">
        <v>0</v>
      </c>
      <c r="F1541" s="1014">
        <v>100</v>
      </c>
      <c r="G1541" s="1015">
        <v>0</v>
      </c>
    </row>
    <row r="1542" spans="1:7" x14ac:dyDescent="0.3">
      <c r="A1542" s="3299" t="s">
        <v>468</v>
      </c>
      <c r="B1542" s="3298"/>
      <c r="C1542" s="3298"/>
      <c r="D1542" s="3298"/>
      <c r="E1542" s="3298"/>
      <c r="F1542" s="3298"/>
      <c r="G1542" s="3298"/>
    </row>
    <row r="1543" spans="1:7" x14ac:dyDescent="0.3">
      <c r="A1543" s="11" t="s">
        <v>1152</v>
      </c>
      <c r="B1543" s="11"/>
      <c r="C1543" s="1020">
        <v>16040</v>
      </c>
      <c r="D1543" s="1020">
        <v>8296872.1790441498</v>
      </c>
      <c r="E1543" s="1021">
        <v>61111.533160557497</v>
      </c>
      <c r="F1543" s="1022">
        <v>86.794211329292807</v>
      </c>
      <c r="G1543" s="1023">
        <v>0.64114505632875896</v>
      </c>
    </row>
    <row r="1544" spans="1:7" x14ac:dyDescent="0.3">
      <c r="A1544" s="6" t="s">
        <v>6272</v>
      </c>
      <c r="B1544" s="6"/>
      <c r="C1544" s="1016">
        <v>293</v>
      </c>
      <c r="D1544" s="1016">
        <v>199902.14303042699</v>
      </c>
      <c r="E1544" s="1017">
        <v>19601.613211478001</v>
      </c>
      <c r="F1544" s="1018">
        <v>2.0911915325372998</v>
      </c>
      <c r="G1544" s="1019">
        <v>0.20516717869471901</v>
      </c>
    </row>
    <row r="1545" spans="1:7" x14ac:dyDescent="0.3">
      <c r="A1545" s="11" t="s">
        <v>1155</v>
      </c>
      <c r="B1545" s="11"/>
      <c r="C1545" s="1020">
        <v>214</v>
      </c>
      <c r="D1545" s="1020">
        <v>169941.838259685</v>
      </c>
      <c r="E1545" s="1021">
        <v>20401.441503406</v>
      </c>
      <c r="F1545" s="1022">
        <v>1.77777450409016</v>
      </c>
      <c r="G1545" s="1023">
        <v>0.21312715763235199</v>
      </c>
    </row>
    <row r="1546" spans="1:7" x14ac:dyDescent="0.3">
      <c r="A1546" s="6" t="s">
        <v>6274</v>
      </c>
      <c r="B1546" s="6"/>
      <c r="C1546" s="1016">
        <v>268</v>
      </c>
      <c r="D1546" s="1016">
        <v>166175.37097062299</v>
      </c>
      <c r="E1546" s="1017">
        <v>11038.783740573699</v>
      </c>
      <c r="F1546" s="1018">
        <v>1.7383732031182699</v>
      </c>
      <c r="G1546" s="1019">
        <v>0.115565487538284</v>
      </c>
    </row>
    <row r="1547" spans="1:7" x14ac:dyDescent="0.3">
      <c r="A1547" s="11" t="s">
        <v>6275</v>
      </c>
      <c r="B1547" s="11"/>
      <c r="C1547" s="1020">
        <v>159</v>
      </c>
      <c r="D1547" s="1020">
        <v>132701.275982997</v>
      </c>
      <c r="E1547" s="1021">
        <v>18688.922711307099</v>
      </c>
      <c r="F1547" s="1022">
        <v>1.3881981477822301</v>
      </c>
      <c r="G1547" s="1023">
        <v>0.195514021617055</v>
      </c>
    </row>
    <row r="1548" spans="1:7" x14ac:dyDescent="0.3">
      <c r="A1548" s="6" t="s">
        <v>6276</v>
      </c>
      <c r="B1548" s="6"/>
      <c r="C1548" s="1016">
        <v>116</v>
      </c>
      <c r="D1548" s="1016">
        <v>89688.969240426799</v>
      </c>
      <c r="E1548" s="1017">
        <v>8122.0313834464196</v>
      </c>
      <c r="F1548" s="1018">
        <v>0.93824313333664799</v>
      </c>
      <c r="G1548" s="1019">
        <v>8.4782460679266897E-2</v>
      </c>
    </row>
    <row r="1549" spans="1:7" x14ac:dyDescent="0.3">
      <c r="A1549" s="11" t="s">
        <v>6273</v>
      </c>
      <c r="B1549" s="11"/>
      <c r="C1549" s="1020">
        <v>125</v>
      </c>
      <c r="D1549" s="1020">
        <v>84599.868136909194</v>
      </c>
      <c r="E1549" s="1021">
        <v>13084.866932283599</v>
      </c>
      <c r="F1549" s="1022">
        <v>0.88500565936778497</v>
      </c>
      <c r="G1549" s="1023">
        <v>0.13703919379819099</v>
      </c>
    </row>
    <row r="1550" spans="1:7" x14ac:dyDescent="0.3">
      <c r="A1550" s="6" t="s">
        <v>1005</v>
      </c>
      <c r="B1550" s="6"/>
      <c r="C1550" s="1016">
        <v>65</v>
      </c>
      <c r="D1550" s="1016">
        <v>62018.254566718897</v>
      </c>
      <c r="E1550" s="1017">
        <v>11387.8617673722</v>
      </c>
      <c r="F1550" s="1018">
        <v>0.64877768115234602</v>
      </c>
      <c r="G1550" s="1019">
        <v>0.119126638022252</v>
      </c>
    </row>
    <row r="1551" spans="1:7" x14ac:dyDescent="0.3">
      <c r="A1551" s="11" t="s">
        <v>995</v>
      </c>
      <c r="B1551" s="11"/>
      <c r="C1551" s="1020">
        <v>55</v>
      </c>
      <c r="D1551" s="1020">
        <v>48050.655770838501</v>
      </c>
      <c r="E1551" s="1021">
        <v>13003.5762331757</v>
      </c>
      <c r="F1551" s="1022">
        <v>0.50266156709259102</v>
      </c>
      <c r="G1551" s="1023">
        <v>0.13610174681218901</v>
      </c>
    </row>
    <row r="1552" spans="1:7" x14ac:dyDescent="0.3">
      <c r="A1552" s="6" t="s">
        <v>6277</v>
      </c>
      <c r="B1552" s="6"/>
      <c r="C1552" s="1016">
        <v>35</v>
      </c>
      <c r="D1552" s="1016">
        <v>41598.810730967998</v>
      </c>
      <c r="E1552" s="1017">
        <v>6564.7743393626997</v>
      </c>
      <c r="F1552" s="1018">
        <v>0.43516832508884601</v>
      </c>
      <c r="G1552" s="1019">
        <v>6.8691831669227099E-2</v>
      </c>
    </row>
    <row r="1553" spans="1:7" x14ac:dyDescent="0.3">
      <c r="A1553" s="11" t="s">
        <v>1157</v>
      </c>
      <c r="B1553" s="11"/>
      <c r="C1553" s="1020">
        <v>34</v>
      </c>
      <c r="D1553" s="1020">
        <v>38730.893622137701</v>
      </c>
      <c r="E1553" s="1021">
        <v>13171.7801298257</v>
      </c>
      <c r="F1553" s="1022">
        <v>0.40516682593987602</v>
      </c>
      <c r="G1553" s="1023">
        <v>0.137779040197372</v>
      </c>
    </row>
    <row r="1554" spans="1:7" x14ac:dyDescent="0.3">
      <c r="A1554" s="6" t="s">
        <v>3032</v>
      </c>
      <c r="B1554" s="6"/>
      <c r="C1554" s="1016">
        <v>31</v>
      </c>
      <c r="D1554" s="1016">
        <v>23775.895716103401</v>
      </c>
      <c r="E1554" s="1017">
        <v>5166.4203155424102</v>
      </c>
      <c r="F1554" s="1018">
        <v>0.24872145463911999</v>
      </c>
      <c r="G1554" s="1019">
        <v>5.39921565088404E-2</v>
      </c>
    </row>
    <row r="1555" spans="1:7" x14ac:dyDescent="0.3">
      <c r="A1555" s="11" t="s">
        <v>6279</v>
      </c>
      <c r="B1555" s="11"/>
      <c r="C1555" s="1020">
        <v>28</v>
      </c>
      <c r="D1555" s="1020">
        <v>23411.5808910173</v>
      </c>
      <c r="E1555" s="1021">
        <v>5916.4852282003003</v>
      </c>
      <c r="F1555" s="1022">
        <v>0.24491032952635999</v>
      </c>
      <c r="G1555" s="1023">
        <v>6.1941935658188903E-2</v>
      </c>
    </row>
    <row r="1556" spans="1:7" x14ac:dyDescent="0.3">
      <c r="A1556" s="6" t="s">
        <v>999</v>
      </c>
      <c r="B1556" s="6"/>
      <c r="C1556" s="1016">
        <v>23</v>
      </c>
      <c r="D1556" s="1016">
        <v>23292.142860185999</v>
      </c>
      <c r="E1556" s="1017">
        <v>7969.6882226378202</v>
      </c>
      <c r="F1556" s="1018">
        <v>0.24366087919555801</v>
      </c>
      <c r="G1556" s="1019">
        <v>8.3336888873791495E-2</v>
      </c>
    </row>
    <row r="1557" spans="1:7" x14ac:dyDescent="0.3">
      <c r="A1557" s="11" t="s">
        <v>1049</v>
      </c>
      <c r="B1557" s="11"/>
      <c r="C1557" s="1020">
        <v>30</v>
      </c>
      <c r="D1557" s="1020">
        <v>19278.573423285201</v>
      </c>
      <c r="E1557" s="1021">
        <v>4570.8366981731297</v>
      </c>
      <c r="F1557" s="1022">
        <v>0.20167462384851101</v>
      </c>
      <c r="G1557" s="1023">
        <v>4.7814518763279898E-2</v>
      </c>
    </row>
    <row r="1558" spans="1:7" x14ac:dyDescent="0.3">
      <c r="A1558" s="6" t="s">
        <v>6278</v>
      </c>
      <c r="B1558" s="6"/>
      <c r="C1558" s="1016">
        <v>32</v>
      </c>
      <c r="D1558" s="1016">
        <v>16451.735529842699</v>
      </c>
      <c r="E1558" s="1017">
        <v>5093.3066797257197</v>
      </c>
      <c r="F1558" s="1018">
        <v>0.17210285749819801</v>
      </c>
      <c r="G1558" s="1019">
        <v>5.3252766478343899E-2</v>
      </c>
    </row>
    <row r="1559" spans="1:7" x14ac:dyDescent="0.3">
      <c r="A1559" s="11" t="s">
        <v>1011</v>
      </c>
      <c r="B1559" s="11"/>
      <c r="C1559" s="1020">
        <v>15</v>
      </c>
      <c r="D1559" s="1020">
        <v>10904.0031699553</v>
      </c>
      <c r="E1559" s="1021">
        <v>5240.9708636187897</v>
      </c>
      <c r="F1559" s="1022">
        <v>0.114067607050614</v>
      </c>
      <c r="G1559" s="1023">
        <v>5.4818441029444602E-2</v>
      </c>
    </row>
    <row r="1560" spans="1:7" x14ac:dyDescent="0.3">
      <c r="A1560" s="6" t="s">
        <v>1159</v>
      </c>
      <c r="B1560" s="6"/>
      <c r="C1560" s="1016">
        <v>12</v>
      </c>
      <c r="D1560" s="1016">
        <v>10739.1020545877</v>
      </c>
      <c r="E1560" s="1017">
        <v>7548.1358597832996</v>
      </c>
      <c r="F1560" s="1018">
        <v>0.112342563932341</v>
      </c>
      <c r="G1560" s="1019">
        <v>7.8955291289005997E-2</v>
      </c>
    </row>
    <row r="1561" spans="1:7" x14ac:dyDescent="0.3">
      <c r="A1561" s="11" t="s">
        <v>3034</v>
      </c>
      <c r="B1561" s="11"/>
      <c r="C1561" s="1020">
        <v>9</v>
      </c>
      <c r="D1561" s="1020">
        <v>10285.274921989199</v>
      </c>
      <c r="E1561" s="1021">
        <v>5144.7972992559698</v>
      </c>
      <c r="F1561" s="1022">
        <v>0.107595043758026</v>
      </c>
      <c r="G1561" s="1023">
        <v>5.3823832281450802E-2</v>
      </c>
    </row>
    <row r="1562" spans="1:7" x14ac:dyDescent="0.3">
      <c r="A1562" s="6" t="s">
        <v>1053</v>
      </c>
      <c r="B1562" s="6"/>
      <c r="C1562" s="1016">
        <v>9</v>
      </c>
      <c r="D1562" s="1016">
        <v>10250.572181833</v>
      </c>
      <c r="E1562" s="1017">
        <v>5586.2611310277398</v>
      </c>
      <c r="F1562" s="1018">
        <v>0.107232015752072</v>
      </c>
      <c r="G1562" s="1019">
        <v>5.8439010352557302E-2</v>
      </c>
    </row>
    <row r="1563" spans="1:7" x14ac:dyDescent="0.3">
      <c r="A1563" s="11" t="s">
        <v>1047</v>
      </c>
      <c r="B1563" s="11"/>
      <c r="C1563" s="1020">
        <v>13</v>
      </c>
      <c r="D1563" s="1020">
        <v>9706.4715949773199</v>
      </c>
      <c r="E1563" s="1021">
        <v>3785.7616404385699</v>
      </c>
      <c r="F1563" s="1022">
        <v>0.10154013810217501</v>
      </c>
      <c r="G1563" s="1023">
        <v>3.9599127832936003E-2</v>
      </c>
    </row>
    <row r="1564" spans="1:7" x14ac:dyDescent="0.3">
      <c r="A1564" s="6" t="s">
        <v>1009</v>
      </c>
      <c r="B1564" s="6"/>
      <c r="C1564" s="1016">
        <v>11</v>
      </c>
      <c r="D1564" s="1016">
        <v>8444.3491611082409</v>
      </c>
      <c r="E1564" s="1017">
        <v>2506.29546241764</v>
      </c>
      <c r="F1564" s="1018">
        <v>8.8336979262949394E-2</v>
      </c>
      <c r="G1564" s="1019">
        <v>2.62262239143633E-2</v>
      </c>
    </row>
    <row r="1565" spans="1:7" x14ac:dyDescent="0.3">
      <c r="A1565" s="11" t="s">
        <v>6280</v>
      </c>
      <c r="B1565" s="11"/>
      <c r="C1565" s="1020">
        <v>15</v>
      </c>
      <c r="D1565" s="1020">
        <v>7899.0716402789003</v>
      </c>
      <c r="E1565" s="1021">
        <v>6697.6891933240404</v>
      </c>
      <c r="F1565" s="1022">
        <v>8.2632789617180097E-2</v>
      </c>
      <c r="G1565" s="1023">
        <v>7.0064840455452096E-2</v>
      </c>
    </row>
    <row r="1566" spans="1:7" x14ac:dyDescent="0.3">
      <c r="A1566" s="6" t="s">
        <v>3038</v>
      </c>
      <c r="B1566" s="6"/>
      <c r="C1566" s="1016">
        <v>5</v>
      </c>
      <c r="D1566" s="1016">
        <v>7255.8975409840696</v>
      </c>
      <c r="E1566" s="1017">
        <v>3210.61788054108</v>
      </c>
      <c r="F1566" s="1018">
        <v>7.5904496413300299E-2</v>
      </c>
      <c r="G1566" s="1019">
        <v>3.3587278339374201E-2</v>
      </c>
    </row>
    <row r="1567" spans="1:7" x14ac:dyDescent="0.3">
      <c r="A1567" s="11" t="s">
        <v>1013</v>
      </c>
      <c r="B1567" s="11"/>
      <c r="C1567" s="1020">
        <v>11</v>
      </c>
      <c r="D1567" s="1020">
        <v>6705.6821879646004</v>
      </c>
      <c r="E1567" s="1021">
        <v>4107.1231428084402</v>
      </c>
      <c r="F1567" s="1022">
        <v>7.0148651729178002E-2</v>
      </c>
      <c r="G1567" s="1023">
        <v>4.2957813154972199E-2</v>
      </c>
    </row>
    <row r="1568" spans="1:7" x14ac:dyDescent="0.3">
      <c r="A1568" s="6" t="s">
        <v>1051</v>
      </c>
      <c r="B1568" s="6"/>
      <c r="C1568" s="1016">
        <v>8</v>
      </c>
      <c r="D1568" s="1016">
        <v>6617.2913505961797</v>
      </c>
      <c r="E1568" s="1017">
        <v>3209.7006371299799</v>
      </c>
      <c r="F1568" s="1018">
        <v>6.9223988452153495E-2</v>
      </c>
      <c r="G1568" s="1019">
        <v>3.3591213596448302E-2</v>
      </c>
    </row>
    <row r="1569" spans="1:7" x14ac:dyDescent="0.3">
      <c r="A1569" s="11" t="s">
        <v>1007</v>
      </c>
      <c r="B1569" s="11"/>
      <c r="C1569" s="1020">
        <v>11</v>
      </c>
      <c r="D1569" s="1020">
        <v>6496.2057910652702</v>
      </c>
      <c r="E1569" s="1021">
        <v>3540.7709632145802</v>
      </c>
      <c r="F1569" s="1022">
        <v>6.7957303198233898E-2</v>
      </c>
      <c r="G1569" s="1023">
        <v>3.7032981231104802E-2</v>
      </c>
    </row>
    <row r="1570" spans="1:7" x14ac:dyDescent="0.3">
      <c r="A1570" s="6" t="s">
        <v>997</v>
      </c>
      <c r="B1570" s="6"/>
      <c r="C1570" s="1016">
        <v>6</v>
      </c>
      <c r="D1570" s="1016">
        <v>6383.59850222153</v>
      </c>
      <c r="E1570" s="1017">
        <v>3554.9726230913602</v>
      </c>
      <c r="F1570" s="1018">
        <v>6.6779309779242998E-2</v>
      </c>
      <c r="G1570" s="1019">
        <v>3.71834816871153E-2</v>
      </c>
    </row>
    <row r="1571" spans="1:7" x14ac:dyDescent="0.3">
      <c r="A1571" s="11" t="s">
        <v>1003</v>
      </c>
      <c r="B1571" s="11"/>
      <c r="C1571" s="1020">
        <v>11</v>
      </c>
      <c r="D1571" s="1020">
        <v>5628.2814510322896</v>
      </c>
      <c r="E1571" s="1021">
        <v>1259.6175057057901</v>
      </c>
      <c r="F1571" s="1022">
        <v>5.8877880620539301E-2</v>
      </c>
      <c r="G1571" s="1023">
        <v>1.31691173765259E-2</v>
      </c>
    </row>
    <row r="1572" spans="1:7" x14ac:dyDescent="0.3">
      <c r="A1572" s="6" t="s">
        <v>1163</v>
      </c>
      <c r="B1572" s="6"/>
      <c r="C1572" s="1016">
        <v>4</v>
      </c>
      <c r="D1572" s="1016">
        <v>5580.1566109272899</v>
      </c>
      <c r="E1572" s="1017">
        <v>2865.7100777936698</v>
      </c>
      <c r="F1572" s="1018">
        <v>5.8374443005481003E-2</v>
      </c>
      <c r="G1572" s="1019">
        <v>2.9976937651052599E-2</v>
      </c>
    </row>
    <row r="1573" spans="1:7" x14ac:dyDescent="0.3">
      <c r="A1573" s="11" t="s">
        <v>1001</v>
      </c>
      <c r="B1573" s="11"/>
      <c r="C1573" s="1020">
        <v>3</v>
      </c>
      <c r="D1573" s="1020">
        <v>3707.2828386481401</v>
      </c>
      <c r="E1573" s="1021">
        <v>2754.9051656305301</v>
      </c>
      <c r="F1573" s="1022">
        <v>3.8782167931645399E-2</v>
      </c>
      <c r="G1573" s="1023">
        <v>2.88180139565649E-2</v>
      </c>
    </row>
    <row r="1574" spans="1:7" x14ac:dyDescent="0.3">
      <c r="A1574" s="6" t="s">
        <v>6474</v>
      </c>
      <c r="B1574" s="6"/>
      <c r="C1574" s="1016">
        <v>1</v>
      </c>
      <c r="D1574" s="1016">
        <v>2808.9283004285398</v>
      </c>
      <c r="E1574" s="1017">
        <v>2767.8475433508902</v>
      </c>
      <c r="F1574" s="1018">
        <v>2.9384412734717199E-2</v>
      </c>
      <c r="G1574" s="1019">
        <v>2.8956043559530801E-2</v>
      </c>
    </row>
    <row r="1575" spans="1:7" x14ac:dyDescent="0.3">
      <c r="A1575" s="11" t="s">
        <v>3036</v>
      </c>
      <c r="B1575" s="11"/>
      <c r="C1575" s="1020">
        <v>2</v>
      </c>
      <c r="D1575" s="1020">
        <v>1323.8258530532701</v>
      </c>
      <c r="E1575" s="1021">
        <v>1321.9029647214199</v>
      </c>
      <c r="F1575" s="1022">
        <v>1.3848643003479899E-2</v>
      </c>
      <c r="G1575" s="1023">
        <v>1.3828147883491499E-2</v>
      </c>
    </row>
    <row r="1576" spans="1:7" x14ac:dyDescent="0.3">
      <c r="A1576" s="6" t="s">
        <v>1169</v>
      </c>
      <c r="B1576" s="6"/>
      <c r="C1576" s="1016">
        <v>2</v>
      </c>
      <c r="D1576" s="1016">
        <v>1277.1548726061401</v>
      </c>
      <c r="E1576" s="1017">
        <v>1319.81445306514</v>
      </c>
      <c r="F1576" s="1018">
        <v>1.33604143249539E-2</v>
      </c>
      <c r="G1576" s="1019">
        <v>1.3806743536573501E-2</v>
      </c>
    </row>
    <row r="1577" spans="1:7" x14ac:dyDescent="0.3">
      <c r="A1577" s="11" t="s">
        <v>4754</v>
      </c>
      <c r="B1577" s="11"/>
      <c r="C1577" s="1020">
        <v>2</v>
      </c>
      <c r="D1577" s="1020">
        <v>329.289105715289</v>
      </c>
      <c r="E1577" s="1021">
        <v>327.68378416094401</v>
      </c>
      <c r="F1577" s="1022">
        <v>3.4447183966596E-3</v>
      </c>
      <c r="G1577" s="1023">
        <v>3.4280292990605601E-3</v>
      </c>
    </row>
    <row r="1578" spans="1:7" x14ac:dyDescent="0.3">
      <c r="A1578" s="6" t="s">
        <v>1061</v>
      </c>
      <c r="B1578" s="6"/>
      <c r="C1578" s="1016">
        <v>1</v>
      </c>
      <c r="D1578" s="1016">
        <v>208.576038447212</v>
      </c>
      <c r="E1578" s="1017">
        <v>211.36264316734099</v>
      </c>
      <c r="F1578" s="1018">
        <v>2.1819298126513498E-3</v>
      </c>
      <c r="G1578" s="1019">
        <v>2.21103535330855E-3</v>
      </c>
    </row>
    <row r="1579" spans="1:7" x14ac:dyDescent="0.3">
      <c r="A1579" s="11" t="s">
        <v>3085</v>
      </c>
      <c r="B1579" s="11"/>
      <c r="C1579" s="1020">
        <v>1</v>
      </c>
      <c r="D1579" s="1020">
        <v>204.80202930327101</v>
      </c>
      <c r="E1579" s="1021">
        <v>206.20550509731299</v>
      </c>
      <c r="F1579" s="1022">
        <v>2.14244961576158E-3</v>
      </c>
      <c r="G1579" s="1023">
        <v>2.1570152101831799E-3</v>
      </c>
    </row>
    <row r="1580" spans="1:7" x14ac:dyDescent="0.3">
      <c r="A1580" s="6" t="s">
        <v>960</v>
      </c>
      <c r="B1580" s="6"/>
      <c r="C1580" s="1016">
        <v>851</v>
      </c>
      <c r="D1580" s="1016">
        <v>649360.005185658</v>
      </c>
      <c r="E1580" s="1017">
        <v>7.74581865908651E-3</v>
      </c>
      <c r="F1580" s="1018">
        <v>99.046086586355599</v>
      </c>
      <c r="G1580" s="1019">
        <v>0.42908666285518099</v>
      </c>
    </row>
    <row r="1581" spans="1:7" x14ac:dyDescent="0.3">
      <c r="A1581" s="11" t="s">
        <v>956</v>
      </c>
      <c r="B1581" s="11" t="s">
        <v>1025</v>
      </c>
      <c r="C1581" s="1020">
        <v>9</v>
      </c>
      <c r="D1581" s="1020">
        <v>3456.5233946410899</v>
      </c>
      <c r="E1581" s="1021">
        <v>2076.8496112653002</v>
      </c>
      <c r="F1581" s="1022">
        <v>0.52721928159943099</v>
      </c>
      <c r="G1581" s="1023">
        <v>0.31525895905892698</v>
      </c>
    </row>
    <row r="1582" spans="1:7" x14ac:dyDescent="0.3">
      <c r="A1582" s="6" t="s">
        <v>958</v>
      </c>
      <c r="B1582" s="6" t="s">
        <v>1019</v>
      </c>
      <c r="C1582" s="1016">
        <v>8</v>
      </c>
      <c r="D1582" s="1016">
        <v>2797.4664456413898</v>
      </c>
      <c r="E1582" s="1017">
        <v>1495.9591234009799</v>
      </c>
      <c r="F1582" s="1018">
        <v>0.42669413204498502</v>
      </c>
      <c r="G1582" s="1019">
        <v>0.22726450757552699</v>
      </c>
    </row>
    <row r="1583" spans="1:7" x14ac:dyDescent="0.3">
      <c r="A1583" s="11" t="s">
        <v>6269</v>
      </c>
      <c r="B1583" s="11" t="s">
        <v>6270</v>
      </c>
      <c r="C1583" s="1020">
        <v>17700</v>
      </c>
      <c r="D1583" s="1020">
        <v>9559246.0049740393</v>
      </c>
      <c r="E1583" s="1021">
        <v>2835.32312179673</v>
      </c>
      <c r="F1583" s="1022">
        <v>93.581762304858401</v>
      </c>
      <c r="G1583" s="1023">
        <v>2.7756847590849801E-2</v>
      </c>
    </row>
    <row r="1584" spans="1:7" x14ac:dyDescent="0.3">
      <c r="A1584" s="6" t="s">
        <v>6269</v>
      </c>
      <c r="B1584" s="6" t="s">
        <v>6271</v>
      </c>
      <c r="C1584" s="1016">
        <v>18568</v>
      </c>
      <c r="D1584" s="1016">
        <v>10214860</v>
      </c>
      <c r="E1584" s="1017">
        <v>0</v>
      </c>
      <c r="F1584" s="1018">
        <v>100</v>
      </c>
      <c r="G1584" s="1019">
        <v>0</v>
      </c>
    </row>
    <row r="1585" spans="1:7" x14ac:dyDescent="0.3">
      <c r="A1585" s="3299" t="s">
        <v>343</v>
      </c>
      <c r="B1585" s="3298"/>
      <c r="C1585" s="3298"/>
      <c r="D1585" s="3298"/>
      <c r="E1585" s="3298"/>
      <c r="F1585" s="3298"/>
      <c r="G1585" s="3298"/>
    </row>
    <row r="1586" spans="1:7" x14ac:dyDescent="0.3">
      <c r="A1586" s="11" t="s">
        <v>1152</v>
      </c>
      <c r="B1586" s="11"/>
      <c r="C1586" s="1028">
        <v>94</v>
      </c>
      <c r="D1586" s="1028">
        <v>41243.183554208401</v>
      </c>
      <c r="E1586" s="1029">
        <v>5919.6878419751201</v>
      </c>
      <c r="F1586" s="1030">
        <v>32.681319246034299</v>
      </c>
      <c r="G1586" s="1031">
        <v>3.46304906191373</v>
      </c>
    </row>
    <row r="1587" spans="1:7" x14ac:dyDescent="0.3">
      <c r="A1587" s="6" t="s">
        <v>6274</v>
      </c>
      <c r="B1587" s="6"/>
      <c r="C1587" s="1024">
        <v>34</v>
      </c>
      <c r="D1587" s="1024">
        <v>13639.8518316421</v>
      </c>
      <c r="E1587" s="1025">
        <v>2892.49500431058</v>
      </c>
      <c r="F1587" s="1026">
        <v>10.8082915469559</v>
      </c>
      <c r="G1587" s="1027">
        <v>1.84882418220307</v>
      </c>
    </row>
    <row r="1588" spans="1:7" x14ac:dyDescent="0.3">
      <c r="A1588" s="11" t="s">
        <v>6272</v>
      </c>
      <c r="B1588" s="11"/>
      <c r="C1588" s="1028">
        <v>27</v>
      </c>
      <c r="D1588" s="1028">
        <v>12367.3623381078</v>
      </c>
      <c r="E1588" s="1029">
        <v>2581.0952715847702</v>
      </c>
      <c r="F1588" s="1030">
        <v>9.7999640661066802</v>
      </c>
      <c r="G1588" s="1031">
        <v>2.1090004674620699</v>
      </c>
    </row>
    <row r="1589" spans="1:7" x14ac:dyDescent="0.3">
      <c r="A1589" s="6" t="s">
        <v>6275</v>
      </c>
      <c r="B1589" s="6"/>
      <c r="C1589" s="1024">
        <v>21</v>
      </c>
      <c r="D1589" s="1024">
        <v>9293.1060600968194</v>
      </c>
      <c r="E1589" s="1025">
        <v>3576.2168883982099</v>
      </c>
      <c r="F1589" s="1026">
        <v>7.36390694811654</v>
      </c>
      <c r="G1589" s="1027">
        <v>2.9984960186561</v>
      </c>
    </row>
    <row r="1590" spans="1:7" x14ac:dyDescent="0.3">
      <c r="A1590" s="11" t="s">
        <v>6273</v>
      </c>
      <c r="B1590" s="11"/>
      <c r="C1590" s="1028">
        <v>13</v>
      </c>
      <c r="D1590" s="1028">
        <v>9214.2797884412903</v>
      </c>
      <c r="E1590" s="1029">
        <v>3711.2230386364799</v>
      </c>
      <c r="F1590" s="1030">
        <v>7.3014445888381099</v>
      </c>
      <c r="G1590" s="1031">
        <v>2.8251387872737999</v>
      </c>
    </row>
    <row r="1591" spans="1:7" x14ac:dyDescent="0.3">
      <c r="A1591" s="6" t="s">
        <v>6276</v>
      </c>
      <c r="B1591" s="6"/>
      <c r="C1591" s="1024">
        <v>20</v>
      </c>
      <c r="D1591" s="1024">
        <v>7857.4986643714401</v>
      </c>
      <c r="E1591" s="1025">
        <v>2502.9246452768598</v>
      </c>
      <c r="F1591" s="1026">
        <v>6.2263239691012897</v>
      </c>
      <c r="G1591" s="1027">
        <v>2.1684739605872401</v>
      </c>
    </row>
    <row r="1592" spans="1:7" x14ac:dyDescent="0.3">
      <c r="A1592" s="11" t="s">
        <v>995</v>
      </c>
      <c r="B1592" s="11"/>
      <c r="C1592" s="1028">
        <v>20</v>
      </c>
      <c r="D1592" s="1028">
        <v>6078.4482452635903</v>
      </c>
      <c r="E1592" s="1029">
        <v>2004.02734562301</v>
      </c>
      <c r="F1592" s="1030">
        <v>4.8165949013818699</v>
      </c>
      <c r="G1592" s="1031">
        <v>1.41895344817736</v>
      </c>
    </row>
    <row r="1593" spans="1:7" x14ac:dyDescent="0.3">
      <c r="A1593" s="6" t="s">
        <v>1005</v>
      </c>
      <c r="B1593" s="6"/>
      <c r="C1593" s="1024">
        <v>8</v>
      </c>
      <c r="D1593" s="1024">
        <v>5896.63963721046</v>
      </c>
      <c r="E1593" s="1025">
        <v>3298.8085332775599</v>
      </c>
      <c r="F1593" s="1026">
        <v>4.6725287879197097</v>
      </c>
      <c r="G1593" s="1027">
        <v>2.61765180920478</v>
      </c>
    </row>
    <row r="1594" spans="1:7" x14ac:dyDescent="0.3">
      <c r="A1594" s="11" t="s">
        <v>6279</v>
      </c>
      <c r="B1594" s="11"/>
      <c r="C1594" s="1028">
        <v>8</v>
      </c>
      <c r="D1594" s="1028">
        <v>3878.0999952032798</v>
      </c>
      <c r="E1594" s="1029">
        <v>1153.4537572557499</v>
      </c>
      <c r="F1594" s="1030">
        <v>3.07302717901733</v>
      </c>
      <c r="G1594" s="1031">
        <v>0.91231707717114396</v>
      </c>
    </row>
    <row r="1595" spans="1:7" x14ac:dyDescent="0.3">
      <c r="A1595" s="6" t="s">
        <v>1157</v>
      </c>
      <c r="B1595" s="6"/>
      <c r="C1595" s="1024">
        <v>4</v>
      </c>
      <c r="D1595" s="1024">
        <v>3642.0140469456001</v>
      </c>
      <c r="E1595" s="1025">
        <v>2304.3674661728301</v>
      </c>
      <c r="F1595" s="1026">
        <v>2.8859514108635098</v>
      </c>
      <c r="G1595" s="1027">
        <v>1.73359597941442</v>
      </c>
    </row>
    <row r="1596" spans="1:7" x14ac:dyDescent="0.3">
      <c r="A1596" s="11" t="s">
        <v>1155</v>
      </c>
      <c r="B1596" s="11"/>
      <c r="C1596" s="1028">
        <v>7</v>
      </c>
      <c r="D1596" s="1028">
        <v>3376.1970051631201</v>
      </c>
      <c r="E1596" s="1029">
        <v>1753.0439588704801</v>
      </c>
      <c r="F1596" s="1030">
        <v>2.6753165651777699</v>
      </c>
      <c r="G1596" s="1031">
        <v>1.2972386155537301</v>
      </c>
    </row>
    <row r="1597" spans="1:7" x14ac:dyDescent="0.3">
      <c r="A1597" s="6" t="s">
        <v>1051</v>
      </c>
      <c r="B1597" s="6"/>
      <c r="C1597" s="1024">
        <v>1</v>
      </c>
      <c r="D1597" s="1024">
        <v>2915.3561463757301</v>
      </c>
      <c r="E1597" s="1025">
        <v>2913.3023075168198</v>
      </c>
      <c r="F1597" s="1026">
        <v>2.3101438037721902</v>
      </c>
      <c r="G1597" s="1027">
        <v>2.3309263364247599</v>
      </c>
    </row>
    <row r="1598" spans="1:7" x14ac:dyDescent="0.3">
      <c r="A1598" s="11" t="s">
        <v>6278</v>
      </c>
      <c r="B1598" s="11"/>
      <c r="C1598" s="1028">
        <v>9</v>
      </c>
      <c r="D1598" s="1028">
        <v>2489.1643253424099</v>
      </c>
      <c r="E1598" s="1029">
        <v>1179.2167083116301</v>
      </c>
      <c r="F1598" s="1030">
        <v>1.9724271252104699</v>
      </c>
      <c r="G1598" s="1031">
        <v>0.92756660858553897</v>
      </c>
    </row>
    <row r="1599" spans="1:7" x14ac:dyDescent="0.3">
      <c r="A1599" s="6" t="s">
        <v>6277</v>
      </c>
      <c r="B1599" s="6"/>
      <c r="C1599" s="1024">
        <v>3</v>
      </c>
      <c r="D1599" s="1024">
        <v>1776.77382664934</v>
      </c>
      <c r="E1599" s="1025">
        <v>1714.7309931877801</v>
      </c>
      <c r="F1599" s="1026">
        <v>1.40792508367847</v>
      </c>
      <c r="G1599" s="1027">
        <v>1.3695564112638701</v>
      </c>
    </row>
    <row r="1600" spans="1:7" x14ac:dyDescent="0.3">
      <c r="A1600" s="11" t="s">
        <v>3032</v>
      </c>
      <c r="B1600" s="11"/>
      <c r="C1600" s="1028">
        <v>4</v>
      </c>
      <c r="D1600" s="1028">
        <v>1151.2177069621</v>
      </c>
      <c r="E1600" s="1029">
        <v>793.58972044320603</v>
      </c>
      <c r="F1600" s="1030">
        <v>0.91223106852227598</v>
      </c>
      <c r="G1600" s="1031">
        <v>0.65855877967136101</v>
      </c>
    </row>
    <row r="1601" spans="1:7" x14ac:dyDescent="0.3">
      <c r="A1601" s="6" t="s">
        <v>6280</v>
      </c>
      <c r="B1601" s="6"/>
      <c r="C1601" s="1024">
        <v>2</v>
      </c>
      <c r="D1601" s="1024">
        <v>427.95582525394599</v>
      </c>
      <c r="E1601" s="1025">
        <v>362.85888563043397</v>
      </c>
      <c r="F1601" s="1026">
        <v>0.33911448494128599</v>
      </c>
      <c r="G1601" s="1027">
        <v>0.28838835142045699</v>
      </c>
    </row>
    <row r="1602" spans="1:7" x14ac:dyDescent="0.3">
      <c r="A1602" s="11" t="s">
        <v>999</v>
      </c>
      <c r="B1602" s="11"/>
      <c r="C1602" s="1028">
        <v>3</v>
      </c>
      <c r="D1602" s="1028">
        <v>332.375330840846</v>
      </c>
      <c r="E1602" s="1029">
        <v>237.000634978741</v>
      </c>
      <c r="F1602" s="1030">
        <v>0.26337598993634398</v>
      </c>
      <c r="G1602" s="1031">
        <v>0.195396037679474</v>
      </c>
    </row>
    <row r="1603" spans="1:7" x14ac:dyDescent="0.3">
      <c r="A1603" s="6" t="s">
        <v>3208</v>
      </c>
      <c r="B1603" s="6"/>
      <c r="C1603" s="1024">
        <v>1</v>
      </c>
      <c r="D1603" s="1024">
        <v>264.30049586204899</v>
      </c>
      <c r="E1603" s="1025">
        <v>266.92932130209999</v>
      </c>
      <c r="F1603" s="1026">
        <v>0.20943312658683999</v>
      </c>
      <c r="G1603" s="1027">
        <v>0.210861297876939</v>
      </c>
    </row>
    <row r="1604" spans="1:7" x14ac:dyDescent="0.3">
      <c r="A1604" s="11" t="s">
        <v>1049</v>
      </c>
      <c r="B1604" s="11"/>
      <c r="C1604" s="1028">
        <v>1</v>
      </c>
      <c r="D1604" s="1028">
        <v>174.46139558936301</v>
      </c>
      <c r="E1604" s="1029">
        <v>176.28652453928601</v>
      </c>
      <c r="F1604" s="1030">
        <v>0.138244143007794</v>
      </c>
      <c r="G1604" s="1031">
        <v>0.13988182130092999</v>
      </c>
    </row>
    <row r="1605" spans="1:7" x14ac:dyDescent="0.3">
      <c r="A1605" s="6" t="s">
        <v>1053</v>
      </c>
      <c r="B1605" s="6"/>
      <c r="C1605" s="1024">
        <v>1</v>
      </c>
      <c r="D1605" s="1024">
        <v>111.450913242749</v>
      </c>
      <c r="E1605" s="1025">
        <v>111.837016278909</v>
      </c>
      <c r="F1605" s="1026">
        <v>8.8314299771766705E-2</v>
      </c>
      <c r="G1605" s="1027">
        <v>8.8820742999963606E-2</v>
      </c>
    </row>
    <row r="1606" spans="1:7" x14ac:dyDescent="0.3">
      <c r="A1606" s="11" t="s">
        <v>1007</v>
      </c>
      <c r="B1606" s="11"/>
      <c r="C1606" s="1028">
        <v>1</v>
      </c>
      <c r="D1606" s="1028">
        <v>68.300479228013998</v>
      </c>
      <c r="E1606" s="1029">
        <v>69.687262637626503</v>
      </c>
      <c r="F1606" s="1030">
        <v>5.41216650594884E-2</v>
      </c>
      <c r="G1606" s="1031">
        <v>5.5748042378911601E-2</v>
      </c>
    </row>
    <row r="1607" spans="1:7" x14ac:dyDescent="0.3">
      <c r="A1607" s="6" t="s">
        <v>960</v>
      </c>
      <c r="B1607" s="6" t="s">
        <v>961</v>
      </c>
      <c r="C1607" s="1024">
        <v>18208</v>
      </c>
      <c r="D1607" s="1024">
        <v>10065508.261805501</v>
      </c>
      <c r="E1607" s="1025">
        <v>9949.8579113074793</v>
      </c>
      <c r="F1607" s="1026">
        <v>99.770497805667006</v>
      </c>
      <c r="G1607" s="1027">
        <v>2.57215208368986E-2</v>
      </c>
    </row>
    <row r="1608" spans="1:7" x14ac:dyDescent="0.3">
      <c r="A1608" s="11" t="s">
        <v>974</v>
      </c>
      <c r="B1608" s="11" t="s">
        <v>975</v>
      </c>
      <c r="C1608" s="1028">
        <v>79</v>
      </c>
      <c r="D1608" s="1028">
        <v>23153.700582514801</v>
      </c>
      <c r="E1608" s="1029">
        <v>2595.7567516345698</v>
      </c>
      <c r="F1608" s="1030">
        <v>0.22950219433295699</v>
      </c>
      <c r="G1608" s="1031">
        <v>2.5721520836898801E-2</v>
      </c>
    </row>
    <row r="1609" spans="1:7" x14ac:dyDescent="0.3">
      <c r="A1609" s="6" t="s">
        <v>6269</v>
      </c>
      <c r="B1609" s="6" t="s">
        <v>6270</v>
      </c>
      <c r="C1609" s="1024">
        <v>282</v>
      </c>
      <c r="D1609" s="1024">
        <v>126198.037612</v>
      </c>
      <c r="E1609" s="1025">
        <v>9776.4803926948298</v>
      </c>
      <c r="F1609" s="1026">
        <v>1.23543580246817</v>
      </c>
      <c r="G1609" s="1027">
        <v>9.5708412965963593E-2</v>
      </c>
    </row>
    <row r="1610" spans="1:7" x14ac:dyDescent="0.3">
      <c r="A1610" s="11" t="s">
        <v>6269</v>
      </c>
      <c r="B1610" s="11" t="s">
        <v>6271</v>
      </c>
      <c r="C1610" s="1028">
        <v>18569</v>
      </c>
      <c r="D1610" s="1028">
        <v>10214860</v>
      </c>
      <c r="E1610" s="1029">
        <v>0</v>
      </c>
      <c r="F1610" s="1030">
        <v>100</v>
      </c>
      <c r="G1610" s="1031">
        <v>0</v>
      </c>
    </row>
    <row r="1611" spans="1:7" x14ac:dyDescent="0.3">
      <c r="A1611" s="3299" t="s">
        <v>91</v>
      </c>
      <c r="B1611" s="3298"/>
      <c r="C1611" s="3298"/>
      <c r="D1611" s="3298"/>
      <c r="E1611" s="3298"/>
      <c r="F1611" s="3298"/>
      <c r="G1611" s="3298"/>
    </row>
    <row r="1612" spans="1:7" x14ac:dyDescent="0.3">
      <c r="A1612" s="11" t="s">
        <v>1152</v>
      </c>
      <c r="B1612" s="11"/>
      <c r="C1612" s="1036">
        <v>15526</v>
      </c>
      <c r="D1612" s="1036">
        <v>7928641.9694778202</v>
      </c>
      <c r="E1612" s="1037">
        <v>28505.914134544299</v>
      </c>
      <c r="F1612" s="1038">
        <v>99.006222348771104</v>
      </c>
      <c r="G1612" s="1039">
        <v>0.20684601077890599</v>
      </c>
    </row>
    <row r="1613" spans="1:7" x14ac:dyDescent="0.3">
      <c r="A1613" s="6" t="s">
        <v>6272</v>
      </c>
      <c r="B1613" s="6"/>
      <c r="C1613" s="1032">
        <v>51</v>
      </c>
      <c r="D1613" s="1032">
        <v>31094.276029225901</v>
      </c>
      <c r="E1613" s="1033">
        <v>9251.9742363575606</v>
      </c>
      <c r="F1613" s="1034">
        <v>0.388279205717036</v>
      </c>
      <c r="G1613" s="1035">
        <v>0.11563166583612899</v>
      </c>
    </row>
    <row r="1614" spans="1:7" x14ac:dyDescent="0.3">
      <c r="A1614" s="11" t="s">
        <v>6274</v>
      </c>
      <c r="B1614" s="11"/>
      <c r="C1614" s="1036">
        <v>17</v>
      </c>
      <c r="D1614" s="1036">
        <v>11726.2105733137</v>
      </c>
      <c r="E1614" s="1037">
        <v>4274.5289771384696</v>
      </c>
      <c r="F1614" s="1038">
        <v>0.14642706983103501</v>
      </c>
      <c r="G1614" s="1039">
        <v>5.3398327112853097E-2</v>
      </c>
    </row>
    <row r="1615" spans="1:7" x14ac:dyDescent="0.3">
      <c r="A1615" s="6" t="s">
        <v>6273</v>
      </c>
      <c r="B1615" s="6"/>
      <c r="C1615" s="1032">
        <v>9</v>
      </c>
      <c r="D1615" s="1032">
        <v>8771.8436833878895</v>
      </c>
      <c r="E1615" s="1033">
        <v>3865.3690483277401</v>
      </c>
      <c r="F1615" s="1034">
        <v>0.109535417221439</v>
      </c>
      <c r="G1615" s="1035">
        <v>4.8299536999644899E-2</v>
      </c>
    </row>
    <row r="1616" spans="1:7" x14ac:dyDescent="0.3">
      <c r="A1616" s="11" t="s">
        <v>1155</v>
      </c>
      <c r="B1616" s="11"/>
      <c r="C1616" s="1036">
        <v>4</v>
      </c>
      <c r="D1616" s="1036">
        <v>8091.99844839459</v>
      </c>
      <c r="E1616" s="1037">
        <v>6163.2672461742304</v>
      </c>
      <c r="F1616" s="1038">
        <v>0.101046080868806</v>
      </c>
      <c r="G1616" s="1039">
        <v>7.6935584518765601E-2</v>
      </c>
    </row>
    <row r="1617" spans="1:7" x14ac:dyDescent="0.3">
      <c r="A1617" s="6" t="s">
        <v>1001</v>
      </c>
      <c r="B1617" s="6"/>
      <c r="C1617" s="1032">
        <v>3</v>
      </c>
      <c r="D1617" s="1032">
        <v>6320.4203641348404</v>
      </c>
      <c r="E1617" s="1033">
        <v>4641.79148864124</v>
      </c>
      <c r="F1617" s="1034">
        <v>7.8924101544523007E-2</v>
      </c>
      <c r="G1617" s="1035">
        <v>5.8000238668930199E-2</v>
      </c>
    </row>
    <row r="1618" spans="1:7" x14ac:dyDescent="0.3">
      <c r="A1618" s="11" t="s">
        <v>6276</v>
      </c>
      <c r="B1618" s="11"/>
      <c r="C1618" s="1036">
        <v>7</v>
      </c>
      <c r="D1618" s="1036">
        <v>4037.5227806687199</v>
      </c>
      <c r="E1618" s="1037">
        <v>1876.0592039865201</v>
      </c>
      <c r="F1618" s="1038">
        <v>5.0417193726234398E-2</v>
      </c>
      <c r="G1618" s="1039">
        <v>2.3379336424283099E-2</v>
      </c>
    </row>
    <row r="1619" spans="1:7" x14ac:dyDescent="0.3">
      <c r="A1619" s="6" t="s">
        <v>1005</v>
      </c>
      <c r="B1619" s="6"/>
      <c r="C1619" s="1032">
        <v>2</v>
      </c>
      <c r="D1619" s="1032">
        <v>3363.7994845747398</v>
      </c>
      <c r="E1619" s="1033">
        <v>3354.7994576559199</v>
      </c>
      <c r="F1619" s="1034">
        <v>4.2004303005300399E-2</v>
      </c>
      <c r="G1619" s="1035">
        <v>4.1894853326777601E-2</v>
      </c>
    </row>
    <row r="1620" spans="1:7" x14ac:dyDescent="0.3">
      <c r="A1620" s="11" t="s">
        <v>1049</v>
      </c>
      <c r="B1620" s="11"/>
      <c r="C1620" s="1036">
        <v>1</v>
      </c>
      <c r="D1620" s="1036">
        <v>2913.8517101436801</v>
      </c>
      <c r="E1620" s="1037">
        <v>2924.08280437045</v>
      </c>
      <c r="F1620" s="1038">
        <v>3.6385733069597997E-2</v>
      </c>
      <c r="G1620" s="1039">
        <v>3.6515183363570201E-2</v>
      </c>
    </row>
    <row r="1621" spans="1:7" x14ac:dyDescent="0.3">
      <c r="A1621" s="6" t="s">
        <v>1157</v>
      </c>
      <c r="B1621" s="6"/>
      <c r="C1621" s="1032">
        <v>1</v>
      </c>
      <c r="D1621" s="1032">
        <v>2260.7992353591999</v>
      </c>
      <c r="E1621" s="1033">
        <v>2251.0237395792901</v>
      </c>
      <c r="F1621" s="1034">
        <v>2.82309622055801E-2</v>
      </c>
      <c r="G1621" s="1035">
        <v>2.81146764251793E-2</v>
      </c>
    </row>
    <row r="1622" spans="1:7" x14ac:dyDescent="0.3">
      <c r="A1622" s="11" t="s">
        <v>6279</v>
      </c>
      <c r="B1622" s="11"/>
      <c r="C1622" s="1036">
        <v>2</v>
      </c>
      <c r="D1622" s="1036">
        <v>659.30415505751205</v>
      </c>
      <c r="E1622" s="1037">
        <v>662.62755095351895</v>
      </c>
      <c r="F1622" s="1038">
        <v>8.2328365970334907E-3</v>
      </c>
      <c r="G1622" s="1039">
        <v>8.2712938649860193E-3</v>
      </c>
    </row>
    <row r="1623" spans="1:7" x14ac:dyDescent="0.3">
      <c r="A1623" s="6" t="s">
        <v>6275</v>
      </c>
      <c r="B1623" s="6"/>
      <c r="C1623" s="1032">
        <v>4</v>
      </c>
      <c r="D1623" s="1032">
        <v>343.93307826276998</v>
      </c>
      <c r="E1623" s="1033">
        <v>249.03476451263401</v>
      </c>
      <c r="F1623" s="1034">
        <v>4.2947474423320102E-3</v>
      </c>
      <c r="G1623" s="1035">
        <v>3.1111403732792301E-3</v>
      </c>
    </row>
    <row r="1624" spans="1:7" x14ac:dyDescent="0.3">
      <c r="A1624" s="11" t="s">
        <v>960</v>
      </c>
      <c r="B1624" s="11" t="s">
        <v>961</v>
      </c>
      <c r="C1624" s="1036">
        <v>2930</v>
      </c>
      <c r="D1624" s="1036">
        <v>2201194.8463839102</v>
      </c>
      <c r="E1624" s="1037">
        <v>19233.196672435199</v>
      </c>
      <c r="F1624" s="1038">
        <v>99.753505818328406</v>
      </c>
      <c r="G1624" s="1039">
        <v>0.123978693569575</v>
      </c>
    </row>
    <row r="1625" spans="1:7" x14ac:dyDescent="0.3">
      <c r="A1625" s="6" t="s">
        <v>956</v>
      </c>
      <c r="B1625" s="6" t="s">
        <v>1025</v>
      </c>
      <c r="C1625" s="1032">
        <v>6</v>
      </c>
      <c r="D1625" s="1032">
        <v>4066.0977286556699</v>
      </c>
      <c r="E1625" s="1033">
        <v>2794.4134127760199</v>
      </c>
      <c r="F1625" s="1034">
        <v>0.184266969414212</v>
      </c>
      <c r="G1625" s="1035">
        <v>0.126523596580391</v>
      </c>
    </row>
    <row r="1626" spans="1:7" x14ac:dyDescent="0.3">
      <c r="A1626" s="11" t="s">
        <v>974</v>
      </c>
      <c r="B1626" s="11" t="s">
        <v>975</v>
      </c>
      <c r="C1626" s="1036">
        <v>1</v>
      </c>
      <c r="D1626" s="1036">
        <v>1079.40217176428</v>
      </c>
      <c r="E1626" s="1037">
        <v>1104.3659071454599</v>
      </c>
      <c r="F1626" s="1038">
        <v>4.8916228837392502E-2</v>
      </c>
      <c r="G1626" s="1039">
        <v>4.9968854858186099E-2</v>
      </c>
    </row>
    <row r="1627" spans="1:7" x14ac:dyDescent="0.3">
      <c r="A1627" s="6" t="s">
        <v>958</v>
      </c>
      <c r="B1627" s="6" t="s">
        <v>1019</v>
      </c>
      <c r="C1627" s="1032">
        <v>3</v>
      </c>
      <c r="D1627" s="1032">
        <v>293.724695327132</v>
      </c>
      <c r="E1627" s="1033">
        <v>184.13829197902501</v>
      </c>
      <c r="F1627" s="1034">
        <v>1.33109834199528E-2</v>
      </c>
      <c r="G1627" s="1035">
        <v>8.3312545941902991E-3</v>
      </c>
    </row>
    <row r="1628" spans="1:7" x14ac:dyDescent="0.3">
      <c r="A1628" s="11" t="s">
        <v>6269</v>
      </c>
      <c r="B1628" s="11" t="s">
        <v>6270</v>
      </c>
      <c r="C1628" s="1036">
        <v>15627</v>
      </c>
      <c r="D1628" s="1036">
        <v>8008225.9290203499</v>
      </c>
      <c r="E1628" s="1037">
        <v>19809.340645045901</v>
      </c>
      <c r="F1628" s="1038">
        <v>78.397804071914294</v>
      </c>
      <c r="G1628" s="1039">
        <v>0.19392669742958599</v>
      </c>
    </row>
    <row r="1629" spans="1:7" x14ac:dyDescent="0.3">
      <c r="A1629" s="6" t="s">
        <v>6269</v>
      </c>
      <c r="B1629" s="6" t="s">
        <v>6271</v>
      </c>
      <c r="C1629" s="1032">
        <v>18567</v>
      </c>
      <c r="D1629" s="1032">
        <v>10214860</v>
      </c>
      <c r="E1629" s="1033">
        <v>0</v>
      </c>
      <c r="F1629" s="1034">
        <v>100</v>
      </c>
      <c r="G1629" s="1035">
        <v>0</v>
      </c>
    </row>
    <row r="1630" spans="1:7" x14ac:dyDescent="0.3">
      <c r="A1630" s="3299" t="s">
        <v>524</v>
      </c>
      <c r="B1630" s="3298"/>
      <c r="C1630" s="3298"/>
      <c r="D1630" s="3298"/>
      <c r="E1630" s="3298"/>
      <c r="F1630" s="3298"/>
      <c r="G1630" s="3298"/>
    </row>
    <row r="1631" spans="1:7" x14ac:dyDescent="0.3">
      <c r="A1631" s="11" t="s">
        <v>1152</v>
      </c>
      <c r="B1631" s="11"/>
      <c r="C1631" s="1044">
        <v>14447</v>
      </c>
      <c r="D1631" s="1044">
        <v>7144349.2420985801</v>
      </c>
      <c r="E1631" s="1045">
        <v>50224.048158130397</v>
      </c>
      <c r="F1631" s="1046">
        <v>89.189079236514701</v>
      </c>
      <c r="G1631" s="1047">
        <v>0.46404680570151402</v>
      </c>
    </row>
    <row r="1632" spans="1:7" x14ac:dyDescent="0.3">
      <c r="A1632" s="6" t="s">
        <v>6274</v>
      </c>
      <c r="B1632" s="6"/>
      <c r="C1632" s="1040">
        <v>319</v>
      </c>
      <c r="D1632" s="1040">
        <v>240614.97043329201</v>
      </c>
      <c r="E1632" s="1041">
        <v>20784.887464445299</v>
      </c>
      <c r="F1632" s="1042">
        <v>3.00380439648871</v>
      </c>
      <c r="G1632" s="1043">
        <v>0.26506757479249099</v>
      </c>
    </row>
    <row r="1633" spans="1:7" x14ac:dyDescent="0.3">
      <c r="A1633" s="11" t="s">
        <v>6272</v>
      </c>
      <c r="B1633" s="11"/>
      <c r="C1633" s="1044">
        <v>315</v>
      </c>
      <c r="D1633" s="1044">
        <v>205759.46962521001</v>
      </c>
      <c r="E1633" s="1045">
        <v>14462.6733540105</v>
      </c>
      <c r="F1633" s="1046">
        <v>2.56867308948569</v>
      </c>
      <c r="G1633" s="1047">
        <v>0.180548681636126</v>
      </c>
    </row>
    <row r="1634" spans="1:7" x14ac:dyDescent="0.3">
      <c r="A1634" s="6" t="s">
        <v>6276</v>
      </c>
      <c r="B1634" s="6"/>
      <c r="C1634" s="1040">
        <v>119</v>
      </c>
      <c r="D1634" s="1040">
        <v>87865.550895140303</v>
      </c>
      <c r="E1634" s="1041">
        <v>9023.6534601576404</v>
      </c>
      <c r="F1634" s="1042">
        <v>1.0969015253018</v>
      </c>
      <c r="G1634" s="1043">
        <v>0.113075053125541</v>
      </c>
    </row>
    <row r="1635" spans="1:7" x14ac:dyDescent="0.3">
      <c r="A1635" s="11" t="s">
        <v>6275</v>
      </c>
      <c r="B1635" s="11"/>
      <c r="C1635" s="1044">
        <v>102</v>
      </c>
      <c r="D1635" s="1044">
        <v>80569.257776580198</v>
      </c>
      <c r="E1635" s="1045">
        <v>10864.9433381001</v>
      </c>
      <c r="F1635" s="1046">
        <v>1.0058155994837401</v>
      </c>
      <c r="G1635" s="1047">
        <v>0.13497748658770301</v>
      </c>
    </row>
    <row r="1636" spans="1:7" x14ac:dyDescent="0.3">
      <c r="A1636" s="6" t="s">
        <v>6273</v>
      </c>
      <c r="B1636" s="6"/>
      <c r="C1636" s="1040">
        <v>121</v>
      </c>
      <c r="D1636" s="1040">
        <v>74195.908862503697</v>
      </c>
      <c r="E1636" s="1041">
        <v>5412.5253686984497</v>
      </c>
      <c r="F1636" s="1042">
        <v>0.92625158293902998</v>
      </c>
      <c r="G1636" s="1043">
        <v>6.8647763669648795E-2</v>
      </c>
    </row>
    <row r="1637" spans="1:7" x14ac:dyDescent="0.3">
      <c r="A1637" s="11" t="s">
        <v>995</v>
      </c>
      <c r="B1637" s="11"/>
      <c r="C1637" s="1044">
        <v>47</v>
      </c>
      <c r="D1637" s="1044">
        <v>39109.932624901499</v>
      </c>
      <c r="E1637" s="1045">
        <v>6145.0712391341403</v>
      </c>
      <c r="F1637" s="1046">
        <v>0.48824305218210101</v>
      </c>
      <c r="G1637" s="1047">
        <v>7.6514749265635396E-2</v>
      </c>
    </row>
    <row r="1638" spans="1:7" x14ac:dyDescent="0.3">
      <c r="A1638" s="6" t="s">
        <v>6278</v>
      </c>
      <c r="B1638" s="6"/>
      <c r="C1638" s="1040">
        <v>46</v>
      </c>
      <c r="D1638" s="1040">
        <v>32450.263539047701</v>
      </c>
      <c r="E1638" s="1041">
        <v>8719.0542615641298</v>
      </c>
      <c r="F1638" s="1042">
        <v>0.40510465375566701</v>
      </c>
      <c r="G1638" s="1043">
        <v>0.108443562306745</v>
      </c>
    </row>
    <row r="1639" spans="1:7" x14ac:dyDescent="0.3">
      <c r="A1639" s="11" t="s">
        <v>6279</v>
      </c>
      <c r="B1639" s="11"/>
      <c r="C1639" s="1044">
        <v>30</v>
      </c>
      <c r="D1639" s="1044">
        <v>20617.238805095101</v>
      </c>
      <c r="E1639" s="1045">
        <v>3992.2672458381398</v>
      </c>
      <c r="F1639" s="1046">
        <v>0.25738279066626801</v>
      </c>
      <c r="G1639" s="1047">
        <v>4.9989292670632297E-2</v>
      </c>
    </row>
    <row r="1640" spans="1:7" x14ac:dyDescent="0.3">
      <c r="A1640" s="6" t="s">
        <v>1005</v>
      </c>
      <c r="B1640" s="6"/>
      <c r="C1640" s="1040">
        <v>22</v>
      </c>
      <c r="D1640" s="1040">
        <v>19322.704415237298</v>
      </c>
      <c r="E1640" s="1041">
        <v>5619.8329740898998</v>
      </c>
      <c r="F1640" s="1042">
        <v>0.24122200031869201</v>
      </c>
      <c r="G1640" s="1043">
        <v>7.0565722923138896E-2</v>
      </c>
    </row>
    <row r="1641" spans="1:7" x14ac:dyDescent="0.3">
      <c r="A1641" s="11" t="s">
        <v>999</v>
      </c>
      <c r="B1641" s="11"/>
      <c r="C1641" s="1044">
        <v>9</v>
      </c>
      <c r="D1641" s="1044">
        <v>9241.6874011464406</v>
      </c>
      <c r="E1641" s="1045">
        <v>3541.4805037654</v>
      </c>
      <c r="F1641" s="1046">
        <v>0.11537196208759699</v>
      </c>
      <c r="G1641" s="1047">
        <v>4.4204103177570203E-2</v>
      </c>
    </row>
    <row r="1642" spans="1:7" x14ac:dyDescent="0.3">
      <c r="A1642" s="6" t="s">
        <v>6277</v>
      </c>
      <c r="B1642" s="6"/>
      <c r="C1642" s="1040">
        <v>9</v>
      </c>
      <c r="D1642" s="1040">
        <v>6957.1992578322897</v>
      </c>
      <c r="E1642" s="1041">
        <v>4141.3724255018296</v>
      </c>
      <c r="F1642" s="1042">
        <v>8.6852724418152602E-2</v>
      </c>
      <c r="G1642" s="1043">
        <v>5.1735641161998101E-2</v>
      </c>
    </row>
    <row r="1643" spans="1:7" x14ac:dyDescent="0.3">
      <c r="A1643" s="11" t="s">
        <v>1159</v>
      </c>
      <c r="B1643" s="11"/>
      <c r="C1643" s="1044">
        <v>2</v>
      </c>
      <c r="D1643" s="1044">
        <v>5813.0906580187002</v>
      </c>
      <c r="E1643" s="1045">
        <v>5767.1765924157298</v>
      </c>
      <c r="F1643" s="1046">
        <v>7.2569829068823602E-2</v>
      </c>
      <c r="G1643" s="1047">
        <v>7.1994319240487104E-2</v>
      </c>
    </row>
    <row r="1644" spans="1:7" x14ac:dyDescent="0.3">
      <c r="A1644" s="6" t="s">
        <v>1155</v>
      </c>
      <c r="B1644" s="6"/>
      <c r="C1644" s="1040">
        <v>10</v>
      </c>
      <c r="D1644" s="1040">
        <v>5747.3265232393296</v>
      </c>
      <c r="E1644" s="1041">
        <v>3176.28584656985</v>
      </c>
      <c r="F1644" s="1042">
        <v>7.1748838600833004E-2</v>
      </c>
      <c r="G1644" s="1043">
        <v>3.9597137353804802E-2</v>
      </c>
    </row>
    <row r="1645" spans="1:7" x14ac:dyDescent="0.3">
      <c r="A1645" s="11" t="s">
        <v>1157</v>
      </c>
      <c r="B1645" s="11"/>
      <c r="C1645" s="1044">
        <v>5</v>
      </c>
      <c r="D1645" s="1044">
        <v>5345.59356894556</v>
      </c>
      <c r="E1645" s="1045">
        <v>4128.4159059649801</v>
      </c>
      <c r="F1645" s="1046">
        <v>6.6733659320221503E-2</v>
      </c>
      <c r="G1645" s="1047">
        <v>5.1570952005718103E-2</v>
      </c>
    </row>
    <row r="1646" spans="1:7" x14ac:dyDescent="0.3">
      <c r="A1646" s="6" t="s">
        <v>1057</v>
      </c>
      <c r="B1646" s="6"/>
      <c r="C1646" s="1040">
        <v>2</v>
      </c>
      <c r="D1646" s="1040">
        <v>5122.6169839420299</v>
      </c>
      <c r="E1646" s="1041">
        <v>3224.59364093559</v>
      </c>
      <c r="F1646" s="1042">
        <v>6.3950050116099499E-2</v>
      </c>
      <c r="G1646" s="1043">
        <v>4.0278804594971303E-2</v>
      </c>
    </row>
    <row r="1647" spans="1:7" x14ac:dyDescent="0.3">
      <c r="A1647" s="11" t="s">
        <v>6280</v>
      </c>
      <c r="B1647" s="11"/>
      <c r="C1647" s="1044">
        <v>5</v>
      </c>
      <c r="D1647" s="1044">
        <v>3929.6360932442999</v>
      </c>
      <c r="E1647" s="1045">
        <v>3097.19270017075</v>
      </c>
      <c r="F1647" s="1046">
        <v>4.9057039768689102E-2</v>
      </c>
      <c r="G1647" s="1047">
        <v>3.8690722837086002E-2</v>
      </c>
    </row>
    <row r="1648" spans="1:7" x14ac:dyDescent="0.3">
      <c r="A1648" s="6" t="s">
        <v>1007</v>
      </c>
      <c r="B1648" s="6"/>
      <c r="C1648" s="1040">
        <v>1</v>
      </c>
      <c r="D1648" s="1040">
        <v>2916.0826108620699</v>
      </c>
      <c r="E1648" s="1041">
        <v>2911.4350083874301</v>
      </c>
      <c r="F1648" s="1042">
        <v>3.6403976657222198E-2</v>
      </c>
      <c r="G1648" s="1043">
        <v>3.6347309500456199E-2</v>
      </c>
    </row>
    <row r="1649" spans="1:7" x14ac:dyDescent="0.3">
      <c r="A1649" s="11" t="s">
        <v>1161</v>
      </c>
      <c r="B1649" s="11"/>
      <c r="C1649" s="1044">
        <v>1</v>
      </c>
      <c r="D1649" s="1044">
        <v>2913.8517101436801</v>
      </c>
      <c r="E1649" s="1045">
        <v>2924.08280437045</v>
      </c>
      <c r="F1649" s="1046">
        <v>3.6376126397639597E-2</v>
      </c>
      <c r="G1649" s="1047">
        <v>3.6504110611147098E-2</v>
      </c>
    </row>
    <row r="1650" spans="1:7" x14ac:dyDescent="0.3">
      <c r="A1650" s="6" t="s">
        <v>1061</v>
      </c>
      <c r="B1650" s="6"/>
      <c r="C1650" s="1040">
        <v>1</v>
      </c>
      <c r="D1650" s="1040">
        <v>2905.15731555209</v>
      </c>
      <c r="E1650" s="1041">
        <v>2947.1659033513001</v>
      </c>
      <c r="F1650" s="1042">
        <v>3.6267586764166297E-2</v>
      </c>
      <c r="G1650" s="1043">
        <v>3.6787160318796003E-2</v>
      </c>
    </row>
    <row r="1651" spans="1:7" x14ac:dyDescent="0.3">
      <c r="A1651" s="11" t="s">
        <v>1163</v>
      </c>
      <c r="B1651" s="11"/>
      <c r="C1651" s="1044">
        <v>1</v>
      </c>
      <c r="D1651" s="1044">
        <v>2748.5267124325201</v>
      </c>
      <c r="E1651" s="1045">
        <v>2793.70759177531</v>
      </c>
      <c r="F1651" s="1046">
        <v>3.4312231727744398E-2</v>
      </c>
      <c r="G1651" s="1047">
        <v>3.4864285993431499E-2</v>
      </c>
    </row>
    <row r="1652" spans="1:7" x14ac:dyDescent="0.3">
      <c r="A1652" s="6" t="s">
        <v>1055</v>
      </c>
      <c r="B1652" s="6"/>
      <c r="C1652" s="1040">
        <v>1</v>
      </c>
      <c r="D1652" s="1040">
        <v>2386.7836233252501</v>
      </c>
      <c r="E1652" s="1041">
        <v>2361.7024086230099</v>
      </c>
      <c r="F1652" s="1042">
        <v>2.9796280457118501E-2</v>
      </c>
      <c r="G1652" s="1043">
        <v>2.9482811166485798E-2</v>
      </c>
    </row>
    <row r="1653" spans="1:7" x14ac:dyDescent="0.3">
      <c r="A1653" s="11" t="s">
        <v>3032</v>
      </c>
      <c r="B1653" s="11"/>
      <c r="C1653" s="1044">
        <v>3</v>
      </c>
      <c r="D1653" s="1044">
        <v>2197.4661383888101</v>
      </c>
      <c r="E1653" s="1045">
        <v>1257.14262030131</v>
      </c>
      <c r="F1653" s="1046">
        <v>2.74328668567086E-2</v>
      </c>
      <c r="G1653" s="1047">
        <v>1.56704364952194E-2</v>
      </c>
    </row>
    <row r="1654" spans="1:7" x14ac:dyDescent="0.3">
      <c r="A1654" s="6" t="s">
        <v>1053</v>
      </c>
      <c r="B1654" s="6"/>
      <c r="C1654" s="1040">
        <v>3</v>
      </c>
      <c r="D1654" s="1040">
        <v>2068.8680882240101</v>
      </c>
      <c r="E1654" s="1041">
        <v>1270.4775410571201</v>
      </c>
      <c r="F1654" s="1042">
        <v>2.5827466379052099E-2</v>
      </c>
      <c r="G1654" s="1043">
        <v>1.5861949250937701E-2</v>
      </c>
    </row>
    <row r="1655" spans="1:7" x14ac:dyDescent="0.3">
      <c r="A1655" s="11" t="s">
        <v>1003</v>
      </c>
      <c r="B1655" s="11"/>
      <c r="C1655" s="1044">
        <v>3</v>
      </c>
      <c r="D1655" s="1044">
        <v>1852.3081829079299</v>
      </c>
      <c r="E1655" s="1045">
        <v>1307.1183769634399</v>
      </c>
      <c r="F1655" s="1046">
        <v>2.3123962126925999E-2</v>
      </c>
      <c r="G1655" s="1047">
        <v>1.6316469394658101E-2</v>
      </c>
    </row>
    <row r="1656" spans="1:7" x14ac:dyDescent="0.3">
      <c r="A1656" s="6" t="s">
        <v>1001</v>
      </c>
      <c r="B1656" s="6"/>
      <c r="C1656" s="1040">
        <v>1</v>
      </c>
      <c r="D1656" s="1040">
        <v>1596.0824832809301</v>
      </c>
      <c r="E1656" s="1041">
        <v>1601.0981034818501</v>
      </c>
      <c r="F1656" s="1042">
        <v>1.99252755213211E-2</v>
      </c>
      <c r="G1656" s="1043">
        <v>1.99841910896171E-2</v>
      </c>
    </row>
    <row r="1657" spans="1:7" x14ac:dyDescent="0.3">
      <c r="A1657" s="11" t="s">
        <v>3038</v>
      </c>
      <c r="B1657" s="11"/>
      <c r="C1657" s="1044">
        <v>1</v>
      </c>
      <c r="D1657" s="1044">
        <v>1018.95849074325</v>
      </c>
      <c r="E1657" s="1045">
        <v>1038.4241235833799</v>
      </c>
      <c r="F1657" s="1046">
        <v>1.27205384969288E-2</v>
      </c>
      <c r="G1657" s="1047">
        <v>1.29659007641377E-2</v>
      </c>
    </row>
    <row r="1658" spans="1:7" x14ac:dyDescent="0.3">
      <c r="A1658" s="6" t="s">
        <v>997</v>
      </c>
      <c r="B1658" s="6"/>
      <c r="C1658" s="1040">
        <v>1</v>
      </c>
      <c r="D1658" s="1040">
        <v>725.06866567562599</v>
      </c>
      <c r="E1658" s="1041">
        <v>729.82926713755603</v>
      </c>
      <c r="F1658" s="1042">
        <v>9.0516580983745105E-3</v>
      </c>
      <c r="G1658" s="1043">
        <v>9.1128327620849398E-3</v>
      </c>
    </row>
    <row r="1659" spans="1:7" x14ac:dyDescent="0.3">
      <c r="A1659" s="11" t="s">
        <v>960</v>
      </c>
      <c r="B1659" s="11" t="s">
        <v>961</v>
      </c>
      <c r="C1659" s="1044">
        <v>2930</v>
      </c>
      <c r="D1659" s="1044">
        <v>2201194.8463839102</v>
      </c>
      <c r="E1659" s="1045">
        <v>19233.196672435199</v>
      </c>
      <c r="F1659" s="1046">
        <v>99.849204756377802</v>
      </c>
      <c r="G1659" s="1047">
        <v>5.0512151753499303E-2</v>
      </c>
    </row>
    <row r="1660" spans="1:7" x14ac:dyDescent="0.3">
      <c r="A1660" s="6" t="s">
        <v>956</v>
      </c>
      <c r="B1660" s="6" t="s">
        <v>1025</v>
      </c>
      <c r="C1660" s="1040">
        <v>6</v>
      </c>
      <c r="D1660" s="1040">
        <v>1675.75276436579</v>
      </c>
      <c r="E1660" s="1041">
        <v>783.32012673976499</v>
      </c>
      <c r="F1660" s="1042">
        <v>7.6014434235615505E-2</v>
      </c>
      <c r="G1660" s="1043">
        <v>3.5490735332436602E-2</v>
      </c>
    </row>
    <row r="1661" spans="1:7" x14ac:dyDescent="0.3">
      <c r="A1661" s="11" t="s">
        <v>974</v>
      </c>
      <c r="B1661" s="11" t="s">
        <v>975</v>
      </c>
      <c r="C1661" s="1044">
        <v>1</v>
      </c>
      <c r="D1661" s="1044">
        <v>1079.40217176428</v>
      </c>
      <c r="E1661" s="1045">
        <v>1104.3659071454599</v>
      </c>
      <c r="F1661" s="1046">
        <v>4.8963156823679403E-2</v>
      </c>
      <c r="G1661" s="1047">
        <v>5.0018048393941299E-2</v>
      </c>
    </row>
    <row r="1662" spans="1:7" x14ac:dyDescent="0.3">
      <c r="A1662" s="6" t="s">
        <v>958</v>
      </c>
      <c r="B1662" s="6" t="s">
        <v>1019</v>
      </c>
      <c r="C1662" s="1040">
        <v>6</v>
      </c>
      <c r="D1662" s="1040">
        <v>569.15509648602904</v>
      </c>
      <c r="E1662" s="1041">
        <v>155.69507456747101</v>
      </c>
      <c r="F1662" s="1042">
        <v>2.5817652562892601E-2</v>
      </c>
      <c r="G1662" s="1043">
        <v>7.1423904214697499E-3</v>
      </c>
    </row>
    <row r="1663" spans="1:7" x14ac:dyDescent="0.3">
      <c r="A1663" s="11" t="s">
        <v>6269</v>
      </c>
      <c r="B1663" s="11" t="s">
        <v>6270</v>
      </c>
      <c r="C1663" s="1044">
        <v>15627</v>
      </c>
      <c r="D1663" s="1044">
        <v>8010340.8435834898</v>
      </c>
      <c r="E1663" s="1045">
        <v>19626.824487799899</v>
      </c>
      <c r="F1663" s="1046">
        <v>78.418508365102198</v>
      </c>
      <c r="G1663" s="1047">
        <v>0.192139926418992</v>
      </c>
    </row>
    <row r="1664" spans="1:7" x14ac:dyDescent="0.3">
      <c r="A1664" s="6" t="s">
        <v>6269</v>
      </c>
      <c r="B1664" s="6" t="s">
        <v>6271</v>
      </c>
      <c r="C1664" s="1040">
        <v>18570</v>
      </c>
      <c r="D1664" s="1040">
        <v>10214860</v>
      </c>
      <c r="E1664" s="1041">
        <v>0</v>
      </c>
      <c r="F1664" s="1042">
        <v>100</v>
      </c>
      <c r="G1664" s="1043">
        <v>0</v>
      </c>
    </row>
    <row r="1665" spans="1:7" x14ac:dyDescent="0.3">
      <c r="A1665" s="3299" t="s">
        <v>88</v>
      </c>
      <c r="B1665" s="3298"/>
      <c r="C1665" s="3298"/>
      <c r="D1665" s="3298"/>
      <c r="E1665" s="3298"/>
      <c r="F1665" s="3298"/>
      <c r="G1665" s="3298"/>
    </row>
    <row r="1666" spans="1:7" x14ac:dyDescent="0.3">
      <c r="A1666" s="11" t="s">
        <v>6272</v>
      </c>
      <c r="B1666" s="11"/>
      <c r="C1666" s="1052">
        <v>5928</v>
      </c>
      <c r="D1666" s="1052">
        <v>3186200.6049444298</v>
      </c>
      <c r="E1666" s="1053">
        <v>49151.3469863871</v>
      </c>
      <c r="F1666" s="1054">
        <v>85.186265984740601</v>
      </c>
      <c r="G1666" s="1055">
        <v>0.67015304329626602</v>
      </c>
    </row>
    <row r="1667" spans="1:7" x14ac:dyDescent="0.3">
      <c r="A1667" s="6" t="s">
        <v>6274</v>
      </c>
      <c r="B1667" s="6"/>
      <c r="C1667" s="1048">
        <v>549</v>
      </c>
      <c r="D1667" s="1048">
        <v>429358.02300861699</v>
      </c>
      <c r="E1667" s="1049">
        <v>26763.072291423301</v>
      </c>
      <c r="F1667" s="1050">
        <v>11.479316994019699</v>
      </c>
      <c r="G1667" s="1051">
        <v>0.71983744511582104</v>
      </c>
    </row>
    <row r="1668" spans="1:7" x14ac:dyDescent="0.3">
      <c r="A1668" s="11" t="s">
        <v>6273</v>
      </c>
      <c r="B1668" s="11"/>
      <c r="C1668" s="1052">
        <v>113</v>
      </c>
      <c r="D1668" s="1052">
        <v>83434.371548391806</v>
      </c>
      <c r="E1668" s="1053">
        <v>11988.790600424099</v>
      </c>
      <c r="F1668" s="1054">
        <v>2.2307015308331302</v>
      </c>
      <c r="G1668" s="1055">
        <v>0.33381625667887099</v>
      </c>
    </row>
    <row r="1669" spans="1:7" x14ac:dyDescent="0.3">
      <c r="A1669" s="6" t="s">
        <v>6276</v>
      </c>
      <c r="B1669" s="6"/>
      <c r="C1669" s="1048">
        <v>32</v>
      </c>
      <c r="D1669" s="1048">
        <v>25068.3191393083</v>
      </c>
      <c r="E1669" s="1049">
        <v>6200.2466291381197</v>
      </c>
      <c r="F1669" s="1050">
        <v>0.67022663252200498</v>
      </c>
      <c r="G1669" s="1051">
        <v>0.16846542823760799</v>
      </c>
    </row>
    <row r="1670" spans="1:7" x14ac:dyDescent="0.3">
      <c r="A1670" s="11" t="s">
        <v>6275</v>
      </c>
      <c r="B1670" s="11"/>
      <c r="C1670" s="1052">
        <v>8</v>
      </c>
      <c r="D1670" s="1052">
        <v>4746.9630204264904</v>
      </c>
      <c r="E1670" s="1053">
        <v>3539.0862668596401</v>
      </c>
      <c r="F1670" s="1054">
        <v>0.12691481316344499</v>
      </c>
      <c r="G1670" s="1055">
        <v>9.4485413095874701E-2</v>
      </c>
    </row>
    <row r="1671" spans="1:7" x14ac:dyDescent="0.3">
      <c r="A1671" s="6" t="s">
        <v>995</v>
      </c>
      <c r="B1671" s="6"/>
      <c r="C1671" s="1048">
        <v>5</v>
      </c>
      <c r="D1671" s="1048">
        <v>3865.0813431116799</v>
      </c>
      <c r="E1671" s="1049">
        <v>2568.3850861052001</v>
      </c>
      <c r="F1671" s="1050">
        <v>0.103336822808968</v>
      </c>
      <c r="G1671" s="1051">
        <v>6.9148818664110906E-2</v>
      </c>
    </row>
    <row r="1672" spans="1:7" x14ac:dyDescent="0.3">
      <c r="A1672" s="11" t="s">
        <v>1155</v>
      </c>
      <c r="B1672" s="11"/>
      <c r="C1672" s="1052">
        <v>5</v>
      </c>
      <c r="D1672" s="1052">
        <v>3506.1812193649098</v>
      </c>
      <c r="E1672" s="1053">
        <v>1446.04192054336</v>
      </c>
      <c r="F1672" s="1054">
        <v>9.3741268355804097E-2</v>
      </c>
      <c r="G1672" s="1055">
        <v>3.8684720395451497E-2</v>
      </c>
    </row>
    <row r="1673" spans="1:7" x14ac:dyDescent="0.3">
      <c r="A1673" s="6" t="s">
        <v>6278</v>
      </c>
      <c r="B1673" s="6"/>
      <c r="C1673" s="1048">
        <v>3</v>
      </c>
      <c r="D1673" s="1048">
        <v>2917.4059260285999</v>
      </c>
      <c r="E1673" s="1049">
        <v>2980.1636592536502</v>
      </c>
      <c r="F1673" s="1050">
        <v>7.7999770891533496E-2</v>
      </c>
      <c r="G1673" s="1051">
        <v>7.9578208977111806E-2</v>
      </c>
    </row>
    <row r="1674" spans="1:7" x14ac:dyDescent="0.3">
      <c r="A1674" s="11" t="s">
        <v>6279</v>
      </c>
      <c r="B1674" s="11"/>
      <c r="C1674" s="1052">
        <v>1</v>
      </c>
      <c r="D1674" s="1052">
        <v>1178.0438442744701</v>
      </c>
      <c r="E1674" s="1053">
        <v>1199.9508567374501</v>
      </c>
      <c r="F1674" s="1054">
        <v>3.1496182664807998E-2</v>
      </c>
      <c r="G1674" s="1055">
        <v>3.2056607382984402E-2</v>
      </c>
    </row>
    <row r="1675" spans="1:7" x14ac:dyDescent="0.3">
      <c r="A1675" s="6" t="s">
        <v>974</v>
      </c>
      <c r="B1675" s="6" t="s">
        <v>975</v>
      </c>
      <c r="C1675" s="1048">
        <v>11071</v>
      </c>
      <c r="D1675" s="1048">
        <v>5823556.8533359403</v>
      </c>
      <c r="E1675" s="1049">
        <v>36511.016298859198</v>
      </c>
      <c r="F1675" s="1050">
        <v>89.944866704720496</v>
      </c>
      <c r="G1675" s="1051">
        <v>5.30752374601507E-2</v>
      </c>
    </row>
    <row r="1676" spans="1:7" x14ac:dyDescent="0.3">
      <c r="A1676" s="11" t="s">
        <v>960</v>
      </c>
      <c r="B1676" s="11"/>
      <c r="C1676" s="1052">
        <v>851</v>
      </c>
      <c r="D1676" s="1052">
        <v>649360.005185658</v>
      </c>
      <c r="E1676" s="1053">
        <v>7.74581865908651E-3</v>
      </c>
      <c r="F1676" s="1054">
        <v>10.029368748472599</v>
      </c>
      <c r="G1676" s="1055">
        <v>5.7207295724153402E-2</v>
      </c>
    </row>
    <row r="1677" spans="1:7" x14ac:dyDescent="0.3">
      <c r="A1677" s="6" t="s">
        <v>958</v>
      </c>
      <c r="B1677" s="6" t="s">
        <v>1019</v>
      </c>
      <c r="C1677" s="1048">
        <v>2</v>
      </c>
      <c r="D1677" s="1048">
        <v>835.050218580153</v>
      </c>
      <c r="E1677" s="1049">
        <v>733.44606286961596</v>
      </c>
      <c r="F1677" s="1050">
        <v>1.28973550861644E-2</v>
      </c>
      <c r="G1677" s="1051">
        <v>1.13303619577286E-2</v>
      </c>
    </row>
    <row r="1678" spans="1:7" x14ac:dyDescent="0.3">
      <c r="A1678" s="11" t="s">
        <v>956</v>
      </c>
      <c r="B1678" s="11" t="s">
        <v>1025</v>
      </c>
      <c r="C1678" s="1052">
        <v>2</v>
      </c>
      <c r="D1678" s="1052">
        <v>833.09726584918099</v>
      </c>
      <c r="E1678" s="1053">
        <v>540.93533248388599</v>
      </c>
      <c r="F1678" s="1054">
        <v>1.2867191720803301E-2</v>
      </c>
      <c r="G1678" s="1055">
        <v>8.3187542940166906E-3</v>
      </c>
    </row>
    <row r="1679" spans="1:7" x14ac:dyDescent="0.3">
      <c r="A1679" s="6" t="s">
        <v>6269</v>
      </c>
      <c r="B1679" s="6" t="s">
        <v>6270</v>
      </c>
      <c r="C1679" s="1048">
        <v>6644</v>
      </c>
      <c r="D1679" s="1048">
        <v>3740274.9939939501</v>
      </c>
      <c r="E1679" s="1049">
        <v>36862.731410741697</v>
      </c>
      <c r="F1679" s="1050">
        <v>36.616018173464496</v>
      </c>
      <c r="G1679" s="1051">
        <v>0.36087358427563898</v>
      </c>
    </row>
    <row r="1680" spans="1:7" x14ac:dyDescent="0.3">
      <c r="A1680" s="11" t="s">
        <v>6269</v>
      </c>
      <c r="B1680" s="11" t="s">
        <v>6271</v>
      </c>
      <c r="C1680" s="1052">
        <v>18570</v>
      </c>
      <c r="D1680" s="1052">
        <v>10214860</v>
      </c>
      <c r="E1680" s="1053">
        <v>0</v>
      </c>
      <c r="F1680" s="1054">
        <v>100</v>
      </c>
      <c r="G1680" s="1055">
        <v>0</v>
      </c>
    </row>
    <row r="1681" spans="1:7" x14ac:dyDescent="0.3">
      <c r="A1681" s="3299" t="s">
        <v>608</v>
      </c>
      <c r="B1681" s="3298"/>
      <c r="C1681" s="3298"/>
      <c r="D1681" s="3298"/>
      <c r="E1681" s="3298"/>
      <c r="F1681" s="3298"/>
      <c r="G1681" s="3298"/>
    </row>
    <row r="1682" spans="1:7" x14ac:dyDescent="0.3">
      <c r="A1682" s="11" t="s">
        <v>1005</v>
      </c>
      <c r="B1682" s="11"/>
      <c r="C1682" s="1060">
        <v>950</v>
      </c>
      <c r="D1682" s="1060">
        <v>481805.18875835498</v>
      </c>
      <c r="E1682" s="1061">
        <v>22047.3295889037</v>
      </c>
      <c r="F1682" s="1062">
        <v>11.962916728484601</v>
      </c>
      <c r="G1682" s="1063">
        <v>0.49380260225106198</v>
      </c>
    </row>
    <row r="1683" spans="1:7" x14ac:dyDescent="0.3">
      <c r="A1683" s="6" t="s">
        <v>1157</v>
      </c>
      <c r="B1683" s="6"/>
      <c r="C1683" s="1056">
        <v>782</v>
      </c>
      <c r="D1683" s="1056">
        <v>476428.52576160501</v>
      </c>
      <c r="E1683" s="1057">
        <v>17782.008653433601</v>
      </c>
      <c r="F1683" s="1058">
        <v>11.829417602265201</v>
      </c>
      <c r="G1683" s="1059">
        <v>0.43276917263799403</v>
      </c>
    </row>
    <row r="1684" spans="1:7" x14ac:dyDescent="0.3">
      <c r="A1684" s="11" t="s">
        <v>1155</v>
      </c>
      <c r="B1684" s="11"/>
      <c r="C1684" s="1060">
        <v>995</v>
      </c>
      <c r="D1684" s="1060">
        <v>476355.11515322002</v>
      </c>
      <c r="E1684" s="1061">
        <v>19338.279914002</v>
      </c>
      <c r="F1684" s="1062">
        <v>11.827594863499399</v>
      </c>
      <c r="G1684" s="1063">
        <v>0.491849454387489</v>
      </c>
    </row>
    <row r="1685" spans="1:7" x14ac:dyDescent="0.3">
      <c r="A1685" s="6" t="s">
        <v>995</v>
      </c>
      <c r="B1685" s="6"/>
      <c r="C1685" s="1056">
        <v>643</v>
      </c>
      <c r="D1685" s="1056">
        <v>324927.83830113499</v>
      </c>
      <c r="E1685" s="1057">
        <v>25929.213545535302</v>
      </c>
      <c r="F1685" s="1058">
        <v>8.0677517865265695</v>
      </c>
      <c r="G1685" s="1059">
        <v>0.65186403066662002</v>
      </c>
    </row>
    <row r="1686" spans="1:7" x14ac:dyDescent="0.3">
      <c r="A1686" s="11" t="s">
        <v>3032</v>
      </c>
      <c r="B1686" s="11"/>
      <c r="C1686" s="1060">
        <v>566</v>
      </c>
      <c r="D1686" s="1060">
        <v>315134.47588638199</v>
      </c>
      <c r="E1686" s="1061">
        <v>30136.577759539701</v>
      </c>
      <c r="F1686" s="1062">
        <v>7.8245888198481097</v>
      </c>
      <c r="G1686" s="1063">
        <v>0.73984390579312798</v>
      </c>
    </row>
    <row r="1687" spans="1:7" x14ac:dyDescent="0.3">
      <c r="A1687" s="6" t="s">
        <v>3061</v>
      </c>
      <c r="B1687" s="6"/>
      <c r="C1687" s="1056">
        <v>399</v>
      </c>
      <c r="D1687" s="1056">
        <v>272866.99478173902</v>
      </c>
      <c r="E1687" s="1057">
        <v>18275.947926542001</v>
      </c>
      <c r="F1687" s="1058">
        <v>6.7751141180900998</v>
      </c>
      <c r="G1687" s="1059">
        <v>0.43104156874069599</v>
      </c>
    </row>
    <row r="1688" spans="1:7" x14ac:dyDescent="0.3">
      <c r="A1688" s="11" t="s">
        <v>1163</v>
      </c>
      <c r="B1688" s="11"/>
      <c r="C1688" s="1060">
        <v>248</v>
      </c>
      <c r="D1688" s="1060">
        <v>214437.90198434101</v>
      </c>
      <c r="E1688" s="1061">
        <v>23185.180629655799</v>
      </c>
      <c r="F1688" s="1062">
        <v>5.3243568660615299</v>
      </c>
      <c r="G1688" s="1063">
        <v>0.56039264753339801</v>
      </c>
    </row>
    <row r="1689" spans="1:7" x14ac:dyDescent="0.3">
      <c r="A1689" s="6" t="s">
        <v>1159</v>
      </c>
      <c r="B1689" s="6"/>
      <c r="C1689" s="1056">
        <v>264</v>
      </c>
      <c r="D1689" s="1056">
        <v>195532.10946203599</v>
      </c>
      <c r="E1689" s="1057">
        <v>20198.536318090599</v>
      </c>
      <c r="F1689" s="1058">
        <v>4.8549380492712997</v>
      </c>
      <c r="G1689" s="1059">
        <v>0.49602525492368299</v>
      </c>
    </row>
    <row r="1690" spans="1:7" x14ac:dyDescent="0.3">
      <c r="A1690" s="11" t="s">
        <v>6275</v>
      </c>
      <c r="B1690" s="11"/>
      <c r="C1690" s="1060">
        <v>292</v>
      </c>
      <c r="D1690" s="1060">
        <v>184721.28435376901</v>
      </c>
      <c r="E1690" s="1061">
        <v>12767.759533861001</v>
      </c>
      <c r="F1690" s="1062">
        <v>4.58651213034398</v>
      </c>
      <c r="G1690" s="1063">
        <v>0.325568869645881</v>
      </c>
    </row>
    <row r="1691" spans="1:7" x14ac:dyDescent="0.3">
      <c r="A1691" s="6" t="s">
        <v>3047</v>
      </c>
      <c r="B1691" s="6"/>
      <c r="C1691" s="1056">
        <v>264</v>
      </c>
      <c r="D1691" s="1056">
        <v>146623.08071926399</v>
      </c>
      <c r="E1691" s="1057">
        <v>20539.1040968331</v>
      </c>
      <c r="F1691" s="1058">
        <v>3.6405579392756402</v>
      </c>
      <c r="G1691" s="1059">
        <v>0.49855906270676797</v>
      </c>
    </row>
    <row r="1692" spans="1:7" x14ac:dyDescent="0.3">
      <c r="A1692" s="11" t="s">
        <v>999</v>
      </c>
      <c r="B1692" s="11"/>
      <c r="C1692" s="1060">
        <v>174</v>
      </c>
      <c r="D1692" s="1060">
        <v>98676.041511062402</v>
      </c>
      <c r="E1692" s="1061">
        <v>16469.583720586499</v>
      </c>
      <c r="F1692" s="1062">
        <v>2.4500634182363998</v>
      </c>
      <c r="G1692" s="1063">
        <v>0.40537735937983499</v>
      </c>
    </row>
    <row r="1693" spans="1:7" x14ac:dyDescent="0.3">
      <c r="A1693" s="6" t="s">
        <v>1161</v>
      </c>
      <c r="B1693" s="6"/>
      <c r="C1693" s="1056">
        <v>136</v>
      </c>
      <c r="D1693" s="1056">
        <v>92289.5843243501</v>
      </c>
      <c r="E1693" s="1057">
        <v>11581.9470219822</v>
      </c>
      <c r="F1693" s="1058">
        <v>2.2914917438392002</v>
      </c>
      <c r="G1693" s="1059">
        <v>0.29648774272739298</v>
      </c>
    </row>
    <row r="1694" spans="1:7" x14ac:dyDescent="0.3">
      <c r="A1694" s="11" t="s">
        <v>6277</v>
      </c>
      <c r="B1694" s="11"/>
      <c r="C1694" s="1060">
        <v>116</v>
      </c>
      <c r="D1694" s="1060">
        <v>65762.000652867093</v>
      </c>
      <c r="E1694" s="1061">
        <v>13391.2668533125</v>
      </c>
      <c r="F1694" s="1062">
        <v>1.6328286952164099</v>
      </c>
      <c r="G1694" s="1063">
        <v>0.33239120528510002</v>
      </c>
    </row>
    <row r="1695" spans="1:7" x14ac:dyDescent="0.3">
      <c r="A1695" s="6" t="s">
        <v>1169</v>
      </c>
      <c r="B1695" s="6"/>
      <c r="C1695" s="1056">
        <v>86</v>
      </c>
      <c r="D1695" s="1056">
        <v>60640.059471784203</v>
      </c>
      <c r="E1695" s="1057">
        <v>9982.3370032627608</v>
      </c>
      <c r="F1695" s="1058">
        <v>1.50565414984591</v>
      </c>
      <c r="G1695" s="1059">
        <v>0.245608155967495</v>
      </c>
    </row>
    <row r="1696" spans="1:7" x14ac:dyDescent="0.3">
      <c r="A1696" s="11" t="s">
        <v>6279</v>
      </c>
      <c r="B1696" s="11"/>
      <c r="C1696" s="1060">
        <v>90</v>
      </c>
      <c r="D1696" s="1060">
        <v>45702.2555500444</v>
      </c>
      <c r="E1696" s="1061">
        <v>10188.619027774899</v>
      </c>
      <c r="F1696" s="1062">
        <v>1.13475796900003</v>
      </c>
      <c r="G1696" s="1063">
        <v>0.24669759057628901</v>
      </c>
    </row>
    <row r="1697" spans="1:7" x14ac:dyDescent="0.3">
      <c r="A1697" s="6" t="s">
        <v>3083</v>
      </c>
      <c r="B1697" s="6"/>
      <c r="C1697" s="1056">
        <v>57</v>
      </c>
      <c r="D1697" s="1056">
        <v>42771.970679611302</v>
      </c>
      <c r="E1697" s="1057">
        <v>7421.1310175941398</v>
      </c>
      <c r="F1697" s="1058">
        <v>1.0620008573838799</v>
      </c>
      <c r="G1697" s="1059">
        <v>0.18302444813559701</v>
      </c>
    </row>
    <row r="1698" spans="1:7" x14ac:dyDescent="0.3">
      <c r="A1698" s="11" t="s">
        <v>1152</v>
      </c>
      <c r="B1698" s="11"/>
      <c r="C1698" s="1060">
        <v>54</v>
      </c>
      <c r="D1698" s="1060">
        <v>40052.893784374297</v>
      </c>
      <c r="E1698" s="1061">
        <v>8644.4599898218203</v>
      </c>
      <c r="F1698" s="1062">
        <v>0.99448790560373501</v>
      </c>
      <c r="G1698" s="1063">
        <v>0.21569215832153399</v>
      </c>
    </row>
    <row r="1699" spans="1:7" x14ac:dyDescent="0.3">
      <c r="A1699" s="6" t="s">
        <v>6278</v>
      </c>
      <c r="B1699" s="6"/>
      <c r="C1699" s="1056">
        <v>57</v>
      </c>
      <c r="D1699" s="1056">
        <v>34372.848539123603</v>
      </c>
      <c r="E1699" s="1057">
        <v>7038.8358673112398</v>
      </c>
      <c r="F1699" s="1058">
        <v>0.85345599090378998</v>
      </c>
      <c r="G1699" s="1059">
        <v>0.176633445529563</v>
      </c>
    </row>
    <row r="1700" spans="1:7" x14ac:dyDescent="0.3">
      <c r="A1700" s="11" t="s">
        <v>6273</v>
      </c>
      <c r="B1700" s="11"/>
      <c r="C1700" s="1060">
        <v>54</v>
      </c>
      <c r="D1700" s="1060">
        <v>29635.792192674799</v>
      </c>
      <c r="E1700" s="1061">
        <v>4760.0866457798102</v>
      </c>
      <c r="F1700" s="1062">
        <v>0.73583789144590395</v>
      </c>
      <c r="G1700" s="1063">
        <v>0.12005335069591901</v>
      </c>
    </row>
    <row r="1701" spans="1:7" x14ac:dyDescent="0.3">
      <c r="A1701" s="6" t="s">
        <v>3075</v>
      </c>
      <c r="B1701" s="6"/>
      <c r="C1701" s="1056">
        <v>47</v>
      </c>
      <c r="D1701" s="1056">
        <v>28669.473971795702</v>
      </c>
      <c r="E1701" s="1057">
        <v>3784.0137228737499</v>
      </c>
      <c r="F1701" s="1058">
        <v>0.71184482395863802</v>
      </c>
      <c r="G1701" s="1059">
        <v>9.7080553982824905E-2</v>
      </c>
    </row>
    <row r="1702" spans="1:7" x14ac:dyDescent="0.3">
      <c r="A1702" s="11" t="s">
        <v>1011</v>
      </c>
      <c r="B1702" s="11"/>
      <c r="C1702" s="1060">
        <v>65</v>
      </c>
      <c r="D1702" s="1060">
        <v>27874.238118437901</v>
      </c>
      <c r="E1702" s="1061">
        <v>6046.1428139590298</v>
      </c>
      <c r="F1702" s="1062">
        <v>0.69209962296206495</v>
      </c>
      <c r="G1702" s="1063">
        <v>0.15094912908345501</v>
      </c>
    </row>
    <row r="1703" spans="1:7" x14ac:dyDescent="0.3">
      <c r="A1703" s="6" t="s">
        <v>1165</v>
      </c>
      <c r="B1703" s="6"/>
      <c r="C1703" s="1056">
        <v>38</v>
      </c>
      <c r="D1703" s="1056">
        <v>26837.630395946999</v>
      </c>
      <c r="E1703" s="1057">
        <v>7947.1143771739598</v>
      </c>
      <c r="F1703" s="1058">
        <v>0.66636131180725999</v>
      </c>
      <c r="G1703" s="1059">
        <v>0.197886979557788</v>
      </c>
    </row>
    <row r="1704" spans="1:7" x14ac:dyDescent="0.3">
      <c r="A1704" s="11" t="s">
        <v>6283</v>
      </c>
      <c r="B1704" s="11"/>
      <c r="C1704" s="1060">
        <v>26</v>
      </c>
      <c r="D1704" s="1060">
        <v>23183.285927695601</v>
      </c>
      <c r="E1704" s="1061">
        <v>6771.5712013966104</v>
      </c>
      <c r="F1704" s="1062">
        <v>0.575626260398722</v>
      </c>
      <c r="G1704" s="1063">
        <v>0.16983892121928501</v>
      </c>
    </row>
    <row r="1705" spans="1:7" x14ac:dyDescent="0.3">
      <c r="A1705" s="6" t="s">
        <v>1049</v>
      </c>
      <c r="B1705" s="6"/>
      <c r="C1705" s="1056">
        <v>41</v>
      </c>
      <c r="D1705" s="1056">
        <v>22558.234234035401</v>
      </c>
      <c r="E1705" s="1057">
        <v>6383.89866155052</v>
      </c>
      <c r="F1705" s="1058">
        <v>0.56010662396324595</v>
      </c>
      <c r="G1705" s="1059">
        <v>0.159743751467576</v>
      </c>
    </row>
    <row r="1706" spans="1:7" x14ac:dyDescent="0.3">
      <c r="A1706" s="11" t="s">
        <v>1167</v>
      </c>
      <c r="B1706" s="11"/>
      <c r="C1706" s="1060">
        <v>33</v>
      </c>
      <c r="D1706" s="1060">
        <v>22175.517224348201</v>
      </c>
      <c r="E1706" s="1061">
        <v>4823.7923595606399</v>
      </c>
      <c r="F1706" s="1062">
        <v>0.55060400376676799</v>
      </c>
      <c r="G1706" s="1063">
        <v>0.11714333820795</v>
      </c>
    </row>
    <row r="1707" spans="1:7" x14ac:dyDescent="0.3">
      <c r="A1707" s="6" t="s">
        <v>1009</v>
      </c>
      <c r="B1707" s="6"/>
      <c r="C1707" s="1056">
        <v>44</v>
      </c>
      <c r="D1707" s="1056">
        <v>21711.149603878199</v>
      </c>
      <c r="E1707" s="1057">
        <v>4140.8057313475801</v>
      </c>
      <c r="F1707" s="1058">
        <v>0.53907405078016102</v>
      </c>
      <c r="G1707" s="1059">
        <v>0.104241543696953</v>
      </c>
    </row>
    <row r="1708" spans="1:7" x14ac:dyDescent="0.3">
      <c r="A1708" s="11" t="s">
        <v>6276</v>
      </c>
      <c r="B1708" s="11"/>
      <c r="C1708" s="1060">
        <v>35</v>
      </c>
      <c r="D1708" s="1060">
        <v>16299.734205865199</v>
      </c>
      <c r="E1708" s="1061">
        <v>2978.0944901182602</v>
      </c>
      <c r="F1708" s="1062">
        <v>0.40471204451680298</v>
      </c>
      <c r="G1708" s="1063">
        <v>7.3807713094701605E-2</v>
      </c>
    </row>
    <row r="1709" spans="1:7" x14ac:dyDescent="0.3">
      <c r="A1709" s="6" t="s">
        <v>3172</v>
      </c>
      <c r="B1709" s="6"/>
      <c r="C1709" s="1056">
        <v>28</v>
      </c>
      <c r="D1709" s="1056">
        <v>16137.7612579417</v>
      </c>
      <c r="E1709" s="1057">
        <v>5129.7457286676199</v>
      </c>
      <c r="F1709" s="1058">
        <v>0.40069035912717599</v>
      </c>
      <c r="G1709" s="1059">
        <v>0.12653483882674699</v>
      </c>
    </row>
    <row r="1710" spans="1:7" x14ac:dyDescent="0.3">
      <c r="A1710" s="11" t="s">
        <v>6272</v>
      </c>
      <c r="B1710" s="11"/>
      <c r="C1710" s="1060">
        <v>18</v>
      </c>
      <c r="D1710" s="1060">
        <v>14738.4093551191</v>
      </c>
      <c r="E1710" s="1061">
        <v>5774.7951036628201</v>
      </c>
      <c r="F1710" s="1062">
        <v>0.36594534043932297</v>
      </c>
      <c r="G1710" s="1063">
        <v>0.14381766818810901</v>
      </c>
    </row>
    <row r="1711" spans="1:7" x14ac:dyDescent="0.3">
      <c r="A1711" s="6" t="s">
        <v>6274</v>
      </c>
      <c r="B1711" s="6"/>
      <c r="C1711" s="1056">
        <v>36</v>
      </c>
      <c r="D1711" s="1056">
        <v>13185.4377929232</v>
      </c>
      <c r="E1711" s="1057">
        <v>2873.6332974191801</v>
      </c>
      <c r="F1711" s="1058">
        <v>0.32738604320939801</v>
      </c>
      <c r="G1711" s="1059">
        <v>7.0034935742634197E-2</v>
      </c>
    </row>
    <row r="1712" spans="1:7" x14ac:dyDescent="0.3">
      <c r="A1712" s="11" t="s">
        <v>4286</v>
      </c>
      <c r="B1712" s="11"/>
      <c r="C1712" s="1060">
        <v>13</v>
      </c>
      <c r="D1712" s="1060">
        <v>11472.7117121343</v>
      </c>
      <c r="E1712" s="1061">
        <v>4904.5098306462796</v>
      </c>
      <c r="F1712" s="1062">
        <v>0.28486014278067001</v>
      </c>
      <c r="G1712" s="1063">
        <v>0.123259724303327</v>
      </c>
    </row>
    <row r="1713" spans="1:7" x14ac:dyDescent="0.3">
      <c r="A1713" s="6" t="s">
        <v>3036</v>
      </c>
      <c r="B1713" s="6"/>
      <c r="C1713" s="1056">
        <v>12</v>
      </c>
      <c r="D1713" s="1056">
        <v>11238.613306545099</v>
      </c>
      <c r="E1713" s="1057">
        <v>5566.7916844568299</v>
      </c>
      <c r="F1713" s="1058">
        <v>0.27904762810113398</v>
      </c>
      <c r="G1713" s="1059">
        <v>0.13840721955670099</v>
      </c>
    </row>
    <row r="1714" spans="1:7" x14ac:dyDescent="0.3">
      <c r="A1714" s="11" t="s">
        <v>1001</v>
      </c>
      <c r="B1714" s="11"/>
      <c r="C1714" s="1060">
        <v>27</v>
      </c>
      <c r="D1714" s="1060">
        <v>10848.0617760061</v>
      </c>
      <c r="E1714" s="1061">
        <v>3065.9129610857699</v>
      </c>
      <c r="F1714" s="1062">
        <v>0.26935048172946402</v>
      </c>
      <c r="G1714" s="1063">
        <v>7.62327188569486E-2</v>
      </c>
    </row>
    <row r="1715" spans="1:7" x14ac:dyDescent="0.3">
      <c r="A1715" s="6" t="s">
        <v>1003</v>
      </c>
      <c r="B1715" s="6"/>
      <c r="C1715" s="1056">
        <v>29</v>
      </c>
      <c r="D1715" s="1056">
        <v>9949.9838432937795</v>
      </c>
      <c r="E1715" s="1057">
        <v>3147.4916525029098</v>
      </c>
      <c r="F1715" s="1058">
        <v>0.24705177724183799</v>
      </c>
      <c r="G1715" s="1059">
        <v>7.9274623751017501E-2</v>
      </c>
    </row>
    <row r="1716" spans="1:7" x14ac:dyDescent="0.3">
      <c r="A1716" s="11" t="s">
        <v>3034</v>
      </c>
      <c r="B1716" s="11"/>
      <c r="C1716" s="1060">
        <v>11</v>
      </c>
      <c r="D1716" s="1060">
        <v>9054.1493981428393</v>
      </c>
      <c r="E1716" s="1061">
        <v>3234.3893276210401</v>
      </c>
      <c r="F1716" s="1062">
        <v>0.224808777124992</v>
      </c>
      <c r="G1716" s="1063">
        <v>7.9148032592028794E-2</v>
      </c>
    </row>
    <row r="1717" spans="1:7" x14ac:dyDescent="0.3">
      <c r="A1717" s="6" t="s">
        <v>1174</v>
      </c>
      <c r="B1717" s="6"/>
      <c r="C1717" s="1056">
        <v>9</v>
      </c>
      <c r="D1717" s="1056">
        <v>8434.9414745501999</v>
      </c>
      <c r="E1717" s="1057">
        <v>5653.5795324662404</v>
      </c>
      <c r="F1717" s="1058">
        <v>0.209434237787535</v>
      </c>
      <c r="G1717" s="1059">
        <v>0.14045371548391899</v>
      </c>
    </row>
    <row r="1718" spans="1:7" x14ac:dyDescent="0.3">
      <c r="A1718" s="11" t="s">
        <v>3038</v>
      </c>
      <c r="B1718" s="11"/>
      <c r="C1718" s="1060">
        <v>18</v>
      </c>
      <c r="D1718" s="1060">
        <v>8158.1960419592697</v>
      </c>
      <c r="E1718" s="1061">
        <v>5760.1538230981196</v>
      </c>
      <c r="F1718" s="1062">
        <v>0.20256282452275501</v>
      </c>
      <c r="G1718" s="1063">
        <v>0.14288004930899301</v>
      </c>
    </row>
    <row r="1719" spans="1:7" x14ac:dyDescent="0.3">
      <c r="A1719" s="6" t="s">
        <v>1051</v>
      </c>
      <c r="B1719" s="6"/>
      <c r="C1719" s="1056">
        <v>21</v>
      </c>
      <c r="D1719" s="1056">
        <v>8062.7604207308405</v>
      </c>
      <c r="E1719" s="1057">
        <v>2675.9583086177499</v>
      </c>
      <c r="F1719" s="1058">
        <v>0.20019321868137899</v>
      </c>
      <c r="G1719" s="1059">
        <v>6.68777324414222E-2</v>
      </c>
    </row>
    <row r="1720" spans="1:7" x14ac:dyDescent="0.3">
      <c r="A1720" s="11" t="s">
        <v>3193</v>
      </c>
      <c r="B1720" s="11"/>
      <c r="C1720" s="1060">
        <v>9</v>
      </c>
      <c r="D1720" s="1060">
        <v>7956.3117191737201</v>
      </c>
      <c r="E1720" s="1061">
        <v>2236.1593378891198</v>
      </c>
      <c r="F1720" s="1062">
        <v>0.19755016505245401</v>
      </c>
      <c r="G1720" s="1063">
        <v>5.5902933993251601E-2</v>
      </c>
    </row>
    <row r="1721" spans="1:7" x14ac:dyDescent="0.3">
      <c r="A1721" s="6" t="s">
        <v>997</v>
      </c>
      <c r="B1721" s="6"/>
      <c r="C1721" s="1056">
        <v>14</v>
      </c>
      <c r="D1721" s="1056">
        <v>7132.7849646940604</v>
      </c>
      <c r="E1721" s="1057">
        <v>2862.1423594740099</v>
      </c>
      <c r="F1721" s="1058">
        <v>0.17710251895526599</v>
      </c>
      <c r="G1721" s="1059">
        <v>7.1009928940317393E-2</v>
      </c>
    </row>
    <row r="1722" spans="1:7" x14ac:dyDescent="0.3">
      <c r="A1722" s="11" t="s">
        <v>6475</v>
      </c>
      <c r="B1722" s="11"/>
      <c r="C1722" s="1060">
        <v>11</v>
      </c>
      <c r="D1722" s="1060">
        <v>6703.8614691589801</v>
      </c>
      <c r="E1722" s="1061">
        <v>2720.1724309227602</v>
      </c>
      <c r="F1722" s="1062">
        <v>0.16645262107184999</v>
      </c>
      <c r="G1722" s="1063">
        <v>6.7477234306994205E-2</v>
      </c>
    </row>
    <row r="1723" spans="1:7" x14ac:dyDescent="0.3">
      <c r="A1723" s="6" t="s">
        <v>1047</v>
      </c>
      <c r="B1723" s="6"/>
      <c r="C1723" s="1056">
        <v>5</v>
      </c>
      <c r="D1723" s="1056">
        <v>6527.8277199410204</v>
      </c>
      <c r="E1723" s="1057">
        <v>2735.54160442379</v>
      </c>
      <c r="F1723" s="1058">
        <v>0.16208181491942</v>
      </c>
      <c r="G1723" s="1059">
        <v>6.7682965238760495E-2</v>
      </c>
    </row>
    <row r="1724" spans="1:7" x14ac:dyDescent="0.3">
      <c r="A1724" s="11" t="s">
        <v>1007</v>
      </c>
      <c r="B1724" s="11"/>
      <c r="C1724" s="1060">
        <v>22</v>
      </c>
      <c r="D1724" s="1060">
        <v>6221.9117161295699</v>
      </c>
      <c r="E1724" s="1061">
        <v>2867.1333403015301</v>
      </c>
      <c r="F1724" s="1062">
        <v>0.15448611490436201</v>
      </c>
      <c r="G1724" s="1063">
        <v>7.0679478224022693E-2</v>
      </c>
    </row>
    <row r="1725" spans="1:7" x14ac:dyDescent="0.3">
      <c r="A1725" s="6" t="s">
        <v>1013</v>
      </c>
      <c r="B1725" s="6"/>
      <c r="C1725" s="1056">
        <v>6</v>
      </c>
      <c r="D1725" s="1056">
        <v>6040.6124141570599</v>
      </c>
      <c r="E1725" s="1057">
        <v>2957.8184966304302</v>
      </c>
      <c r="F1725" s="1058">
        <v>0.14998456842243399</v>
      </c>
      <c r="G1725" s="1059">
        <v>7.3992202748855401E-2</v>
      </c>
    </row>
    <row r="1726" spans="1:7" x14ac:dyDescent="0.3">
      <c r="A1726" s="11" t="s">
        <v>1059</v>
      </c>
      <c r="B1726" s="11"/>
      <c r="C1726" s="1060">
        <v>7</v>
      </c>
      <c r="D1726" s="1060">
        <v>5050.6468454094702</v>
      </c>
      <c r="E1726" s="1061">
        <v>3530.9862330784599</v>
      </c>
      <c r="F1726" s="1062">
        <v>0.12540435231161501</v>
      </c>
      <c r="G1726" s="1063">
        <v>8.7508236232864994E-2</v>
      </c>
    </row>
    <row r="1727" spans="1:7" x14ac:dyDescent="0.3">
      <c r="A1727" s="6" t="s">
        <v>1057</v>
      </c>
      <c r="B1727" s="6"/>
      <c r="C1727" s="1056">
        <v>6</v>
      </c>
      <c r="D1727" s="1056">
        <v>4578.8999339246002</v>
      </c>
      <c r="E1727" s="1057">
        <v>1983.71916459658</v>
      </c>
      <c r="F1727" s="1058">
        <v>0.113691176217441</v>
      </c>
      <c r="G1727" s="1059">
        <v>4.8920718094869399E-2</v>
      </c>
    </row>
    <row r="1728" spans="1:7" x14ac:dyDescent="0.3">
      <c r="A1728" s="11" t="s">
        <v>1053</v>
      </c>
      <c r="B1728" s="11"/>
      <c r="C1728" s="1060">
        <v>10</v>
      </c>
      <c r="D1728" s="1060">
        <v>4331.0382973849701</v>
      </c>
      <c r="E1728" s="1061">
        <v>2100.16804719729</v>
      </c>
      <c r="F1728" s="1062">
        <v>0.107536929257688</v>
      </c>
      <c r="G1728" s="1063">
        <v>5.2418813667104998E-2</v>
      </c>
    </row>
    <row r="1729" spans="1:7" x14ac:dyDescent="0.3">
      <c r="A1729" s="6" t="s">
        <v>1171</v>
      </c>
      <c r="B1729" s="6"/>
      <c r="C1729" s="1056">
        <v>4</v>
      </c>
      <c r="D1729" s="1056">
        <v>4302.0487662246996</v>
      </c>
      <c r="E1729" s="1057">
        <v>2797.9048107604799</v>
      </c>
      <c r="F1729" s="1058">
        <v>0.106817137617083</v>
      </c>
      <c r="G1729" s="1059">
        <v>6.98974500812658E-2</v>
      </c>
    </row>
    <row r="1730" spans="1:7" x14ac:dyDescent="0.3">
      <c r="A1730" s="11" t="s">
        <v>3085</v>
      </c>
      <c r="B1730" s="11"/>
      <c r="C1730" s="1060">
        <v>4</v>
      </c>
      <c r="D1730" s="1060">
        <v>4158.3121042442499</v>
      </c>
      <c r="E1730" s="1061">
        <v>3126.8056792984999</v>
      </c>
      <c r="F1730" s="1062">
        <v>0.103248247621246</v>
      </c>
      <c r="G1730" s="1063">
        <v>7.7558088976462505E-2</v>
      </c>
    </row>
    <row r="1731" spans="1:7" x14ac:dyDescent="0.3">
      <c r="A1731" s="6" t="s">
        <v>6474</v>
      </c>
      <c r="B1731" s="6"/>
      <c r="C1731" s="1056">
        <v>8</v>
      </c>
      <c r="D1731" s="1056">
        <v>3966.5566279534901</v>
      </c>
      <c r="E1731" s="1057">
        <v>2407.9671218736498</v>
      </c>
      <c r="F1731" s="1058">
        <v>9.8487080974184404E-2</v>
      </c>
      <c r="G1731" s="1059">
        <v>5.98659045434113E-2</v>
      </c>
    </row>
    <row r="1732" spans="1:7" x14ac:dyDescent="0.3">
      <c r="A1732" s="11" t="s">
        <v>1081</v>
      </c>
      <c r="B1732" s="11"/>
      <c r="C1732" s="1060">
        <v>2</v>
      </c>
      <c r="D1732" s="1060">
        <v>3946.4201888944799</v>
      </c>
      <c r="E1732" s="1061">
        <v>3964.6479280467302</v>
      </c>
      <c r="F1732" s="1062">
        <v>9.7987105985762393E-2</v>
      </c>
      <c r="G1732" s="1063">
        <v>9.8363277168010105E-2</v>
      </c>
    </row>
    <row r="1733" spans="1:7" x14ac:dyDescent="0.3">
      <c r="A1733" s="6" t="s">
        <v>6476</v>
      </c>
      <c r="B1733" s="6"/>
      <c r="C1733" s="1056">
        <v>7</v>
      </c>
      <c r="D1733" s="1056">
        <v>3935.33153286386</v>
      </c>
      <c r="E1733" s="1057">
        <v>2169.0973260400801</v>
      </c>
      <c r="F1733" s="1058">
        <v>9.7711781701549302E-2</v>
      </c>
      <c r="G1733" s="1059">
        <v>5.38148909134726E-2</v>
      </c>
    </row>
    <row r="1734" spans="1:7" x14ac:dyDescent="0.3">
      <c r="A1734" s="11" t="s">
        <v>3328</v>
      </c>
      <c r="B1734" s="11"/>
      <c r="C1734" s="1060">
        <v>4</v>
      </c>
      <c r="D1734" s="1060">
        <v>3634.57501446983</v>
      </c>
      <c r="E1734" s="1061">
        <v>3047.7090688049502</v>
      </c>
      <c r="F1734" s="1062">
        <v>9.0244188431396005E-2</v>
      </c>
      <c r="G1734" s="1063">
        <v>7.5492649061842707E-2</v>
      </c>
    </row>
    <row r="1735" spans="1:7" x14ac:dyDescent="0.3">
      <c r="A1735" s="6" t="s">
        <v>6280</v>
      </c>
      <c r="B1735" s="6"/>
      <c r="C1735" s="1056">
        <v>11</v>
      </c>
      <c r="D1735" s="1056">
        <v>3539.3773355377298</v>
      </c>
      <c r="E1735" s="1057">
        <v>1371.00749096667</v>
      </c>
      <c r="F1735" s="1058">
        <v>8.7880490546064796E-2</v>
      </c>
      <c r="G1735" s="1059">
        <v>3.4125095584736399E-2</v>
      </c>
    </row>
    <row r="1736" spans="1:7" x14ac:dyDescent="0.3">
      <c r="A1736" s="11" t="s">
        <v>6477</v>
      </c>
      <c r="B1736" s="11"/>
      <c r="C1736" s="1060">
        <v>2</v>
      </c>
      <c r="D1736" s="1060">
        <v>3076.1644943001002</v>
      </c>
      <c r="E1736" s="1061">
        <v>2828.21080979624</v>
      </c>
      <c r="F1736" s="1062">
        <v>7.6379209994124203E-2</v>
      </c>
      <c r="G1736" s="1063">
        <v>7.0270197954330996E-2</v>
      </c>
    </row>
    <row r="1737" spans="1:7" x14ac:dyDescent="0.3">
      <c r="A1737" s="6" t="s">
        <v>1091</v>
      </c>
      <c r="B1737" s="6"/>
      <c r="C1737" s="1056">
        <v>1</v>
      </c>
      <c r="D1737" s="1056">
        <v>2887.3884154457901</v>
      </c>
      <c r="E1737" s="1057">
        <v>2877.8737133053901</v>
      </c>
      <c r="F1737" s="1058">
        <v>7.1692019892490494E-2</v>
      </c>
      <c r="G1737" s="1059">
        <v>7.1446860470026602E-2</v>
      </c>
    </row>
    <row r="1738" spans="1:7" x14ac:dyDescent="0.3">
      <c r="A1738" s="11" t="s">
        <v>3049</v>
      </c>
      <c r="B1738" s="11"/>
      <c r="C1738" s="1060">
        <v>2</v>
      </c>
      <c r="D1738" s="1060">
        <v>2793.9195283639901</v>
      </c>
      <c r="E1738" s="1061">
        <v>2505.2340315298802</v>
      </c>
      <c r="F1738" s="1062">
        <v>6.9371246810437798E-2</v>
      </c>
      <c r="G1738" s="1063">
        <v>6.2203583537182E-2</v>
      </c>
    </row>
    <row r="1739" spans="1:7" x14ac:dyDescent="0.3">
      <c r="A1739" s="6" t="s">
        <v>1067</v>
      </c>
      <c r="B1739" s="6"/>
      <c r="C1739" s="1056">
        <v>4</v>
      </c>
      <c r="D1739" s="1056">
        <v>2761.6460813189901</v>
      </c>
      <c r="E1739" s="1057">
        <v>2313.9069690894398</v>
      </c>
      <c r="F1739" s="1058">
        <v>6.8569917624807006E-2</v>
      </c>
      <c r="G1739" s="1059">
        <v>5.7615883568182098E-2</v>
      </c>
    </row>
    <row r="1740" spans="1:7" x14ac:dyDescent="0.3">
      <c r="A1740" s="11" t="s">
        <v>6478</v>
      </c>
      <c r="B1740" s="11"/>
      <c r="C1740" s="1060">
        <v>1</v>
      </c>
      <c r="D1740" s="1060">
        <v>2726.77602350201</v>
      </c>
      <c r="E1740" s="1061">
        <v>2592.9882670779498</v>
      </c>
      <c r="F1740" s="1062">
        <v>6.7704116243429105E-2</v>
      </c>
      <c r="G1740" s="1063">
        <v>6.4425775570937899E-2</v>
      </c>
    </row>
    <row r="1741" spans="1:7" x14ac:dyDescent="0.3">
      <c r="A1741" s="6" t="s">
        <v>6479</v>
      </c>
      <c r="B1741" s="6"/>
      <c r="C1741" s="1056">
        <v>1</v>
      </c>
      <c r="D1741" s="1056">
        <v>2570.9252114473002</v>
      </c>
      <c r="E1741" s="1057">
        <v>2598.1064658088399</v>
      </c>
      <c r="F1741" s="1058">
        <v>6.3834439597808101E-2</v>
      </c>
      <c r="G1741" s="1059">
        <v>6.4470870210354206E-2</v>
      </c>
    </row>
    <row r="1742" spans="1:7" x14ac:dyDescent="0.3">
      <c r="A1742" s="11" t="s">
        <v>1055</v>
      </c>
      <c r="B1742" s="11"/>
      <c r="C1742" s="1060">
        <v>5</v>
      </c>
      <c r="D1742" s="1060">
        <v>2337.7416412267899</v>
      </c>
      <c r="E1742" s="1061">
        <v>1814.5400763174</v>
      </c>
      <c r="F1742" s="1062">
        <v>5.8044639699248397E-2</v>
      </c>
      <c r="G1742" s="1063">
        <v>4.5089015357219299E-2</v>
      </c>
    </row>
    <row r="1743" spans="1:7" x14ac:dyDescent="0.3">
      <c r="A1743" s="6" t="s">
        <v>3051</v>
      </c>
      <c r="B1743" s="6"/>
      <c r="C1743" s="1056">
        <v>3</v>
      </c>
      <c r="D1743" s="1056">
        <v>2106.4874980751802</v>
      </c>
      <c r="E1743" s="1057">
        <v>1817.48110280573</v>
      </c>
      <c r="F1743" s="1058">
        <v>5.2302746248973901E-2</v>
      </c>
      <c r="G1743" s="1059">
        <v>4.51068945388889E-2</v>
      </c>
    </row>
    <row r="1744" spans="1:7" x14ac:dyDescent="0.3">
      <c r="A1744" s="11" t="s">
        <v>3065</v>
      </c>
      <c r="B1744" s="11"/>
      <c r="C1744" s="1060">
        <v>3</v>
      </c>
      <c r="D1744" s="1060">
        <v>1918.0435987046001</v>
      </c>
      <c r="E1744" s="1061">
        <v>1151.2003190732</v>
      </c>
      <c r="F1744" s="1062">
        <v>4.7623803952875597E-2</v>
      </c>
      <c r="G1744" s="1063">
        <v>2.8750172758903798E-2</v>
      </c>
    </row>
    <row r="1745" spans="1:7" x14ac:dyDescent="0.3">
      <c r="A1745" s="6" t="s">
        <v>1065</v>
      </c>
      <c r="B1745" s="6"/>
      <c r="C1745" s="1056">
        <v>1</v>
      </c>
      <c r="D1745" s="1056">
        <v>1237.5182237228601</v>
      </c>
      <c r="E1745" s="1057">
        <v>1252.0151018826</v>
      </c>
      <c r="F1745" s="1058">
        <v>3.07267912546366E-2</v>
      </c>
      <c r="G1745" s="1059">
        <v>3.1076960310962898E-2</v>
      </c>
    </row>
    <row r="1746" spans="1:7" x14ac:dyDescent="0.3">
      <c r="A1746" s="11" t="s">
        <v>6480</v>
      </c>
      <c r="B1746" s="11"/>
      <c r="C1746" s="1060">
        <v>1</v>
      </c>
      <c r="D1746" s="1060">
        <v>966.67251402408397</v>
      </c>
      <c r="E1746" s="1061">
        <v>967.84339730187401</v>
      </c>
      <c r="F1746" s="1062">
        <v>2.4001864360960499E-2</v>
      </c>
      <c r="G1746" s="1063">
        <v>2.4009875891204201E-2</v>
      </c>
    </row>
    <row r="1747" spans="1:7" x14ac:dyDescent="0.3">
      <c r="A1747" s="6" t="s">
        <v>3161</v>
      </c>
      <c r="B1747" s="6"/>
      <c r="C1747" s="1056">
        <v>2</v>
      </c>
      <c r="D1747" s="1056">
        <v>927.63542855890705</v>
      </c>
      <c r="E1747" s="1057">
        <v>755.97552364676005</v>
      </c>
      <c r="F1747" s="1058">
        <v>2.30325983305424E-2</v>
      </c>
      <c r="G1747" s="1059">
        <v>1.8808614493117701E-2</v>
      </c>
    </row>
    <row r="1748" spans="1:7" x14ac:dyDescent="0.3">
      <c r="A1748" s="11" t="s">
        <v>1061</v>
      </c>
      <c r="B1748" s="11"/>
      <c r="C1748" s="1060">
        <v>4</v>
      </c>
      <c r="D1748" s="1060">
        <v>926.96787510878596</v>
      </c>
      <c r="E1748" s="1061">
        <v>553.67637484116301</v>
      </c>
      <c r="F1748" s="1062">
        <v>2.30160234024969E-2</v>
      </c>
      <c r="G1748" s="1063">
        <v>1.3632031487814399E-2</v>
      </c>
    </row>
    <row r="1749" spans="1:7" x14ac:dyDescent="0.3">
      <c r="A1749" s="6" t="s">
        <v>3067</v>
      </c>
      <c r="B1749" s="6"/>
      <c r="C1749" s="1056">
        <v>4</v>
      </c>
      <c r="D1749" s="1056">
        <v>896.87165751097496</v>
      </c>
      <c r="E1749" s="1057">
        <v>299.35794594492302</v>
      </c>
      <c r="F1749" s="1058">
        <v>2.2268753440766498E-2</v>
      </c>
      <c r="G1749" s="1059">
        <v>7.3306309082539003E-3</v>
      </c>
    </row>
    <row r="1750" spans="1:7" x14ac:dyDescent="0.3">
      <c r="A1750" s="11" t="s">
        <v>1063</v>
      </c>
      <c r="B1750" s="11"/>
      <c r="C1750" s="1060">
        <v>1</v>
      </c>
      <c r="D1750" s="1060">
        <v>877.23253679106006</v>
      </c>
      <c r="E1750" s="1061">
        <v>885.11316832043201</v>
      </c>
      <c r="F1750" s="1062">
        <v>2.1781126550739702E-2</v>
      </c>
      <c r="G1750" s="1063">
        <v>2.1975786789505299E-2</v>
      </c>
    </row>
    <row r="1751" spans="1:7" x14ac:dyDescent="0.3">
      <c r="A1751" s="6" t="s">
        <v>1097</v>
      </c>
      <c r="B1751" s="6"/>
      <c r="C1751" s="1056">
        <v>1</v>
      </c>
      <c r="D1751" s="1056">
        <v>737.26289086686097</v>
      </c>
      <c r="E1751" s="1057">
        <v>752.51931763000198</v>
      </c>
      <c r="F1751" s="1058">
        <v>1.83057691702561E-2</v>
      </c>
      <c r="G1751" s="1059">
        <v>1.8664298980178001E-2</v>
      </c>
    </row>
    <row r="1752" spans="1:7" x14ac:dyDescent="0.3">
      <c r="A1752" s="11" t="s">
        <v>6481</v>
      </c>
      <c r="B1752" s="11"/>
      <c r="C1752" s="1060">
        <v>4</v>
      </c>
      <c r="D1752" s="1060">
        <v>677.02014870004803</v>
      </c>
      <c r="E1752" s="1061">
        <v>680.67750697406802</v>
      </c>
      <c r="F1752" s="1062">
        <v>1.68099801566624E-2</v>
      </c>
      <c r="G1752" s="1063">
        <v>1.6898410351353501E-2</v>
      </c>
    </row>
    <row r="1753" spans="1:7" x14ac:dyDescent="0.3">
      <c r="A1753" s="6" t="s">
        <v>6482</v>
      </c>
      <c r="B1753" s="6"/>
      <c r="C1753" s="1056">
        <v>1</v>
      </c>
      <c r="D1753" s="1056">
        <v>669.63395225177101</v>
      </c>
      <c r="E1753" s="1057">
        <v>672.79897344356596</v>
      </c>
      <c r="F1753" s="1058">
        <v>1.6626585591571399E-2</v>
      </c>
      <c r="G1753" s="1059">
        <v>1.6709294866558699E-2</v>
      </c>
    </row>
    <row r="1754" spans="1:7" x14ac:dyDescent="0.3">
      <c r="A1754" s="11" t="s">
        <v>6483</v>
      </c>
      <c r="B1754" s="11"/>
      <c r="C1754" s="1060">
        <v>1</v>
      </c>
      <c r="D1754" s="1060">
        <v>641.54417285291595</v>
      </c>
      <c r="E1754" s="1061">
        <v>666.06089965136005</v>
      </c>
      <c r="F1754" s="1062">
        <v>1.5929134215557798E-2</v>
      </c>
      <c r="G1754" s="1063">
        <v>1.65491278660546E-2</v>
      </c>
    </row>
    <row r="1755" spans="1:7" x14ac:dyDescent="0.3">
      <c r="A1755" s="6" t="s">
        <v>6484</v>
      </c>
      <c r="B1755" s="6"/>
      <c r="C1755" s="1056">
        <v>2</v>
      </c>
      <c r="D1755" s="1056">
        <v>637.91717322993702</v>
      </c>
      <c r="E1755" s="1057">
        <v>435.07915500866898</v>
      </c>
      <c r="F1755" s="1058">
        <v>1.58390781192842E-2</v>
      </c>
      <c r="G1755" s="1059">
        <v>1.0762638271285501E-2</v>
      </c>
    </row>
    <row r="1756" spans="1:7" x14ac:dyDescent="0.3">
      <c r="A1756" s="11" t="s">
        <v>3394</v>
      </c>
      <c r="B1756" s="11"/>
      <c r="C1756" s="1060">
        <v>1</v>
      </c>
      <c r="D1756" s="1060">
        <v>613.60688487963898</v>
      </c>
      <c r="E1756" s="1061">
        <v>623.40206186297496</v>
      </c>
      <c r="F1756" s="1062">
        <v>1.52354691047579E-2</v>
      </c>
      <c r="G1756" s="1063">
        <v>1.5469415838632801E-2</v>
      </c>
    </row>
    <row r="1757" spans="1:7" x14ac:dyDescent="0.3">
      <c r="A1757" s="6" t="s">
        <v>3040</v>
      </c>
      <c r="B1757" s="6"/>
      <c r="C1757" s="1056">
        <v>2</v>
      </c>
      <c r="D1757" s="1056">
        <v>499.95174853197699</v>
      </c>
      <c r="E1757" s="1057">
        <v>500.09527581193697</v>
      </c>
      <c r="F1757" s="1058">
        <v>1.24134842784933E-2</v>
      </c>
      <c r="G1757" s="1059">
        <v>1.2416924255518699E-2</v>
      </c>
    </row>
    <row r="1758" spans="1:7" x14ac:dyDescent="0.3">
      <c r="A1758" s="11" t="s">
        <v>3055</v>
      </c>
      <c r="B1758" s="11"/>
      <c r="C1758" s="1060">
        <v>1</v>
      </c>
      <c r="D1758" s="1060">
        <v>413.50326233263098</v>
      </c>
      <c r="E1758" s="1061">
        <v>415.72728715068399</v>
      </c>
      <c r="F1758" s="1062">
        <v>1.0267023290035499E-2</v>
      </c>
      <c r="G1758" s="1063">
        <v>1.03294253429916E-2</v>
      </c>
    </row>
    <row r="1759" spans="1:7" x14ac:dyDescent="0.3">
      <c r="A1759" s="6" t="s">
        <v>6485</v>
      </c>
      <c r="B1759" s="6"/>
      <c r="C1759" s="1056">
        <v>1</v>
      </c>
      <c r="D1759" s="1056">
        <v>362.32938645210498</v>
      </c>
      <c r="E1759" s="1057">
        <v>374.40224057981101</v>
      </c>
      <c r="F1759" s="1058">
        <v>8.9964084645493408E-3</v>
      </c>
      <c r="G1759" s="1059">
        <v>9.2955220469736703E-3</v>
      </c>
    </row>
    <row r="1760" spans="1:7" x14ac:dyDescent="0.3">
      <c r="A1760" s="11" t="s">
        <v>3053</v>
      </c>
      <c r="B1760" s="11"/>
      <c r="C1760" s="1060">
        <v>2</v>
      </c>
      <c r="D1760" s="1060">
        <v>330.53435715436802</v>
      </c>
      <c r="E1760" s="1061">
        <v>231.406570418965</v>
      </c>
      <c r="F1760" s="1062">
        <v>8.2069580876267204E-3</v>
      </c>
      <c r="G1760" s="1063">
        <v>5.7299253980767602E-3</v>
      </c>
    </row>
    <row r="1761" spans="1:7" x14ac:dyDescent="0.3">
      <c r="A1761" s="6" t="s">
        <v>1073</v>
      </c>
      <c r="B1761" s="6"/>
      <c r="C1761" s="1056">
        <v>2</v>
      </c>
      <c r="D1761" s="1056">
        <v>317.75303799454798</v>
      </c>
      <c r="E1761" s="1057">
        <v>318.26168622785298</v>
      </c>
      <c r="F1761" s="1058">
        <v>7.8896060533259899E-3</v>
      </c>
      <c r="G1761" s="1059">
        <v>7.8940863469359693E-3</v>
      </c>
    </row>
    <row r="1762" spans="1:7" x14ac:dyDescent="0.3">
      <c r="A1762" s="11" t="s">
        <v>1077</v>
      </c>
      <c r="B1762" s="11"/>
      <c r="C1762" s="1060">
        <v>1</v>
      </c>
      <c r="D1762" s="1060">
        <v>302.05483359359198</v>
      </c>
      <c r="E1762" s="1061">
        <v>305.50508100040099</v>
      </c>
      <c r="F1762" s="1062">
        <v>7.49982961169129E-3</v>
      </c>
      <c r="G1762" s="1063">
        <v>7.5887553779737998E-3</v>
      </c>
    </row>
    <row r="1763" spans="1:7" x14ac:dyDescent="0.3">
      <c r="A1763" s="6" t="s">
        <v>1071</v>
      </c>
      <c r="B1763" s="6"/>
      <c r="C1763" s="1056">
        <v>1</v>
      </c>
      <c r="D1763" s="1056">
        <v>225.726735684701</v>
      </c>
      <c r="E1763" s="1057">
        <v>228.53808765044599</v>
      </c>
      <c r="F1763" s="1058">
        <v>5.6046514346342396E-3</v>
      </c>
      <c r="G1763" s="1059">
        <v>5.6720399295180704E-3</v>
      </c>
    </row>
    <row r="1764" spans="1:7" x14ac:dyDescent="0.3">
      <c r="A1764" s="11" t="s">
        <v>6486</v>
      </c>
      <c r="B1764" s="11"/>
      <c r="C1764" s="1060">
        <v>1</v>
      </c>
      <c r="D1764" s="1060">
        <v>184.33777021672401</v>
      </c>
      <c r="E1764" s="1061">
        <v>185.52013134443399</v>
      </c>
      <c r="F1764" s="1062">
        <v>4.5769897179816603E-3</v>
      </c>
      <c r="G1764" s="1063">
        <v>4.6091661726389401E-3</v>
      </c>
    </row>
    <row r="1765" spans="1:7" x14ac:dyDescent="0.3">
      <c r="A1765" s="6" t="s">
        <v>6487</v>
      </c>
      <c r="B1765" s="6"/>
      <c r="C1765" s="1056">
        <v>1</v>
      </c>
      <c r="D1765" s="1056">
        <v>158.47754246629</v>
      </c>
      <c r="E1765" s="1057">
        <v>159.91627516675399</v>
      </c>
      <c r="F1765" s="1058">
        <v>3.9348966928829804E-3</v>
      </c>
      <c r="G1765" s="1059">
        <v>3.9708897961803604E-3</v>
      </c>
    </row>
    <row r="1766" spans="1:7" x14ac:dyDescent="0.3">
      <c r="A1766" s="11" t="s">
        <v>4936</v>
      </c>
      <c r="B1766" s="11"/>
      <c r="C1766" s="1060">
        <v>1</v>
      </c>
      <c r="D1766" s="1060">
        <v>147.91620176011</v>
      </c>
      <c r="E1766" s="1061">
        <v>149.04047026875301</v>
      </c>
      <c r="F1766" s="1062">
        <v>3.67266531315296E-3</v>
      </c>
      <c r="G1766" s="1063">
        <v>3.7033809033103402E-3</v>
      </c>
    </row>
    <row r="1767" spans="1:7" x14ac:dyDescent="0.3">
      <c r="A1767" s="6" t="s">
        <v>1075</v>
      </c>
      <c r="B1767" s="6"/>
      <c r="C1767" s="1056">
        <v>1</v>
      </c>
      <c r="D1767" s="1056">
        <v>128.40948245392599</v>
      </c>
      <c r="E1767" s="1057">
        <v>128.18866843545899</v>
      </c>
      <c r="F1767" s="1058">
        <v>3.1883258661096901E-3</v>
      </c>
      <c r="G1767" s="1059">
        <v>3.1790280552523699E-3</v>
      </c>
    </row>
    <row r="1768" spans="1:7" x14ac:dyDescent="0.3">
      <c r="A1768" s="11" t="s">
        <v>6488</v>
      </c>
      <c r="B1768" s="11"/>
      <c r="C1768" s="1060">
        <v>1</v>
      </c>
      <c r="D1768" s="1060">
        <v>76.540637348264198</v>
      </c>
      <c r="E1768" s="1061">
        <v>75.917301397420403</v>
      </c>
      <c r="F1768" s="1062">
        <v>1.9004553963026299E-3</v>
      </c>
      <c r="G1768" s="1063">
        <v>1.8818770958745801E-3</v>
      </c>
    </row>
    <row r="1769" spans="1:7" x14ac:dyDescent="0.3">
      <c r="A1769" s="6" t="s">
        <v>960</v>
      </c>
      <c r="B1769" s="6" t="s">
        <v>961</v>
      </c>
      <c r="C1769" s="1056">
        <v>11579</v>
      </c>
      <c r="D1769" s="1056">
        <v>6171776.6221702797</v>
      </c>
      <c r="E1769" s="1057">
        <v>36668.643839992801</v>
      </c>
      <c r="F1769" s="1058">
        <v>99.747968902978997</v>
      </c>
      <c r="G1769" s="1059">
        <v>9.6136395346656606E-2</v>
      </c>
    </row>
    <row r="1770" spans="1:7" x14ac:dyDescent="0.3">
      <c r="A1770" s="11" t="s">
        <v>956</v>
      </c>
      <c r="B1770" s="11" t="s">
        <v>957</v>
      </c>
      <c r="C1770" s="1060">
        <v>15</v>
      </c>
      <c r="D1770" s="1060">
        <v>11224.079590304</v>
      </c>
      <c r="E1770" s="1061">
        <v>4052.5269987347601</v>
      </c>
      <c r="F1770" s="1062">
        <v>0.18140305627984901</v>
      </c>
      <c r="G1770" s="1063">
        <v>6.5302481782938696E-2</v>
      </c>
    </row>
    <row r="1771" spans="1:7" x14ac:dyDescent="0.3">
      <c r="A1771" s="6" t="s">
        <v>958</v>
      </c>
      <c r="B1771" s="6" t="s">
        <v>959</v>
      </c>
      <c r="C1771" s="1056">
        <v>4</v>
      </c>
      <c r="D1771" s="1056">
        <v>4370.0187132628798</v>
      </c>
      <c r="E1771" s="1057">
        <v>2755.5381251662702</v>
      </c>
      <c r="F1771" s="1058">
        <v>7.0628040741160095E-2</v>
      </c>
      <c r="G1771" s="1059">
        <v>4.45762480991993E-2</v>
      </c>
    </row>
    <row r="1772" spans="1:7" x14ac:dyDescent="0.3">
      <c r="A1772" s="11" t="s">
        <v>6269</v>
      </c>
      <c r="B1772" s="11" t="s">
        <v>6270</v>
      </c>
      <c r="C1772" s="1060">
        <v>6968</v>
      </c>
      <c r="D1772" s="1060">
        <v>4027489.2795261201</v>
      </c>
      <c r="E1772" s="1061">
        <v>36609.036719491203</v>
      </c>
      <c r="F1772" s="1062">
        <v>39.427748197490097</v>
      </c>
      <c r="G1772" s="1063">
        <v>0.35838999966210799</v>
      </c>
    </row>
    <row r="1773" spans="1:7" x14ac:dyDescent="0.3">
      <c r="A1773" s="6" t="s">
        <v>6269</v>
      </c>
      <c r="B1773" s="6" t="s">
        <v>6271</v>
      </c>
      <c r="C1773" s="1056">
        <v>18566</v>
      </c>
      <c r="D1773" s="1056">
        <v>10214860</v>
      </c>
      <c r="E1773" s="1057">
        <v>0</v>
      </c>
      <c r="F1773" s="1058">
        <v>100</v>
      </c>
      <c r="G1773" s="1059">
        <v>0</v>
      </c>
    </row>
    <row r="1774" spans="1:7" x14ac:dyDescent="0.3">
      <c r="A1774" s="3299" t="s">
        <v>365</v>
      </c>
      <c r="B1774" s="3298"/>
      <c r="C1774" s="3298"/>
      <c r="D1774" s="3298"/>
      <c r="E1774" s="3298"/>
      <c r="F1774" s="3298"/>
      <c r="G1774" s="3298"/>
    </row>
    <row r="1775" spans="1:7" x14ac:dyDescent="0.3">
      <c r="A1775" s="11" t="s">
        <v>1155</v>
      </c>
      <c r="B1775" s="11"/>
      <c r="C1775" s="1068">
        <v>924</v>
      </c>
      <c r="D1775" s="1068">
        <v>526770.33804079401</v>
      </c>
      <c r="E1775" s="1069">
        <v>27188.680312190401</v>
      </c>
      <c r="F1775" s="1070">
        <v>14.1185079412524</v>
      </c>
      <c r="G1775" s="1071">
        <v>0.79109039818049798</v>
      </c>
    </row>
    <row r="1776" spans="1:7" x14ac:dyDescent="0.3">
      <c r="A1776" s="6" t="s">
        <v>1005</v>
      </c>
      <c r="B1776" s="6"/>
      <c r="C1776" s="1064">
        <v>1070</v>
      </c>
      <c r="D1776" s="1064">
        <v>525251.80578172801</v>
      </c>
      <c r="E1776" s="1065">
        <v>15242.4088945556</v>
      </c>
      <c r="F1776" s="1066">
        <v>14.0778082127172</v>
      </c>
      <c r="G1776" s="1067">
        <v>0.41804119314252502</v>
      </c>
    </row>
    <row r="1777" spans="1:7" x14ac:dyDescent="0.3">
      <c r="A1777" s="11" t="s">
        <v>995</v>
      </c>
      <c r="B1777" s="11"/>
      <c r="C1777" s="1068">
        <v>875</v>
      </c>
      <c r="D1777" s="1068">
        <v>450883.277052438</v>
      </c>
      <c r="E1777" s="1069">
        <v>17550.727431467702</v>
      </c>
      <c r="F1777" s="1070">
        <v>12.0845815869567</v>
      </c>
      <c r="G1777" s="1071">
        <v>0.45330244508358503</v>
      </c>
    </row>
    <row r="1778" spans="1:7" x14ac:dyDescent="0.3">
      <c r="A1778" s="6" t="s">
        <v>1157</v>
      </c>
      <c r="B1778" s="6"/>
      <c r="C1778" s="1064">
        <v>482</v>
      </c>
      <c r="D1778" s="1064">
        <v>318312.94569920102</v>
      </c>
      <c r="E1778" s="1065">
        <v>24266.8206853339</v>
      </c>
      <c r="F1778" s="1066">
        <v>8.5314292151916593</v>
      </c>
      <c r="G1778" s="1067">
        <v>0.60428985934146495</v>
      </c>
    </row>
    <row r="1779" spans="1:7" x14ac:dyDescent="0.3">
      <c r="A1779" s="11" t="s">
        <v>3032</v>
      </c>
      <c r="B1779" s="11"/>
      <c r="C1779" s="1068">
        <v>460</v>
      </c>
      <c r="D1779" s="1068">
        <v>299671.39364065602</v>
      </c>
      <c r="E1779" s="1069">
        <v>23791.422242385801</v>
      </c>
      <c r="F1779" s="1070">
        <v>8.0317980063526697</v>
      </c>
      <c r="G1779" s="1071">
        <v>0.59836688824845796</v>
      </c>
    </row>
    <row r="1780" spans="1:7" x14ac:dyDescent="0.3">
      <c r="A1780" s="6" t="s">
        <v>6275</v>
      </c>
      <c r="B1780" s="6"/>
      <c r="C1780" s="1064">
        <v>413</v>
      </c>
      <c r="D1780" s="1064">
        <v>222360.14999373601</v>
      </c>
      <c r="E1780" s="1065">
        <v>11044.598220797099</v>
      </c>
      <c r="F1780" s="1066">
        <v>5.9597006831875197</v>
      </c>
      <c r="G1780" s="1067">
        <v>0.28239546995268999</v>
      </c>
    </row>
    <row r="1781" spans="1:7" x14ac:dyDescent="0.3">
      <c r="A1781" s="11" t="s">
        <v>3047</v>
      </c>
      <c r="B1781" s="11"/>
      <c r="C1781" s="1068">
        <v>212</v>
      </c>
      <c r="D1781" s="1068">
        <v>146458.05515750399</v>
      </c>
      <c r="E1781" s="1069">
        <v>22636.240506647198</v>
      </c>
      <c r="F1781" s="1070">
        <v>3.9253713914344699</v>
      </c>
      <c r="G1781" s="1071">
        <v>0.59458261984465599</v>
      </c>
    </row>
    <row r="1782" spans="1:7" x14ac:dyDescent="0.3">
      <c r="A1782" s="6" t="s">
        <v>3061</v>
      </c>
      <c r="B1782" s="6"/>
      <c r="C1782" s="1064">
        <v>203</v>
      </c>
      <c r="D1782" s="1064">
        <v>142917.046241459</v>
      </c>
      <c r="E1782" s="1065">
        <v>14048.291911827</v>
      </c>
      <c r="F1782" s="1066">
        <v>3.8304652076748398</v>
      </c>
      <c r="G1782" s="1067">
        <v>0.360961843778563</v>
      </c>
    </row>
    <row r="1783" spans="1:7" x14ac:dyDescent="0.3">
      <c r="A1783" s="11" t="s">
        <v>999</v>
      </c>
      <c r="B1783" s="11"/>
      <c r="C1783" s="1068">
        <v>240</v>
      </c>
      <c r="D1783" s="1068">
        <v>124057.203152377</v>
      </c>
      <c r="E1783" s="1069">
        <v>9552.3735508896807</v>
      </c>
      <c r="F1783" s="1070">
        <v>3.3249833587645199</v>
      </c>
      <c r="G1783" s="1071">
        <v>0.26523307030561399</v>
      </c>
    </row>
    <row r="1784" spans="1:7" x14ac:dyDescent="0.3">
      <c r="A1784" s="6" t="s">
        <v>6279</v>
      </c>
      <c r="B1784" s="6"/>
      <c r="C1784" s="1064">
        <v>212</v>
      </c>
      <c r="D1784" s="1064">
        <v>117882.066404741</v>
      </c>
      <c r="E1784" s="1065">
        <v>8276.8915323735691</v>
      </c>
      <c r="F1784" s="1066">
        <v>3.1594772341522499</v>
      </c>
      <c r="G1784" s="1067">
        <v>0.223496692997108</v>
      </c>
    </row>
    <row r="1785" spans="1:7" x14ac:dyDescent="0.3">
      <c r="A1785" s="11" t="s">
        <v>6277</v>
      </c>
      <c r="B1785" s="11"/>
      <c r="C1785" s="1068">
        <v>209</v>
      </c>
      <c r="D1785" s="1068">
        <v>112903.047221635</v>
      </c>
      <c r="E1785" s="1069">
        <v>4442.8277730712898</v>
      </c>
      <c r="F1785" s="1070">
        <v>3.0260294737149902</v>
      </c>
      <c r="G1785" s="1071">
        <v>0.12986078495528899</v>
      </c>
    </row>
    <row r="1786" spans="1:7" x14ac:dyDescent="0.3">
      <c r="A1786" s="6" t="s">
        <v>1159</v>
      </c>
      <c r="B1786" s="6"/>
      <c r="C1786" s="1064">
        <v>155</v>
      </c>
      <c r="D1786" s="1064">
        <v>95551.328479107498</v>
      </c>
      <c r="E1786" s="1065">
        <v>11047.137998738201</v>
      </c>
      <c r="F1786" s="1066">
        <v>2.5609684002841901</v>
      </c>
      <c r="G1786" s="1067">
        <v>0.281772961395588</v>
      </c>
    </row>
    <row r="1787" spans="1:7" x14ac:dyDescent="0.3">
      <c r="A1787" s="11" t="s">
        <v>6273</v>
      </c>
      <c r="B1787" s="11"/>
      <c r="C1787" s="1068">
        <v>128</v>
      </c>
      <c r="D1787" s="1068">
        <v>68963.916285767496</v>
      </c>
      <c r="E1787" s="1069">
        <v>7778.7801807097803</v>
      </c>
      <c r="F1787" s="1070">
        <v>1.8483721072105499</v>
      </c>
      <c r="G1787" s="1071">
        <v>0.21434088463874901</v>
      </c>
    </row>
    <row r="1788" spans="1:7" x14ac:dyDescent="0.3">
      <c r="A1788" s="6" t="s">
        <v>6278</v>
      </c>
      <c r="B1788" s="6"/>
      <c r="C1788" s="1064">
        <v>104</v>
      </c>
      <c r="D1788" s="1064">
        <v>57189.844201297099</v>
      </c>
      <c r="E1788" s="1065">
        <v>9913.2486718997698</v>
      </c>
      <c r="F1788" s="1066">
        <v>1.5328032184159801</v>
      </c>
      <c r="G1788" s="1067">
        <v>0.27012631519094599</v>
      </c>
    </row>
    <row r="1789" spans="1:7" x14ac:dyDescent="0.3">
      <c r="A1789" s="11" t="s">
        <v>1163</v>
      </c>
      <c r="B1789" s="11"/>
      <c r="C1789" s="1068">
        <v>70</v>
      </c>
      <c r="D1789" s="1068">
        <v>54250.884664143297</v>
      </c>
      <c r="E1789" s="1069">
        <v>6793.28081226016</v>
      </c>
      <c r="F1789" s="1070">
        <v>1.4540331727853699</v>
      </c>
      <c r="G1789" s="1071">
        <v>0.18520441590161199</v>
      </c>
    </row>
    <row r="1790" spans="1:7" x14ac:dyDescent="0.3">
      <c r="A1790" s="6" t="s">
        <v>1161</v>
      </c>
      <c r="B1790" s="6"/>
      <c r="C1790" s="1064">
        <v>63</v>
      </c>
      <c r="D1790" s="1064">
        <v>39941.556562089798</v>
      </c>
      <c r="E1790" s="1065">
        <v>5992.4764860508103</v>
      </c>
      <c r="F1790" s="1066">
        <v>1.0705143072504899</v>
      </c>
      <c r="G1790" s="1067">
        <v>0.16093273789326801</v>
      </c>
    </row>
    <row r="1791" spans="1:7" x14ac:dyDescent="0.3">
      <c r="A1791" s="11" t="s">
        <v>1001</v>
      </c>
      <c r="B1791" s="11"/>
      <c r="C1791" s="1068">
        <v>65</v>
      </c>
      <c r="D1791" s="1068">
        <v>33631.855625016797</v>
      </c>
      <c r="E1791" s="1069">
        <v>5069.1831722114503</v>
      </c>
      <c r="F1791" s="1070">
        <v>0.90140159084675398</v>
      </c>
      <c r="G1791" s="1071">
        <v>0.13455709852716199</v>
      </c>
    </row>
    <row r="1792" spans="1:7" x14ac:dyDescent="0.3">
      <c r="A1792" s="6" t="s">
        <v>1011</v>
      </c>
      <c r="B1792" s="6"/>
      <c r="C1792" s="1064">
        <v>76</v>
      </c>
      <c r="D1792" s="1064">
        <v>32684.126442228</v>
      </c>
      <c r="E1792" s="1065">
        <v>5906.2655282673104</v>
      </c>
      <c r="F1792" s="1066">
        <v>0.87600053648381004</v>
      </c>
      <c r="G1792" s="1067">
        <v>0.15373107989400001</v>
      </c>
    </row>
    <row r="1793" spans="1:7" x14ac:dyDescent="0.3">
      <c r="A1793" s="11" t="s">
        <v>6276</v>
      </c>
      <c r="B1793" s="11"/>
      <c r="C1793" s="1068">
        <v>72</v>
      </c>
      <c r="D1793" s="1068">
        <v>30585.032365672301</v>
      </c>
      <c r="E1793" s="1069">
        <v>6267.9493363257798</v>
      </c>
      <c r="F1793" s="1070">
        <v>0.81974057982126902</v>
      </c>
      <c r="G1793" s="1071">
        <v>0.16483892767969199</v>
      </c>
    </row>
    <row r="1794" spans="1:7" x14ac:dyDescent="0.3">
      <c r="A1794" s="6" t="s">
        <v>1009</v>
      </c>
      <c r="B1794" s="6"/>
      <c r="C1794" s="1064">
        <v>46</v>
      </c>
      <c r="D1794" s="1064">
        <v>22402.458913248502</v>
      </c>
      <c r="E1794" s="1065">
        <v>6906.2687940351097</v>
      </c>
      <c r="F1794" s="1066">
        <v>0.60043110104993302</v>
      </c>
      <c r="G1794" s="1067">
        <v>0.189086670927501</v>
      </c>
    </row>
    <row r="1795" spans="1:7" x14ac:dyDescent="0.3">
      <c r="A1795" s="11" t="s">
        <v>6274</v>
      </c>
      <c r="B1795" s="11"/>
      <c r="C1795" s="1068">
        <v>58</v>
      </c>
      <c r="D1795" s="1068">
        <v>22053.949303491001</v>
      </c>
      <c r="E1795" s="1069">
        <v>3445.1625482790701</v>
      </c>
      <c r="F1795" s="1070">
        <v>0.59109034030918095</v>
      </c>
      <c r="G1795" s="1071">
        <v>9.3691161520297606E-2</v>
      </c>
    </row>
    <row r="1796" spans="1:7" x14ac:dyDescent="0.3">
      <c r="A1796" s="6" t="s">
        <v>1049</v>
      </c>
      <c r="B1796" s="6"/>
      <c r="C1796" s="1064">
        <v>37</v>
      </c>
      <c r="D1796" s="1064">
        <v>21773.135466795</v>
      </c>
      <c r="E1796" s="1065">
        <v>7796.9926037976702</v>
      </c>
      <c r="F1796" s="1066">
        <v>0.58356396287845502</v>
      </c>
      <c r="G1796" s="1067">
        <v>0.21114393094255299</v>
      </c>
    </row>
    <row r="1797" spans="1:7" x14ac:dyDescent="0.3">
      <c r="A1797" s="11" t="s">
        <v>3075</v>
      </c>
      <c r="B1797" s="11"/>
      <c r="C1797" s="1068">
        <v>25</v>
      </c>
      <c r="D1797" s="1068">
        <v>20836.9422711306</v>
      </c>
      <c r="E1797" s="1069">
        <v>6200.9965705212599</v>
      </c>
      <c r="F1797" s="1070">
        <v>0.55847209624698402</v>
      </c>
      <c r="G1797" s="1071">
        <v>0.165104448618029</v>
      </c>
    </row>
    <row r="1798" spans="1:7" x14ac:dyDescent="0.3">
      <c r="A1798" s="6" t="s">
        <v>1051</v>
      </c>
      <c r="B1798" s="6"/>
      <c r="C1798" s="1064">
        <v>29</v>
      </c>
      <c r="D1798" s="1064">
        <v>20358.127920362698</v>
      </c>
      <c r="E1798" s="1065">
        <v>6336.9977703731802</v>
      </c>
      <c r="F1798" s="1066">
        <v>0.545638905527012</v>
      </c>
      <c r="G1798" s="1067">
        <v>0.16981173442092901</v>
      </c>
    </row>
    <row r="1799" spans="1:7" x14ac:dyDescent="0.3">
      <c r="A1799" s="11" t="s">
        <v>1152</v>
      </c>
      <c r="B1799" s="11"/>
      <c r="C1799" s="1068">
        <v>27</v>
      </c>
      <c r="D1799" s="1068">
        <v>18292.110606141301</v>
      </c>
      <c r="E1799" s="1069">
        <v>3989.5008517505098</v>
      </c>
      <c r="F1799" s="1070">
        <v>0.49026547283509497</v>
      </c>
      <c r="G1799" s="1071">
        <v>0.10645210763363</v>
      </c>
    </row>
    <row r="1800" spans="1:7" x14ac:dyDescent="0.3">
      <c r="A1800" s="6" t="s">
        <v>6280</v>
      </c>
      <c r="B1800" s="6"/>
      <c r="C1800" s="1064">
        <v>40</v>
      </c>
      <c r="D1800" s="1064">
        <v>17223.429814609499</v>
      </c>
      <c r="E1800" s="1065">
        <v>3975.8853117138901</v>
      </c>
      <c r="F1800" s="1066">
        <v>0.46162267130981999</v>
      </c>
      <c r="G1800" s="1067">
        <v>0.106552331584019</v>
      </c>
    </row>
    <row r="1801" spans="1:7" x14ac:dyDescent="0.3">
      <c r="A1801" s="11" t="s">
        <v>997</v>
      </c>
      <c r="B1801" s="11"/>
      <c r="C1801" s="1068">
        <v>35</v>
      </c>
      <c r="D1801" s="1068">
        <v>16731.7627977068</v>
      </c>
      <c r="E1801" s="1069">
        <v>3813.9223971494898</v>
      </c>
      <c r="F1801" s="1070">
        <v>0.44844500320418701</v>
      </c>
      <c r="G1801" s="1071">
        <v>0.103973078660101</v>
      </c>
    </row>
    <row r="1802" spans="1:7" x14ac:dyDescent="0.3">
      <c r="A1802" s="6" t="s">
        <v>1003</v>
      </c>
      <c r="B1802" s="6"/>
      <c r="C1802" s="1064">
        <v>38</v>
      </c>
      <c r="D1802" s="1064">
        <v>14711.1331039337</v>
      </c>
      <c r="E1802" s="1065">
        <v>2999.10496139005</v>
      </c>
      <c r="F1802" s="1066">
        <v>0.39428805032037501</v>
      </c>
      <c r="G1802" s="1067">
        <v>7.8622441994788905E-2</v>
      </c>
    </row>
    <row r="1803" spans="1:7" x14ac:dyDescent="0.3">
      <c r="A1803" s="11" t="s">
        <v>1169</v>
      </c>
      <c r="B1803" s="11"/>
      <c r="C1803" s="1068">
        <v>20</v>
      </c>
      <c r="D1803" s="1068">
        <v>13882.118835782599</v>
      </c>
      <c r="E1803" s="1069">
        <v>5082.6225773287597</v>
      </c>
      <c r="F1803" s="1070">
        <v>0.37206879520469199</v>
      </c>
      <c r="G1803" s="1071">
        <v>0.136636034840946</v>
      </c>
    </row>
    <row r="1804" spans="1:7" x14ac:dyDescent="0.3">
      <c r="A1804" s="6" t="s">
        <v>1007</v>
      </c>
      <c r="B1804" s="6"/>
      <c r="C1804" s="1064">
        <v>29</v>
      </c>
      <c r="D1804" s="1064">
        <v>13514.0324337317</v>
      </c>
      <c r="E1804" s="1065">
        <v>4230.8689748321704</v>
      </c>
      <c r="F1804" s="1066">
        <v>0.36220333692974099</v>
      </c>
      <c r="G1804" s="1067">
        <v>0.112457518851195</v>
      </c>
    </row>
    <row r="1805" spans="1:7" x14ac:dyDescent="0.3">
      <c r="A1805" s="11" t="s">
        <v>3036</v>
      </c>
      <c r="B1805" s="11"/>
      <c r="C1805" s="1068">
        <v>16</v>
      </c>
      <c r="D1805" s="1068">
        <v>12503.334059614899</v>
      </c>
      <c r="E1805" s="1069">
        <v>4499.4047475378102</v>
      </c>
      <c r="F1805" s="1070">
        <v>0.335114581184208</v>
      </c>
      <c r="G1805" s="1071">
        <v>0.11912191755672399</v>
      </c>
    </row>
    <row r="1806" spans="1:7" x14ac:dyDescent="0.3">
      <c r="A1806" s="6" t="s">
        <v>6283</v>
      </c>
      <c r="B1806" s="6"/>
      <c r="C1806" s="1064">
        <v>12</v>
      </c>
      <c r="D1806" s="1064">
        <v>12047.1723355377</v>
      </c>
      <c r="E1806" s="1065">
        <v>7506.3716929104703</v>
      </c>
      <c r="F1806" s="1066">
        <v>0.32288852656649297</v>
      </c>
      <c r="G1806" s="1067">
        <v>0.20115305410249901</v>
      </c>
    </row>
    <row r="1807" spans="1:7" x14ac:dyDescent="0.3">
      <c r="A1807" s="11" t="s">
        <v>6272</v>
      </c>
      <c r="B1807" s="11"/>
      <c r="C1807" s="1068">
        <v>17</v>
      </c>
      <c r="D1807" s="1068">
        <v>9931.3866225929996</v>
      </c>
      <c r="E1807" s="1069">
        <v>3069.3609904452501</v>
      </c>
      <c r="F1807" s="1070">
        <v>0.26618120036946502</v>
      </c>
      <c r="G1807" s="1071">
        <v>8.04314010304613E-2</v>
      </c>
    </row>
    <row r="1808" spans="1:7" x14ac:dyDescent="0.3">
      <c r="A1808" s="6" t="s">
        <v>1013</v>
      </c>
      <c r="B1808" s="6"/>
      <c r="C1808" s="1064">
        <v>9</v>
      </c>
      <c r="D1808" s="1064">
        <v>8280.5916294113304</v>
      </c>
      <c r="E1808" s="1065">
        <v>4356.4308102771301</v>
      </c>
      <c r="F1808" s="1066">
        <v>0.22193656368908601</v>
      </c>
      <c r="G1808" s="1067">
        <v>0.11769513706866799</v>
      </c>
    </row>
    <row r="1809" spans="1:7" x14ac:dyDescent="0.3">
      <c r="A1809" s="11" t="s">
        <v>1057</v>
      </c>
      <c r="B1809" s="11"/>
      <c r="C1809" s="1068">
        <v>10</v>
      </c>
      <c r="D1809" s="1068">
        <v>7698.8307241124603</v>
      </c>
      <c r="E1809" s="1069">
        <v>2717.18192317067</v>
      </c>
      <c r="F1809" s="1070">
        <v>0.20634419758904901</v>
      </c>
      <c r="G1809" s="1071">
        <v>7.2452768966516895E-2</v>
      </c>
    </row>
    <row r="1810" spans="1:7" x14ac:dyDescent="0.3">
      <c r="A1810" s="6" t="s">
        <v>1047</v>
      </c>
      <c r="B1810" s="6"/>
      <c r="C1810" s="1064">
        <v>9</v>
      </c>
      <c r="D1810" s="1064">
        <v>7290.5325635803301</v>
      </c>
      <c r="E1810" s="1065">
        <v>2837.13122782849</v>
      </c>
      <c r="F1810" s="1066">
        <v>0.19540098305022</v>
      </c>
      <c r="G1810" s="1067">
        <v>7.6761365985115002E-2</v>
      </c>
    </row>
    <row r="1811" spans="1:7" x14ac:dyDescent="0.3">
      <c r="A1811" s="11" t="s">
        <v>1165</v>
      </c>
      <c r="B1811" s="11"/>
      <c r="C1811" s="1068">
        <v>12</v>
      </c>
      <c r="D1811" s="1068">
        <v>6907.2512926388399</v>
      </c>
      <c r="E1811" s="1069">
        <v>2980.0929186684798</v>
      </c>
      <c r="F1811" s="1070">
        <v>0.18512827162981901</v>
      </c>
      <c r="G1811" s="1071">
        <v>7.9272803713506701E-2</v>
      </c>
    </row>
    <row r="1812" spans="1:7" x14ac:dyDescent="0.3">
      <c r="A1812" s="6" t="s">
        <v>3034</v>
      </c>
      <c r="B1812" s="6"/>
      <c r="C1812" s="1064">
        <v>8</v>
      </c>
      <c r="D1812" s="1064">
        <v>6378.6342168685997</v>
      </c>
      <c r="E1812" s="1065">
        <v>4384.6116481556001</v>
      </c>
      <c r="F1812" s="1066">
        <v>0.17096026739119399</v>
      </c>
      <c r="G1812" s="1067">
        <v>0.11722344578397</v>
      </c>
    </row>
    <row r="1813" spans="1:7" x14ac:dyDescent="0.3">
      <c r="A1813" s="11" t="s">
        <v>3038</v>
      </c>
      <c r="B1813" s="11"/>
      <c r="C1813" s="1068">
        <v>13</v>
      </c>
      <c r="D1813" s="1068">
        <v>6084.1622952069201</v>
      </c>
      <c r="E1813" s="1069">
        <v>3311.4708857823398</v>
      </c>
      <c r="F1813" s="1070">
        <v>0.16306782572502199</v>
      </c>
      <c r="G1813" s="1071">
        <v>8.8272760843550194E-2</v>
      </c>
    </row>
    <row r="1814" spans="1:7" x14ac:dyDescent="0.3">
      <c r="A1814" s="6" t="s">
        <v>3083</v>
      </c>
      <c r="B1814" s="6"/>
      <c r="C1814" s="1064">
        <v>13</v>
      </c>
      <c r="D1814" s="1064">
        <v>5940.4438663726796</v>
      </c>
      <c r="E1814" s="1065">
        <v>1830.93782442872</v>
      </c>
      <c r="F1814" s="1066">
        <v>0.15921588184688501</v>
      </c>
      <c r="G1814" s="1067">
        <v>4.9509838859062398E-2</v>
      </c>
    </row>
    <row r="1815" spans="1:7" x14ac:dyDescent="0.3">
      <c r="A1815" s="11" t="s">
        <v>6474</v>
      </c>
      <c r="B1815" s="11"/>
      <c r="C1815" s="1068">
        <v>16</v>
      </c>
      <c r="D1815" s="1068">
        <v>5723.8243593167699</v>
      </c>
      <c r="E1815" s="1069">
        <v>1790.4882994566201</v>
      </c>
      <c r="F1815" s="1070">
        <v>0.15341004197751501</v>
      </c>
      <c r="G1815" s="1071">
        <v>4.7863263414185397E-2</v>
      </c>
    </row>
    <row r="1816" spans="1:7" x14ac:dyDescent="0.3">
      <c r="A1816" s="6" t="s">
        <v>3172</v>
      </c>
      <c r="B1816" s="6"/>
      <c r="C1816" s="1064">
        <v>11</v>
      </c>
      <c r="D1816" s="1064">
        <v>5008.49353472039</v>
      </c>
      <c r="E1816" s="1065">
        <v>2293.9678432642399</v>
      </c>
      <c r="F1816" s="1066">
        <v>0.13423773253190499</v>
      </c>
      <c r="G1816" s="1067">
        <v>6.17813086750044E-2</v>
      </c>
    </row>
    <row r="1817" spans="1:7" x14ac:dyDescent="0.3">
      <c r="A1817" s="11" t="s">
        <v>1167</v>
      </c>
      <c r="B1817" s="11"/>
      <c r="C1817" s="1068">
        <v>6</v>
      </c>
      <c r="D1817" s="1068">
        <v>4978.0077697310398</v>
      </c>
      <c r="E1817" s="1069">
        <v>3655.0433305428101</v>
      </c>
      <c r="F1817" s="1070">
        <v>0.13342065251806401</v>
      </c>
      <c r="G1817" s="1071">
        <v>9.7897792506363907E-2</v>
      </c>
    </row>
    <row r="1818" spans="1:7" x14ac:dyDescent="0.3">
      <c r="A1818" s="6" t="s">
        <v>3067</v>
      </c>
      <c r="B1818" s="6"/>
      <c r="C1818" s="1064">
        <v>6</v>
      </c>
      <c r="D1818" s="1064">
        <v>4698.07196489126</v>
      </c>
      <c r="E1818" s="1065">
        <v>3124.42554759222</v>
      </c>
      <c r="F1818" s="1066">
        <v>0.12591780811271799</v>
      </c>
      <c r="G1818" s="1067">
        <v>8.3483325921571899E-2</v>
      </c>
    </row>
    <row r="1819" spans="1:7" x14ac:dyDescent="0.3">
      <c r="A1819" s="11" t="s">
        <v>1053</v>
      </c>
      <c r="B1819" s="11"/>
      <c r="C1819" s="1068">
        <v>9</v>
      </c>
      <c r="D1819" s="1068">
        <v>4562.7816052231301</v>
      </c>
      <c r="E1819" s="1069">
        <v>2043.1867787135</v>
      </c>
      <c r="F1819" s="1070">
        <v>0.122291753493824</v>
      </c>
      <c r="G1819" s="1071">
        <v>5.4994232401725303E-2</v>
      </c>
    </row>
    <row r="1820" spans="1:7" x14ac:dyDescent="0.3">
      <c r="A1820" s="6" t="s">
        <v>3053</v>
      </c>
      <c r="B1820" s="6"/>
      <c r="C1820" s="1064">
        <v>6</v>
      </c>
      <c r="D1820" s="1064">
        <v>3751.7723517514</v>
      </c>
      <c r="E1820" s="1065">
        <v>3209.19876338834</v>
      </c>
      <c r="F1820" s="1066">
        <v>0.100555069100856</v>
      </c>
      <c r="G1820" s="1067">
        <v>8.5972486567509901E-2</v>
      </c>
    </row>
    <row r="1821" spans="1:7" x14ac:dyDescent="0.3">
      <c r="A1821" s="11" t="s">
        <v>1171</v>
      </c>
      <c r="B1821" s="11"/>
      <c r="C1821" s="1068">
        <v>2</v>
      </c>
      <c r="D1821" s="1068">
        <v>3076.86552071401</v>
      </c>
      <c r="E1821" s="1069">
        <v>2940.5552577388398</v>
      </c>
      <c r="F1821" s="1070">
        <v>8.2466204247442498E-2</v>
      </c>
      <c r="G1821" s="1071">
        <v>7.8849621491600602E-2</v>
      </c>
    </row>
    <row r="1822" spans="1:7" x14ac:dyDescent="0.3">
      <c r="A1822" s="6" t="s">
        <v>4286</v>
      </c>
      <c r="B1822" s="6"/>
      <c r="C1822" s="1064">
        <v>3</v>
      </c>
      <c r="D1822" s="1064">
        <v>3013.7662559221399</v>
      </c>
      <c r="E1822" s="1065">
        <v>2851.5700689782302</v>
      </c>
      <c r="F1822" s="1066">
        <v>8.0775016633567898E-2</v>
      </c>
      <c r="G1822" s="1067">
        <v>7.6400142420414E-2</v>
      </c>
    </row>
    <row r="1823" spans="1:7" x14ac:dyDescent="0.3">
      <c r="A1823" s="11" t="s">
        <v>3051</v>
      </c>
      <c r="B1823" s="11"/>
      <c r="C1823" s="1068">
        <v>5</v>
      </c>
      <c r="D1823" s="1068">
        <v>2801.1769611292002</v>
      </c>
      <c r="E1823" s="1069">
        <v>2393.1223560220401</v>
      </c>
      <c r="F1823" s="1070">
        <v>7.5077194584736107E-2</v>
      </c>
      <c r="G1823" s="1071">
        <v>6.41720125338444E-2</v>
      </c>
    </row>
    <row r="1824" spans="1:7" x14ac:dyDescent="0.3">
      <c r="A1824" s="6" t="s">
        <v>3040</v>
      </c>
      <c r="B1824" s="6"/>
      <c r="C1824" s="1064">
        <v>2</v>
      </c>
      <c r="D1824" s="1064">
        <v>1770.0620825590199</v>
      </c>
      <c r="E1824" s="1065">
        <v>1343.91984186369</v>
      </c>
      <c r="F1824" s="1066">
        <v>4.7441235324803099E-2</v>
      </c>
      <c r="G1824" s="1067">
        <v>3.5959759005957402E-2</v>
      </c>
    </row>
    <row r="1825" spans="1:7" x14ac:dyDescent="0.3">
      <c r="A1825" s="11" t="s">
        <v>3085</v>
      </c>
      <c r="B1825" s="11"/>
      <c r="C1825" s="1068">
        <v>1</v>
      </c>
      <c r="D1825" s="1068">
        <v>1624.27276757204</v>
      </c>
      <c r="E1825" s="1069">
        <v>1636.44115446351</v>
      </c>
      <c r="F1825" s="1070">
        <v>4.3533787519277403E-2</v>
      </c>
      <c r="G1825" s="1071">
        <v>4.3842322909084602E-2</v>
      </c>
    </row>
    <row r="1826" spans="1:7" x14ac:dyDescent="0.3">
      <c r="A1826" s="6" t="s">
        <v>3065</v>
      </c>
      <c r="B1826" s="6"/>
      <c r="C1826" s="1064">
        <v>4</v>
      </c>
      <c r="D1826" s="1064">
        <v>1501.5193685500501</v>
      </c>
      <c r="E1826" s="1065">
        <v>862.26828060524599</v>
      </c>
      <c r="F1826" s="1066">
        <v>4.0243748741935502E-2</v>
      </c>
      <c r="G1826" s="1067">
        <v>2.3354623248379301E-2</v>
      </c>
    </row>
    <row r="1827" spans="1:7" x14ac:dyDescent="0.3">
      <c r="A1827" s="11" t="s">
        <v>1065</v>
      </c>
      <c r="B1827" s="11"/>
      <c r="C1827" s="1068">
        <v>3</v>
      </c>
      <c r="D1827" s="1068">
        <v>856.67739188121902</v>
      </c>
      <c r="E1827" s="1069">
        <v>750.06322547690797</v>
      </c>
      <c r="F1827" s="1070">
        <v>2.2960682648440499E-2</v>
      </c>
      <c r="G1827" s="1071">
        <v>2.01039186224529E-2</v>
      </c>
    </row>
    <row r="1828" spans="1:7" x14ac:dyDescent="0.3">
      <c r="A1828" s="6" t="s">
        <v>1061</v>
      </c>
      <c r="B1828" s="6"/>
      <c r="C1828" s="1064">
        <v>5</v>
      </c>
      <c r="D1828" s="1064">
        <v>560.87195906378702</v>
      </c>
      <c r="E1828" s="1065">
        <v>466.188382711999</v>
      </c>
      <c r="F1828" s="1066">
        <v>1.50325001926259E-2</v>
      </c>
      <c r="G1828" s="1067">
        <v>1.2453697234669801E-2</v>
      </c>
    </row>
    <row r="1829" spans="1:7" x14ac:dyDescent="0.3">
      <c r="A1829" s="11" t="s">
        <v>3063</v>
      </c>
      <c r="B1829" s="11"/>
      <c r="C1829" s="1068">
        <v>1</v>
      </c>
      <c r="D1829" s="1068">
        <v>481.040839052943</v>
      </c>
      <c r="E1829" s="1069">
        <v>484.08064276625601</v>
      </c>
      <c r="F1829" s="1070">
        <v>1.28928650984706E-2</v>
      </c>
      <c r="G1829" s="1071">
        <v>1.2977820273908701E-2</v>
      </c>
    </row>
    <row r="1830" spans="1:7" x14ac:dyDescent="0.3">
      <c r="A1830" s="6" t="s">
        <v>1059</v>
      </c>
      <c r="B1830" s="6"/>
      <c r="C1830" s="1064">
        <v>3</v>
      </c>
      <c r="D1830" s="1064">
        <v>373.14924745101803</v>
      </c>
      <c r="E1830" s="1065">
        <v>258.72867127225999</v>
      </c>
      <c r="F1830" s="1066">
        <v>1.00011527471419E-2</v>
      </c>
      <c r="G1830" s="1067">
        <v>6.9624839476368303E-3</v>
      </c>
    </row>
    <row r="1831" spans="1:7" x14ac:dyDescent="0.3">
      <c r="A1831" s="11" t="s">
        <v>6485</v>
      </c>
      <c r="B1831" s="11"/>
      <c r="C1831" s="1068">
        <v>1</v>
      </c>
      <c r="D1831" s="1068">
        <v>362.32938645210498</v>
      </c>
      <c r="E1831" s="1069">
        <v>374.40224057981101</v>
      </c>
      <c r="F1831" s="1070">
        <v>9.7111586407832191E-3</v>
      </c>
      <c r="G1831" s="1071">
        <v>1.0025557871417999E-2</v>
      </c>
    </row>
    <row r="1832" spans="1:7" x14ac:dyDescent="0.3">
      <c r="A1832" s="6" t="s">
        <v>3055</v>
      </c>
      <c r="B1832" s="6"/>
      <c r="C1832" s="1064">
        <v>1</v>
      </c>
      <c r="D1832" s="1064">
        <v>258.90804980763602</v>
      </c>
      <c r="E1832" s="1065">
        <v>264.44165184924401</v>
      </c>
      <c r="F1832" s="1066">
        <v>6.9392581420941804E-3</v>
      </c>
      <c r="G1832" s="1067">
        <v>7.0875987517083098E-3</v>
      </c>
    </row>
    <row r="1833" spans="1:7" x14ac:dyDescent="0.3">
      <c r="A1833" s="11" t="s">
        <v>6477</v>
      </c>
      <c r="B1833" s="11"/>
      <c r="C1833" s="1068">
        <v>1</v>
      </c>
      <c r="D1833" s="1068">
        <v>171.390113701937</v>
      </c>
      <c r="E1833" s="1069">
        <v>170.58023284926199</v>
      </c>
      <c r="F1833" s="1070">
        <v>4.5936008666561598E-3</v>
      </c>
      <c r="G1833" s="1071">
        <v>4.5751256776106596E-3</v>
      </c>
    </row>
    <row r="1834" spans="1:7" x14ac:dyDescent="0.3">
      <c r="A1834" s="6" t="s">
        <v>6475</v>
      </c>
      <c r="B1834" s="6"/>
      <c r="C1834" s="1064">
        <v>2</v>
      </c>
      <c r="D1834" s="1064">
        <v>134.085256030328</v>
      </c>
      <c r="E1834" s="1065">
        <v>135.30253514610001</v>
      </c>
      <c r="F1834" s="1066">
        <v>3.5937554098242402E-3</v>
      </c>
      <c r="G1834" s="1067">
        <v>3.62159379697334E-3</v>
      </c>
    </row>
    <row r="1835" spans="1:7" x14ac:dyDescent="0.3">
      <c r="A1835" s="11" t="s">
        <v>1071</v>
      </c>
      <c r="B1835" s="11"/>
      <c r="C1835" s="1068">
        <v>1</v>
      </c>
      <c r="D1835" s="1068">
        <v>128.40948245392599</v>
      </c>
      <c r="E1835" s="1069">
        <v>128.18866843545899</v>
      </c>
      <c r="F1835" s="1070">
        <v>3.4416332257824799E-3</v>
      </c>
      <c r="G1835" s="1071">
        <v>3.4315415230273798E-3</v>
      </c>
    </row>
    <row r="1836" spans="1:7" x14ac:dyDescent="0.3">
      <c r="A1836" s="6" t="s">
        <v>6489</v>
      </c>
      <c r="B1836" s="6"/>
      <c r="C1836" s="1064">
        <v>1</v>
      </c>
      <c r="D1836" s="1064">
        <v>117.487008566889</v>
      </c>
      <c r="E1836" s="1065">
        <v>117.044088539041</v>
      </c>
      <c r="F1836" s="1066">
        <v>3.1488888869766899E-3</v>
      </c>
      <c r="G1836" s="1067">
        <v>3.1328196627644399E-3</v>
      </c>
    </row>
    <row r="1837" spans="1:7" x14ac:dyDescent="0.3">
      <c r="A1837" s="11" t="s">
        <v>960</v>
      </c>
      <c r="B1837" s="11" t="s">
        <v>961</v>
      </c>
      <c r="C1837" s="1068">
        <v>11910</v>
      </c>
      <c r="D1837" s="1068">
        <v>6463934.32538494</v>
      </c>
      <c r="E1837" s="1069">
        <v>37973.735816954999</v>
      </c>
      <c r="F1837" s="1070">
        <v>99.693647173923793</v>
      </c>
      <c r="G1837" s="1071">
        <v>6.5747738472195005E-2</v>
      </c>
    </row>
    <row r="1838" spans="1:7" x14ac:dyDescent="0.3">
      <c r="A1838" s="6" t="s">
        <v>974</v>
      </c>
      <c r="B1838" s="6" t="s">
        <v>975</v>
      </c>
      <c r="C1838" s="1064">
        <v>12</v>
      </c>
      <c r="D1838" s="1064">
        <v>8982.5331366488899</v>
      </c>
      <c r="E1838" s="1065">
        <v>4198.14468835152</v>
      </c>
      <c r="F1838" s="1066">
        <v>0.138538147848497</v>
      </c>
      <c r="G1838" s="1067">
        <v>6.5006601131498504E-2</v>
      </c>
    </row>
    <row r="1839" spans="1:7" x14ac:dyDescent="0.3">
      <c r="A1839" s="11" t="s">
        <v>956</v>
      </c>
      <c r="B1839" s="11" t="s">
        <v>1025</v>
      </c>
      <c r="C1839" s="1068">
        <v>15</v>
      </c>
      <c r="D1839" s="1068">
        <v>6273.4718391711804</v>
      </c>
      <c r="E1839" s="1069">
        <v>2502.62984923457</v>
      </c>
      <c r="F1839" s="1070">
        <v>9.6756132814303106E-2</v>
      </c>
      <c r="G1839" s="1071">
        <v>3.8277639227049999E-2</v>
      </c>
    </row>
    <row r="1840" spans="1:7" x14ac:dyDescent="0.3">
      <c r="A1840" s="6" t="s">
        <v>958</v>
      </c>
      <c r="B1840" s="6" t="s">
        <v>1019</v>
      </c>
      <c r="C1840" s="1064">
        <v>4</v>
      </c>
      <c r="D1840" s="1064">
        <v>4607.2922781970801</v>
      </c>
      <c r="E1840" s="1065">
        <v>3011.9396078629002</v>
      </c>
      <c r="F1840" s="1066">
        <v>7.10585454134188E-2</v>
      </c>
      <c r="G1840" s="1067">
        <v>4.6584798501860501E-2</v>
      </c>
    </row>
    <row r="1841" spans="1:7" x14ac:dyDescent="0.3">
      <c r="A1841" s="11" t="s">
        <v>6269</v>
      </c>
      <c r="B1841" s="11" t="s">
        <v>6270</v>
      </c>
      <c r="C1841" s="1068">
        <v>6626</v>
      </c>
      <c r="D1841" s="1068">
        <v>3731062.377361</v>
      </c>
      <c r="E1841" s="1069">
        <v>37011.199227720601</v>
      </c>
      <c r="F1841" s="1070">
        <v>36.525829794642497</v>
      </c>
      <c r="G1841" s="1071">
        <v>0.362327033632527</v>
      </c>
    </row>
    <row r="1842" spans="1:7" x14ac:dyDescent="0.3">
      <c r="A1842" s="6" t="s">
        <v>6269</v>
      </c>
      <c r="B1842" s="6" t="s">
        <v>6271</v>
      </c>
      <c r="C1842" s="1064">
        <v>18567</v>
      </c>
      <c r="D1842" s="1064">
        <v>10214860</v>
      </c>
      <c r="E1842" s="1065">
        <v>0</v>
      </c>
      <c r="F1842" s="1066">
        <v>100</v>
      </c>
      <c r="G1842" s="1067">
        <v>0</v>
      </c>
    </row>
    <row r="1843" spans="1:7" x14ac:dyDescent="0.3">
      <c r="A1843" s="3299" t="s">
        <v>471</v>
      </c>
      <c r="B1843" s="3298"/>
      <c r="C1843" s="3298"/>
      <c r="D1843" s="3298"/>
      <c r="E1843" s="3298"/>
      <c r="F1843" s="3298"/>
      <c r="G1843" s="3298"/>
    </row>
    <row r="1844" spans="1:7" x14ac:dyDescent="0.3">
      <c r="A1844" s="11" t="s">
        <v>1152</v>
      </c>
      <c r="B1844" s="11"/>
      <c r="C1844" s="1076">
        <v>26</v>
      </c>
      <c r="D1844" s="1076">
        <v>27330.6979786589</v>
      </c>
      <c r="E1844" s="1077">
        <v>7855.98579161827</v>
      </c>
      <c r="F1844" s="1078">
        <v>22.1712073925742</v>
      </c>
      <c r="G1844" s="1079">
        <v>5.8615455720266496</v>
      </c>
    </row>
    <row r="1845" spans="1:7" x14ac:dyDescent="0.3">
      <c r="A1845" s="6" t="s">
        <v>995</v>
      </c>
      <c r="B1845" s="6"/>
      <c r="C1845" s="1072">
        <v>19</v>
      </c>
      <c r="D1845" s="1072">
        <v>20334.341816024498</v>
      </c>
      <c r="E1845" s="1073">
        <v>5125.3667450482099</v>
      </c>
      <c r="F1845" s="1074">
        <v>16.495623710254598</v>
      </c>
      <c r="G1845" s="1075">
        <v>4.6083394982699</v>
      </c>
    </row>
    <row r="1846" spans="1:7" x14ac:dyDescent="0.3">
      <c r="A1846" s="11" t="s">
        <v>1155</v>
      </c>
      <c r="B1846" s="11"/>
      <c r="C1846" s="1076">
        <v>11</v>
      </c>
      <c r="D1846" s="1076">
        <v>14094.8598936491</v>
      </c>
      <c r="E1846" s="1077">
        <v>4559.9659284114396</v>
      </c>
      <c r="F1846" s="1078">
        <v>11.4340315097473</v>
      </c>
      <c r="G1846" s="1079">
        <v>3.5928125886679201</v>
      </c>
    </row>
    <row r="1847" spans="1:7" x14ac:dyDescent="0.3">
      <c r="A1847" s="6" t="s">
        <v>1163</v>
      </c>
      <c r="B1847" s="6"/>
      <c r="C1847" s="1072">
        <v>9</v>
      </c>
      <c r="D1847" s="1072">
        <v>11275.741819999401</v>
      </c>
      <c r="E1847" s="1073">
        <v>5017.4024417526898</v>
      </c>
      <c r="F1847" s="1074">
        <v>9.1471066926845204</v>
      </c>
      <c r="G1847" s="1075">
        <v>3.8161131584027199</v>
      </c>
    </row>
    <row r="1848" spans="1:7" x14ac:dyDescent="0.3">
      <c r="A1848" s="11" t="s">
        <v>1005</v>
      </c>
      <c r="B1848" s="11"/>
      <c r="C1848" s="1076">
        <v>12</v>
      </c>
      <c r="D1848" s="1076">
        <v>9402.0549847856801</v>
      </c>
      <c r="E1848" s="1077">
        <v>4417.3714240304998</v>
      </c>
      <c r="F1848" s="1078">
        <v>7.6271345556868404</v>
      </c>
      <c r="G1848" s="1079">
        <v>3.6077662219217901</v>
      </c>
    </row>
    <row r="1849" spans="1:7" x14ac:dyDescent="0.3">
      <c r="A1849" s="6" t="s">
        <v>1157</v>
      </c>
      <c r="B1849" s="6"/>
      <c r="C1849" s="1072">
        <v>9</v>
      </c>
      <c r="D1849" s="1072">
        <v>9233.6449561545905</v>
      </c>
      <c r="E1849" s="1073">
        <v>5443.6669860697202</v>
      </c>
      <c r="F1849" s="1074">
        <v>7.4905169810209804</v>
      </c>
      <c r="G1849" s="1075">
        <v>4.5102731646872503</v>
      </c>
    </row>
    <row r="1850" spans="1:7" x14ac:dyDescent="0.3">
      <c r="A1850" s="11" t="s">
        <v>6275</v>
      </c>
      <c r="B1850" s="11"/>
      <c r="C1850" s="1076">
        <v>12</v>
      </c>
      <c r="D1850" s="1076">
        <v>9233.3627713571295</v>
      </c>
      <c r="E1850" s="1077">
        <v>3492.8312028219202</v>
      </c>
      <c r="F1850" s="1078">
        <v>7.4902880670842702</v>
      </c>
      <c r="G1850" s="1079">
        <v>2.71797988548491</v>
      </c>
    </row>
    <row r="1851" spans="1:7" x14ac:dyDescent="0.3">
      <c r="A1851" s="6" t="s">
        <v>6274</v>
      </c>
      <c r="B1851" s="6"/>
      <c r="C1851" s="1072">
        <v>3</v>
      </c>
      <c r="D1851" s="1072">
        <v>3500.3547057138098</v>
      </c>
      <c r="E1851" s="1073">
        <v>3530.4408460530199</v>
      </c>
      <c r="F1851" s="1074">
        <v>2.8395575622895999</v>
      </c>
      <c r="G1851" s="1075">
        <v>2.8449904520745402</v>
      </c>
    </row>
    <row r="1852" spans="1:7" x14ac:dyDescent="0.3">
      <c r="A1852" s="11" t="s">
        <v>1065</v>
      </c>
      <c r="B1852" s="11"/>
      <c r="C1852" s="1076">
        <v>1</v>
      </c>
      <c r="D1852" s="1076">
        <v>2726.77602350201</v>
      </c>
      <c r="E1852" s="1077">
        <v>2592.9882670779498</v>
      </c>
      <c r="F1852" s="1078">
        <v>2.21201510394534</v>
      </c>
      <c r="G1852" s="1079">
        <v>2.07089606055131</v>
      </c>
    </row>
    <row r="1853" spans="1:7" x14ac:dyDescent="0.3">
      <c r="A1853" s="6" t="s">
        <v>6277</v>
      </c>
      <c r="B1853" s="6"/>
      <c r="C1853" s="1072">
        <v>2</v>
      </c>
      <c r="D1853" s="1072">
        <v>2196.77540149161</v>
      </c>
      <c r="E1853" s="1073">
        <v>2218.5823107389801</v>
      </c>
      <c r="F1853" s="1074">
        <v>1.7820680269273499</v>
      </c>
      <c r="G1853" s="1075">
        <v>1.8053232688266501</v>
      </c>
    </row>
    <row r="1854" spans="1:7" x14ac:dyDescent="0.3">
      <c r="A1854" s="11" t="s">
        <v>6278</v>
      </c>
      <c r="B1854" s="11"/>
      <c r="C1854" s="1076">
        <v>1</v>
      </c>
      <c r="D1854" s="1076">
        <v>2189.07862017362</v>
      </c>
      <c r="E1854" s="1077">
        <v>2189.3352472872398</v>
      </c>
      <c r="F1854" s="1078">
        <v>1.7758242443869401</v>
      </c>
      <c r="G1854" s="1079">
        <v>1.77341438512438</v>
      </c>
    </row>
    <row r="1855" spans="1:7" x14ac:dyDescent="0.3">
      <c r="A1855" s="6" t="s">
        <v>6276</v>
      </c>
      <c r="B1855" s="6"/>
      <c r="C1855" s="1072">
        <v>1</v>
      </c>
      <c r="D1855" s="1072">
        <v>2095.4869253593401</v>
      </c>
      <c r="E1855" s="1073">
        <v>2107.3304140774499</v>
      </c>
      <c r="F1855" s="1074">
        <v>1.6999007945881</v>
      </c>
      <c r="G1855" s="1075">
        <v>1.71239662860179</v>
      </c>
    </row>
    <row r="1856" spans="1:7" x14ac:dyDescent="0.3">
      <c r="A1856" s="11" t="s">
        <v>6273</v>
      </c>
      <c r="B1856" s="11"/>
      <c r="C1856" s="1076">
        <v>2</v>
      </c>
      <c r="D1856" s="1076">
        <v>1794.26807616816</v>
      </c>
      <c r="E1856" s="1077">
        <v>1457.3021941101199</v>
      </c>
      <c r="F1856" s="1078">
        <v>1.4555460554158699</v>
      </c>
      <c r="G1856" s="1079">
        <v>1.21610889946866</v>
      </c>
    </row>
    <row r="1857" spans="1:7" x14ac:dyDescent="0.3">
      <c r="A1857" s="6" t="s">
        <v>1159</v>
      </c>
      <c r="B1857" s="6"/>
      <c r="C1857" s="1072">
        <v>3</v>
      </c>
      <c r="D1857" s="1072">
        <v>1729.1074270828401</v>
      </c>
      <c r="E1857" s="1073">
        <v>1171.51954551515</v>
      </c>
      <c r="F1857" s="1074">
        <v>1.4026864370543699</v>
      </c>
      <c r="G1857" s="1075">
        <v>0.94644314350610304</v>
      </c>
    </row>
    <row r="1858" spans="1:7" x14ac:dyDescent="0.3">
      <c r="A1858" s="11" t="s">
        <v>3061</v>
      </c>
      <c r="B1858" s="11"/>
      <c r="C1858" s="1076">
        <v>3</v>
      </c>
      <c r="D1858" s="1076">
        <v>1664.5914786301</v>
      </c>
      <c r="E1858" s="1077">
        <v>1097.2038285487299</v>
      </c>
      <c r="F1858" s="1078">
        <v>1.3503498127064899</v>
      </c>
      <c r="G1858" s="1079">
        <v>0.89464286667045501</v>
      </c>
    </row>
    <row r="1859" spans="1:7" x14ac:dyDescent="0.3">
      <c r="A1859" s="6" t="s">
        <v>3047</v>
      </c>
      <c r="B1859" s="6"/>
      <c r="C1859" s="1072">
        <v>2</v>
      </c>
      <c r="D1859" s="1072">
        <v>1608.7069692090699</v>
      </c>
      <c r="E1859" s="1073">
        <v>1633.15504854407</v>
      </c>
      <c r="F1859" s="1074">
        <v>1.3050151838809301</v>
      </c>
      <c r="G1859" s="1075">
        <v>1.31334999223393</v>
      </c>
    </row>
    <row r="1860" spans="1:7" x14ac:dyDescent="0.3">
      <c r="A1860" s="11" t="s">
        <v>1161</v>
      </c>
      <c r="B1860" s="11"/>
      <c r="C1860" s="1076">
        <v>2</v>
      </c>
      <c r="D1860" s="1076">
        <v>1487.2287940311301</v>
      </c>
      <c r="E1860" s="1077">
        <v>1494.55360734946</v>
      </c>
      <c r="F1860" s="1078">
        <v>1.2064696649320701</v>
      </c>
      <c r="G1860" s="1079">
        <v>1.23622566658051</v>
      </c>
    </row>
    <row r="1861" spans="1:7" x14ac:dyDescent="0.3">
      <c r="A1861" s="6" t="s">
        <v>999</v>
      </c>
      <c r="B1861" s="6"/>
      <c r="C1861" s="1072">
        <v>1</v>
      </c>
      <c r="D1861" s="1072">
        <v>637.08740720881701</v>
      </c>
      <c r="E1861" s="1073">
        <v>639.25864207552604</v>
      </c>
      <c r="F1861" s="1074">
        <v>0.51681801333626898</v>
      </c>
      <c r="G1861" s="1075">
        <v>0.51516223691180796</v>
      </c>
    </row>
    <row r="1862" spans="1:7" x14ac:dyDescent="0.3">
      <c r="A1862" s="11" t="s">
        <v>6279</v>
      </c>
      <c r="B1862" s="11"/>
      <c r="C1862" s="1076">
        <v>1</v>
      </c>
      <c r="D1862" s="1076">
        <v>409.56062237720801</v>
      </c>
      <c r="E1862" s="1077">
        <v>408.47661768754801</v>
      </c>
      <c r="F1862" s="1078">
        <v>0.33224374678053598</v>
      </c>
      <c r="G1862" s="1079">
        <v>0.33212156753118599</v>
      </c>
    </row>
    <row r="1863" spans="1:7" x14ac:dyDescent="0.3">
      <c r="A1863" s="6" t="s">
        <v>6272</v>
      </c>
      <c r="B1863" s="6"/>
      <c r="C1863" s="1072">
        <v>1</v>
      </c>
      <c r="D1863" s="1072">
        <v>327.40373971808998</v>
      </c>
      <c r="E1863" s="1073">
        <v>329.53690541642197</v>
      </c>
      <c r="F1863" s="1074">
        <v>0.26559644470339799</v>
      </c>
      <c r="G1863" s="1075">
        <v>0.26978133284510503</v>
      </c>
    </row>
    <row r="1864" spans="1:7" x14ac:dyDescent="0.3">
      <c r="A1864" s="11" t="s">
        <v>960</v>
      </c>
      <c r="B1864" s="11" t="s">
        <v>961</v>
      </c>
      <c r="C1864" s="1076">
        <v>18446</v>
      </c>
      <c r="D1864" s="1076">
        <v>10086865.459689699</v>
      </c>
      <c r="E1864" s="1077">
        <v>16245.0745713179</v>
      </c>
      <c r="F1864" s="1078">
        <v>99.953194586501098</v>
      </c>
      <c r="G1864" s="1079">
        <v>3.38955768600342E-2</v>
      </c>
    </row>
    <row r="1865" spans="1:7" x14ac:dyDescent="0.3">
      <c r="A1865" s="6" t="s">
        <v>956</v>
      </c>
      <c r="B1865" s="6" t="s">
        <v>957</v>
      </c>
      <c r="C1865" s="1072">
        <v>2</v>
      </c>
      <c r="D1865" s="1072">
        <v>4516.9044850077498</v>
      </c>
      <c r="E1865" s="1073">
        <v>3452.7804968815199</v>
      </c>
      <c r="F1865" s="1074">
        <v>4.4759101300882002E-2</v>
      </c>
      <c r="G1865" s="1075">
        <v>3.4198399868116701E-2</v>
      </c>
    </row>
    <row r="1866" spans="1:7" x14ac:dyDescent="0.3">
      <c r="A1866" s="11" t="s">
        <v>974</v>
      </c>
      <c r="B1866" s="11" t="s">
        <v>975</v>
      </c>
      <c r="C1866" s="1076">
        <v>1</v>
      </c>
      <c r="D1866" s="1076">
        <v>206.505414009118</v>
      </c>
      <c r="E1866" s="1077">
        <v>209.19394219346401</v>
      </c>
      <c r="F1866" s="1078">
        <v>2.0463121979872501E-3</v>
      </c>
      <c r="G1866" s="1079">
        <v>2.0735574490253201E-3</v>
      </c>
    </row>
    <row r="1867" spans="1:7" x14ac:dyDescent="0.3">
      <c r="A1867" s="6" t="s">
        <v>6269</v>
      </c>
      <c r="B1867" s="6" t="s">
        <v>6270</v>
      </c>
      <c r="C1867" s="1072">
        <v>121</v>
      </c>
      <c r="D1867" s="1072">
        <v>123271.130411295</v>
      </c>
      <c r="E1867" s="1073">
        <v>16785.403417281501</v>
      </c>
      <c r="F1867" s="1074">
        <v>1.20678237794052</v>
      </c>
      <c r="G1867" s="1075">
        <v>0.16432338198743501</v>
      </c>
    </row>
    <row r="1868" spans="1:7" x14ac:dyDescent="0.3">
      <c r="A1868" s="11" t="s">
        <v>6269</v>
      </c>
      <c r="B1868" s="11" t="s">
        <v>6271</v>
      </c>
      <c r="C1868" s="1076">
        <v>18570</v>
      </c>
      <c r="D1868" s="1076">
        <v>10214860</v>
      </c>
      <c r="E1868" s="1077">
        <v>0</v>
      </c>
      <c r="F1868" s="1078">
        <v>100</v>
      </c>
      <c r="G1868" s="1079">
        <v>0</v>
      </c>
    </row>
    <row r="1869" spans="1:7" x14ac:dyDescent="0.3">
      <c r="A1869" s="3299" t="s">
        <v>923</v>
      </c>
      <c r="B1869" s="3298"/>
      <c r="C1869" s="3298"/>
      <c r="D1869" s="3298"/>
      <c r="E1869" s="3298"/>
      <c r="F1869" s="3298"/>
      <c r="G1869" s="3298"/>
    </row>
    <row r="1870" spans="1:7" x14ac:dyDescent="0.3">
      <c r="A1870" s="11" t="s">
        <v>960</v>
      </c>
      <c r="B1870" s="11" t="s">
        <v>961</v>
      </c>
      <c r="C1870" s="1084">
        <v>10487</v>
      </c>
      <c r="D1870" s="1084">
        <v>5547137.9860310201</v>
      </c>
      <c r="E1870" s="1085">
        <v>39159.983682029502</v>
      </c>
      <c r="F1870" s="1086">
        <v>98.748771728194299</v>
      </c>
      <c r="G1870" s="1087">
        <v>0.16290912963346699</v>
      </c>
    </row>
    <row r="1871" spans="1:7" x14ac:dyDescent="0.3">
      <c r="A1871" s="6" t="s">
        <v>956</v>
      </c>
      <c r="B1871" s="6" t="s">
        <v>1025</v>
      </c>
      <c r="C1871" s="1080">
        <v>76</v>
      </c>
      <c r="D1871" s="1080">
        <v>43897.308092165898</v>
      </c>
      <c r="E1871" s="1081">
        <v>6374.7312647299004</v>
      </c>
      <c r="F1871" s="1082">
        <v>0.78144896831330901</v>
      </c>
      <c r="G1871" s="1083">
        <v>0.11348011759674</v>
      </c>
    </row>
    <row r="1872" spans="1:7" x14ac:dyDescent="0.3">
      <c r="A1872" s="11" t="s">
        <v>958</v>
      </c>
      <c r="B1872" s="11" t="s">
        <v>1019</v>
      </c>
      <c r="C1872" s="1084">
        <v>27</v>
      </c>
      <c r="D1872" s="1084">
        <v>18634.1199048628</v>
      </c>
      <c r="E1872" s="1085">
        <v>5278.6773854025496</v>
      </c>
      <c r="F1872" s="1086">
        <v>0.33171997117700902</v>
      </c>
      <c r="G1872" s="1087">
        <v>9.3585266904430101E-2</v>
      </c>
    </row>
    <row r="1873" spans="1:7" x14ac:dyDescent="0.3">
      <c r="A1873" s="6" t="s">
        <v>974</v>
      </c>
      <c r="B1873" s="6" t="s">
        <v>975</v>
      </c>
      <c r="C1873" s="1080">
        <v>15</v>
      </c>
      <c r="D1873" s="1080">
        <v>7755.37916279612</v>
      </c>
      <c r="E1873" s="1081">
        <v>3245.2616926642099</v>
      </c>
      <c r="F1873" s="1082">
        <v>0.138059332315348</v>
      </c>
      <c r="G1873" s="1083">
        <v>5.7077006991445502E-2</v>
      </c>
    </row>
    <row r="1874" spans="1:7" x14ac:dyDescent="0.3">
      <c r="A1874" s="11" t="s">
        <v>6269</v>
      </c>
      <c r="B1874" s="11" t="s">
        <v>6270</v>
      </c>
      <c r="C1874" s="1084">
        <v>7949</v>
      </c>
      <c r="D1874" s="1084">
        <v>4597435.2068091203</v>
      </c>
      <c r="E1874" s="1085">
        <v>41786.181164096299</v>
      </c>
      <c r="F1874" s="1086">
        <v>45.007324689806197</v>
      </c>
      <c r="G1874" s="1087">
        <v>0.40907248032854099</v>
      </c>
    </row>
    <row r="1875" spans="1:7" x14ac:dyDescent="0.3">
      <c r="A1875" s="6" t="s">
        <v>6269</v>
      </c>
      <c r="B1875" s="6" t="s">
        <v>6271</v>
      </c>
      <c r="C1875" s="1080">
        <v>18554</v>
      </c>
      <c r="D1875" s="1080">
        <v>10214860</v>
      </c>
      <c r="E1875" s="1081">
        <v>0</v>
      </c>
      <c r="F1875" s="1082">
        <v>100</v>
      </c>
      <c r="G1875" s="1083">
        <v>0</v>
      </c>
    </row>
    <row r="1876" spans="1:7" x14ac:dyDescent="0.3">
      <c r="A1876" s="3299" t="s">
        <v>915</v>
      </c>
      <c r="B1876" s="3298"/>
      <c r="C1876" s="3298"/>
      <c r="D1876" s="3298"/>
      <c r="E1876" s="3298"/>
      <c r="F1876" s="3298"/>
      <c r="G1876" s="3298"/>
    </row>
    <row r="1877" spans="1:7" x14ac:dyDescent="0.3">
      <c r="A1877" s="11" t="s">
        <v>991</v>
      </c>
      <c r="B1877" s="11"/>
      <c r="C1877" s="1092">
        <v>2190</v>
      </c>
      <c r="D1877" s="1092">
        <v>1198762.69304295</v>
      </c>
      <c r="E1877" s="1093">
        <v>31470.7057921714</v>
      </c>
      <c r="F1877" s="1094">
        <v>26.074596794045</v>
      </c>
      <c r="G1877" s="1095">
        <v>0.70667756025941197</v>
      </c>
    </row>
    <row r="1878" spans="1:7" x14ac:dyDescent="0.3">
      <c r="A1878" s="6" t="s">
        <v>981</v>
      </c>
      <c r="B1878" s="6"/>
      <c r="C1878" s="1088">
        <v>2019</v>
      </c>
      <c r="D1878" s="1088">
        <v>1073960.88584689</v>
      </c>
      <c r="E1878" s="1089">
        <v>45043.239675382603</v>
      </c>
      <c r="F1878" s="1090">
        <v>23.3600004684411</v>
      </c>
      <c r="G1878" s="1091">
        <v>0.87850500439549095</v>
      </c>
    </row>
    <row r="1879" spans="1:7" x14ac:dyDescent="0.3">
      <c r="A1879" s="11" t="s">
        <v>993</v>
      </c>
      <c r="B1879" s="11"/>
      <c r="C1879" s="1092">
        <v>1151</v>
      </c>
      <c r="D1879" s="1092">
        <v>683241.36171577196</v>
      </c>
      <c r="E1879" s="1093">
        <v>39874.316433749802</v>
      </c>
      <c r="F1879" s="1094">
        <v>14.8613592357722</v>
      </c>
      <c r="G1879" s="1095">
        <v>0.86247942468128702</v>
      </c>
    </row>
    <row r="1880" spans="1:7" x14ac:dyDescent="0.3">
      <c r="A1880" s="6" t="s">
        <v>972</v>
      </c>
      <c r="B1880" s="6"/>
      <c r="C1880" s="1088">
        <v>976</v>
      </c>
      <c r="D1880" s="1088">
        <v>590708.81961563102</v>
      </c>
      <c r="E1880" s="1089">
        <v>35953.856196927802</v>
      </c>
      <c r="F1880" s="1090">
        <v>12.8486600255018</v>
      </c>
      <c r="G1880" s="1091">
        <v>0.79737182383001204</v>
      </c>
    </row>
    <row r="1881" spans="1:7" x14ac:dyDescent="0.3">
      <c r="A1881" s="11" t="s">
        <v>970</v>
      </c>
      <c r="B1881" s="11"/>
      <c r="C1881" s="1092">
        <v>460</v>
      </c>
      <c r="D1881" s="1092">
        <v>317386.95863087598</v>
      </c>
      <c r="E1881" s="1093">
        <v>26995.1956962154</v>
      </c>
      <c r="F1881" s="1094">
        <v>6.9035656698500798</v>
      </c>
      <c r="G1881" s="1095">
        <v>0.55703853721013297</v>
      </c>
    </row>
    <row r="1882" spans="1:7" x14ac:dyDescent="0.3">
      <c r="A1882" s="6" t="s">
        <v>995</v>
      </c>
      <c r="B1882" s="6"/>
      <c r="C1882" s="1088">
        <v>402</v>
      </c>
      <c r="D1882" s="1088">
        <v>222660.17659370301</v>
      </c>
      <c r="E1882" s="1089">
        <v>18420.330409888</v>
      </c>
      <c r="F1882" s="1090">
        <v>4.8431389802715996</v>
      </c>
      <c r="G1882" s="1091">
        <v>0.4118093741685</v>
      </c>
    </row>
    <row r="1883" spans="1:7" x14ac:dyDescent="0.3">
      <c r="A1883" s="11" t="s">
        <v>968</v>
      </c>
      <c r="B1883" s="11"/>
      <c r="C1883" s="1092">
        <v>203</v>
      </c>
      <c r="D1883" s="1092">
        <v>140033.51657284901</v>
      </c>
      <c r="E1883" s="1093">
        <v>18858.556650947899</v>
      </c>
      <c r="F1883" s="1094">
        <v>3.0459051682870899</v>
      </c>
      <c r="G1883" s="1095">
        <v>0.41255878285694197</v>
      </c>
    </row>
    <row r="1884" spans="1:7" x14ac:dyDescent="0.3">
      <c r="A1884" s="6" t="s">
        <v>997</v>
      </c>
      <c r="B1884" s="6"/>
      <c r="C1884" s="1088">
        <v>150</v>
      </c>
      <c r="D1884" s="1088">
        <v>94545.298420979394</v>
      </c>
      <c r="E1884" s="1089">
        <v>18075.150545357301</v>
      </c>
      <c r="F1884" s="1090">
        <v>2.0564791925931099</v>
      </c>
      <c r="G1884" s="1091">
        <v>0.40091615924503898</v>
      </c>
    </row>
    <row r="1885" spans="1:7" x14ac:dyDescent="0.3">
      <c r="A1885" s="11" t="s">
        <v>964</v>
      </c>
      <c r="B1885" s="11"/>
      <c r="C1885" s="1092">
        <v>107</v>
      </c>
      <c r="D1885" s="1092">
        <v>86605.898206187994</v>
      </c>
      <c r="E1885" s="1093">
        <v>12495.015988568801</v>
      </c>
      <c r="F1885" s="1094">
        <v>1.8837872489843599</v>
      </c>
      <c r="G1885" s="1095">
        <v>0.27957600804440402</v>
      </c>
    </row>
    <row r="1886" spans="1:7" x14ac:dyDescent="0.3">
      <c r="A1886" s="6" t="s">
        <v>966</v>
      </c>
      <c r="B1886" s="6"/>
      <c r="C1886" s="1088">
        <v>133</v>
      </c>
      <c r="D1886" s="1088">
        <v>81875.960543370107</v>
      </c>
      <c r="E1886" s="1089">
        <v>12433.8700754332</v>
      </c>
      <c r="F1886" s="1090">
        <v>1.7809051538585301</v>
      </c>
      <c r="G1886" s="1091">
        <v>0.26183359147280399</v>
      </c>
    </row>
    <row r="1887" spans="1:7" x14ac:dyDescent="0.3">
      <c r="A1887" s="11" t="s">
        <v>962</v>
      </c>
      <c r="B1887" s="11"/>
      <c r="C1887" s="1092">
        <v>99</v>
      </c>
      <c r="D1887" s="1092">
        <v>63422.816051484398</v>
      </c>
      <c r="E1887" s="1093">
        <v>8743.5295375640599</v>
      </c>
      <c r="F1887" s="1094">
        <v>1.37952604438124</v>
      </c>
      <c r="G1887" s="1095">
        <v>0.183108359522929</v>
      </c>
    </row>
    <row r="1888" spans="1:7" x14ac:dyDescent="0.3">
      <c r="A1888" s="6" t="s">
        <v>999</v>
      </c>
      <c r="B1888" s="6"/>
      <c r="C1888" s="1088">
        <v>75</v>
      </c>
      <c r="D1888" s="1088">
        <v>44230.821568436397</v>
      </c>
      <c r="E1888" s="1089">
        <v>11288.539332034399</v>
      </c>
      <c r="F1888" s="1090">
        <v>0.962076018013858</v>
      </c>
      <c r="G1888" s="1091">
        <v>0.24305695795853199</v>
      </c>
    </row>
    <row r="1889" spans="1:7" x14ac:dyDescent="0.3">
      <c r="A1889" s="11" t="s">
        <v>960</v>
      </c>
      <c r="B1889" s="11" t="s">
        <v>961</v>
      </c>
      <c r="C1889" s="1092">
        <v>10487</v>
      </c>
      <c r="D1889" s="1092">
        <v>5547137.9860310201</v>
      </c>
      <c r="E1889" s="1093">
        <v>39159.983682029502</v>
      </c>
      <c r="F1889" s="1094">
        <v>98.748771728194299</v>
      </c>
      <c r="G1889" s="1095">
        <v>0.16290912963346699</v>
      </c>
    </row>
    <row r="1890" spans="1:7" x14ac:dyDescent="0.3">
      <c r="A1890" s="6" t="s">
        <v>974</v>
      </c>
      <c r="B1890" s="6" t="s">
        <v>975</v>
      </c>
      <c r="C1890" s="1088">
        <v>118</v>
      </c>
      <c r="D1890" s="1088">
        <v>70286.807159824806</v>
      </c>
      <c r="E1890" s="1089">
        <v>9324.0524671396197</v>
      </c>
      <c r="F1890" s="1090">
        <v>1.25122827180567</v>
      </c>
      <c r="G1890" s="1091">
        <v>0.16290912963347201</v>
      </c>
    </row>
    <row r="1891" spans="1:7" x14ac:dyDescent="0.3">
      <c r="A1891" s="11" t="s">
        <v>6269</v>
      </c>
      <c r="B1891" s="11" t="s">
        <v>6270</v>
      </c>
      <c r="C1891" s="1092">
        <v>7965</v>
      </c>
      <c r="D1891" s="1092">
        <v>4597435.2068091203</v>
      </c>
      <c r="E1891" s="1093">
        <v>41786.181164097703</v>
      </c>
      <c r="F1891" s="1094">
        <v>45.007324689806197</v>
      </c>
      <c r="G1891" s="1095">
        <v>0.40907248032855298</v>
      </c>
    </row>
    <row r="1892" spans="1:7" x14ac:dyDescent="0.3">
      <c r="A1892" s="6" t="s">
        <v>6269</v>
      </c>
      <c r="B1892" s="6" t="s">
        <v>6271</v>
      </c>
      <c r="C1892" s="1088">
        <v>18570</v>
      </c>
      <c r="D1892" s="1088">
        <v>10214860</v>
      </c>
      <c r="E1892" s="1089">
        <v>0</v>
      </c>
      <c r="F1892" s="1090">
        <v>100</v>
      </c>
      <c r="G1892" s="1091">
        <v>0</v>
      </c>
    </row>
    <row r="1893" spans="1:7" x14ac:dyDescent="0.3">
      <c r="A1893" s="3299" t="s">
        <v>917</v>
      </c>
      <c r="B1893" s="3298"/>
      <c r="C1893" s="3298"/>
      <c r="D1893" s="3298"/>
      <c r="E1893" s="3298"/>
      <c r="F1893" s="3298"/>
      <c r="G1893" s="3298"/>
    </row>
    <row r="1894" spans="1:7" x14ac:dyDescent="0.3">
      <c r="A1894" s="11" t="s">
        <v>6490</v>
      </c>
      <c r="B1894" s="11"/>
      <c r="C1894" s="1100">
        <v>3829</v>
      </c>
      <c r="D1894" s="1100">
        <v>2223484.1022014902</v>
      </c>
      <c r="E1894" s="1101">
        <v>34685.323131355202</v>
      </c>
      <c r="F1894" s="1102">
        <v>48.363576693987099</v>
      </c>
      <c r="G1894" s="1103">
        <v>0.46564635274592298</v>
      </c>
    </row>
    <row r="1895" spans="1:7" x14ac:dyDescent="0.3">
      <c r="A1895" s="6" t="s">
        <v>1157</v>
      </c>
      <c r="B1895" s="6"/>
      <c r="C1895" s="1096">
        <v>1794</v>
      </c>
      <c r="D1895" s="1096">
        <v>1004677.7780176</v>
      </c>
      <c r="E1895" s="1097">
        <v>30957.758524446199</v>
      </c>
      <c r="F1895" s="1098">
        <v>21.853005704780799</v>
      </c>
      <c r="G1895" s="1099">
        <v>0.68886213106320804</v>
      </c>
    </row>
    <row r="1896" spans="1:7" x14ac:dyDescent="0.3">
      <c r="A1896" s="11" t="s">
        <v>3061</v>
      </c>
      <c r="B1896" s="11"/>
      <c r="C1896" s="1100">
        <v>702</v>
      </c>
      <c r="D1896" s="1100">
        <v>367585.73974617303</v>
      </c>
      <c r="E1896" s="1101">
        <v>18870.2667779519</v>
      </c>
      <c r="F1896" s="1102">
        <v>7.9954523165819298</v>
      </c>
      <c r="G1896" s="1103">
        <v>0.38038548374190101</v>
      </c>
    </row>
    <row r="1897" spans="1:7" x14ac:dyDescent="0.3">
      <c r="A1897" s="6" t="s">
        <v>1005</v>
      </c>
      <c r="B1897" s="6"/>
      <c r="C1897" s="1096">
        <v>483</v>
      </c>
      <c r="D1897" s="1096">
        <v>277199.89721318899</v>
      </c>
      <c r="E1897" s="1097">
        <v>20067.0281712041</v>
      </c>
      <c r="F1897" s="1098">
        <v>6.029446522762</v>
      </c>
      <c r="G1897" s="1099">
        <v>0.41987710357994001</v>
      </c>
    </row>
    <row r="1898" spans="1:7" x14ac:dyDescent="0.3">
      <c r="A1898" s="11" t="s">
        <v>1161</v>
      </c>
      <c r="B1898" s="11"/>
      <c r="C1898" s="1100">
        <v>258</v>
      </c>
      <c r="D1898" s="1100">
        <v>169899.56273728999</v>
      </c>
      <c r="E1898" s="1101">
        <v>28397.640118577601</v>
      </c>
      <c r="F1898" s="1102">
        <v>3.69552924825688</v>
      </c>
      <c r="G1898" s="1103">
        <v>0.63239520642545599</v>
      </c>
    </row>
    <row r="1899" spans="1:7" x14ac:dyDescent="0.3">
      <c r="A1899" s="6" t="s">
        <v>3075</v>
      </c>
      <c r="B1899" s="6"/>
      <c r="C1899" s="1096">
        <v>177</v>
      </c>
      <c r="D1899" s="1096">
        <v>114695.10071831101</v>
      </c>
      <c r="E1899" s="1097">
        <v>13098.555916695999</v>
      </c>
      <c r="F1899" s="1098">
        <v>2.49476274398471</v>
      </c>
      <c r="G1899" s="1099">
        <v>0.281848450246655</v>
      </c>
    </row>
    <row r="1900" spans="1:7" x14ac:dyDescent="0.3">
      <c r="A1900" s="11" t="s">
        <v>1155</v>
      </c>
      <c r="B1900" s="11"/>
      <c r="C1900" s="1100">
        <v>169</v>
      </c>
      <c r="D1900" s="1100">
        <v>87849.389469115806</v>
      </c>
      <c r="E1900" s="1101">
        <v>10584.6347385674</v>
      </c>
      <c r="F1900" s="1102">
        <v>1.91083474844854</v>
      </c>
      <c r="G1900" s="1103">
        <v>0.228939795300414</v>
      </c>
    </row>
    <row r="1901" spans="1:7" x14ac:dyDescent="0.3">
      <c r="A1901" s="6" t="s">
        <v>1159</v>
      </c>
      <c r="B1901" s="6"/>
      <c r="C1901" s="1096">
        <v>115</v>
      </c>
      <c r="D1901" s="1096">
        <v>79583.723816133803</v>
      </c>
      <c r="E1901" s="1097">
        <v>7991.5812516715696</v>
      </c>
      <c r="F1901" s="1098">
        <v>1.73104612106908</v>
      </c>
      <c r="G1901" s="1099">
        <v>0.176362803194345</v>
      </c>
    </row>
    <row r="1902" spans="1:7" x14ac:dyDescent="0.3">
      <c r="A1902" s="11" t="s">
        <v>995</v>
      </c>
      <c r="B1902" s="11"/>
      <c r="C1902" s="1100">
        <v>109</v>
      </c>
      <c r="D1902" s="1100">
        <v>57797.787867045197</v>
      </c>
      <c r="E1902" s="1101">
        <v>5700.2789628817</v>
      </c>
      <c r="F1902" s="1102">
        <v>1.25717460425419</v>
      </c>
      <c r="G1902" s="1103">
        <v>0.124380081129908</v>
      </c>
    </row>
    <row r="1903" spans="1:7" x14ac:dyDescent="0.3">
      <c r="A1903" s="6" t="s">
        <v>3032</v>
      </c>
      <c r="B1903" s="6"/>
      <c r="C1903" s="1096">
        <v>95</v>
      </c>
      <c r="D1903" s="1096">
        <v>54178.9878498096</v>
      </c>
      <c r="E1903" s="1097">
        <v>7968.5604599471299</v>
      </c>
      <c r="F1903" s="1098">
        <v>1.1784611508948899</v>
      </c>
      <c r="G1903" s="1099">
        <v>0.167068772665486</v>
      </c>
    </row>
    <row r="1904" spans="1:7" x14ac:dyDescent="0.3">
      <c r="A1904" s="11" t="s">
        <v>3047</v>
      </c>
      <c r="B1904" s="11"/>
      <c r="C1904" s="1100">
        <v>74</v>
      </c>
      <c r="D1904" s="1100">
        <v>48374.118805024402</v>
      </c>
      <c r="E1904" s="1101">
        <v>8491.21609271136</v>
      </c>
      <c r="F1904" s="1102">
        <v>1.0521979457889701</v>
      </c>
      <c r="G1904" s="1103">
        <v>0.18565937639480201</v>
      </c>
    </row>
    <row r="1905" spans="1:7" x14ac:dyDescent="0.3">
      <c r="A1905" s="6" t="s">
        <v>970</v>
      </c>
      <c r="B1905" s="6"/>
      <c r="C1905" s="1096">
        <v>52</v>
      </c>
      <c r="D1905" s="1096">
        <v>35754.591389967398</v>
      </c>
      <c r="E1905" s="1097">
        <v>9669.3942039552203</v>
      </c>
      <c r="F1905" s="1098">
        <v>0.77770734728381596</v>
      </c>
      <c r="G1905" s="1099">
        <v>0.208180321346739</v>
      </c>
    </row>
    <row r="1906" spans="1:7" x14ac:dyDescent="0.3">
      <c r="A1906" s="11" t="s">
        <v>3163</v>
      </c>
      <c r="B1906" s="11"/>
      <c r="C1906" s="1100">
        <v>18</v>
      </c>
      <c r="D1906" s="1100">
        <v>14155.1920844658</v>
      </c>
      <c r="E1906" s="1101">
        <v>4978.7740928089197</v>
      </c>
      <c r="F1906" s="1102">
        <v>0.30789323715755601</v>
      </c>
      <c r="G1906" s="1103">
        <v>0.108309391484343</v>
      </c>
    </row>
    <row r="1907" spans="1:7" x14ac:dyDescent="0.3">
      <c r="A1907" s="6" t="s">
        <v>3161</v>
      </c>
      <c r="B1907" s="6"/>
      <c r="C1907" s="1096">
        <v>8</v>
      </c>
      <c r="D1907" s="1096">
        <v>5820.7522148968501</v>
      </c>
      <c r="E1907" s="1097">
        <v>3640.5826224542502</v>
      </c>
      <c r="F1907" s="1098">
        <v>0.12660868403922099</v>
      </c>
      <c r="G1907" s="1099">
        <v>7.8885228080092795E-2</v>
      </c>
    </row>
    <row r="1908" spans="1:7" x14ac:dyDescent="0.3">
      <c r="A1908" s="11" t="s">
        <v>1071</v>
      </c>
      <c r="B1908" s="11"/>
      <c r="C1908" s="1100">
        <v>2</v>
      </c>
      <c r="D1908" s="1100">
        <v>4496.5549355855401</v>
      </c>
      <c r="E1908" s="1101">
        <v>4589.6162847892801</v>
      </c>
      <c r="F1908" s="1102">
        <v>9.7805727178619697E-2</v>
      </c>
      <c r="G1908" s="1103">
        <v>9.9847823098941302E-2</v>
      </c>
    </row>
    <row r="1909" spans="1:7" x14ac:dyDescent="0.3">
      <c r="A1909" s="6" t="s">
        <v>3036</v>
      </c>
      <c r="B1909" s="6"/>
      <c r="C1909" s="1096">
        <v>3</v>
      </c>
      <c r="D1909" s="1096">
        <v>3977.8064869425598</v>
      </c>
      <c r="E1909" s="1097">
        <v>2877.2220256130699</v>
      </c>
      <c r="F1909" s="1098">
        <v>8.6522295758538398E-2</v>
      </c>
      <c r="G1909" s="1099">
        <v>6.2632729860120501E-2</v>
      </c>
    </row>
    <row r="1910" spans="1:7" x14ac:dyDescent="0.3">
      <c r="A1910" s="11" t="s">
        <v>3053</v>
      </c>
      <c r="B1910" s="11"/>
      <c r="C1910" s="1100">
        <v>4</v>
      </c>
      <c r="D1910" s="1100">
        <v>3850.4278934818899</v>
      </c>
      <c r="E1910" s="1101">
        <v>2673.7271074595401</v>
      </c>
      <c r="F1910" s="1102">
        <v>8.3751651089701895E-2</v>
      </c>
      <c r="G1910" s="1103">
        <v>5.8515574777376997E-2</v>
      </c>
    </row>
    <row r="1911" spans="1:7" x14ac:dyDescent="0.3">
      <c r="A1911" s="6" t="s">
        <v>981</v>
      </c>
      <c r="B1911" s="6"/>
      <c r="C1911" s="1096">
        <v>2</v>
      </c>
      <c r="D1911" s="1096">
        <v>3574.3999506433101</v>
      </c>
      <c r="E1911" s="1097">
        <v>2903.3278533666498</v>
      </c>
      <c r="F1911" s="1098">
        <v>7.7747696049079107E-2</v>
      </c>
      <c r="G1911" s="1099">
        <v>6.3001637929843396E-2</v>
      </c>
    </row>
    <row r="1912" spans="1:7" x14ac:dyDescent="0.3">
      <c r="A1912" s="11" t="s">
        <v>3065</v>
      </c>
      <c r="B1912" s="11"/>
      <c r="C1912" s="1100">
        <v>4</v>
      </c>
      <c r="D1912" s="1100">
        <v>3375.83770333042</v>
      </c>
      <c r="E1912" s="1101">
        <v>2726.6583223747102</v>
      </c>
      <c r="F1912" s="1102">
        <v>7.3428717349416195E-2</v>
      </c>
      <c r="G1912" s="1103">
        <v>5.9281144394506602E-2</v>
      </c>
    </row>
    <row r="1913" spans="1:7" x14ac:dyDescent="0.3">
      <c r="A1913" s="6" t="s">
        <v>1073</v>
      </c>
      <c r="B1913" s="6"/>
      <c r="C1913" s="1096">
        <v>3</v>
      </c>
      <c r="D1913" s="1096">
        <v>3347.2747263321899</v>
      </c>
      <c r="E1913" s="1097">
        <v>2925.1446102887298</v>
      </c>
      <c r="F1913" s="1098">
        <v>7.2807436663264793E-2</v>
      </c>
      <c r="G1913" s="1099">
        <v>6.3620386772759399E-2</v>
      </c>
    </row>
    <row r="1914" spans="1:7" x14ac:dyDescent="0.3">
      <c r="A1914" s="11" t="s">
        <v>1069</v>
      </c>
      <c r="B1914" s="11"/>
      <c r="C1914" s="1100">
        <v>1</v>
      </c>
      <c r="D1914" s="1100">
        <v>2905.15731555209</v>
      </c>
      <c r="E1914" s="1101">
        <v>2947.1659033513001</v>
      </c>
      <c r="F1914" s="1102">
        <v>6.3190826729854696E-2</v>
      </c>
      <c r="G1914" s="1103">
        <v>6.4011705573140107E-2</v>
      </c>
    </row>
    <row r="1915" spans="1:7" x14ac:dyDescent="0.3">
      <c r="A1915" s="6" t="s">
        <v>3051</v>
      </c>
      <c r="B1915" s="6"/>
      <c r="C1915" s="1096">
        <v>2</v>
      </c>
      <c r="D1915" s="1096">
        <v>2807.8199344208501</v>
      </c>
      <c r="E1915" s="1097">
        <v>2629.4196639008701</v>
      </c>
      <c r="F1915" s="1098">
        <v>6.1073616225461397E-2</v>
      </c>
      <c r="G1915" s="1099">
        <v>5.7219093263016198E-2</v>
      </c>
    </row>
    <row r="1916" spans="1:7" x14ac:dyDescent="0.3">
      <c r="A1916" s="11" t="s">
        <v>1053</v>
      </c>
      <c r="B1916" s="11"/>
      <c r="C1916" s="1100">
        <v>3</v>
      </c>
      <c r="D1916" s="1100">
        <v>2726.9483847147399</v>
      </c>
      <c r="E1916" s="1101">
        <v>1653.88419249871</v>
      </c>
      <c r="F1916" s="1102">
        <v>5.9314558271010301E-2</v>
      </c>
      <c r="G1916" s="1103">
        <v>3.6148627599370799E-2</v>
      </c>
    </row>
    <row r="1917" spans="1:7" x14ac:dyDescent="0.3">
      <c r="A1917" s="6" t="s">
        <v>1009</v>
      </c>
      <c r="B1917" s="6"/>
      <c r="C1917" s="1096">
        <v>2</v>
      </c>
      <c r="D1917" s="1096">
        <v>2133.0003199501198</v>
      </c>
      <c r="E1917" s="1097">
        <v>2021.05408055422</v>
      </c>
      <c r="F1917" s="1098">
        <v>4.6395440588069499E-2</v>
      </c>
      <c r="G1917" s="1099">
        <v>4.3956897640707503E-2</v>
      </c>
    </row>
    <row r="1918" spans="1:7" x14ac:dyDescent="0.3">
      <c r="A1918" s="11" t="s">
        <v>3038</v>
      </c>
      <c r="B1918" s="11"/>
      <c r="C1918" s="1100">
        <v>3</v>
      </c>
      <c r="D1918" s="1100">
        <v>2102.39620635235</v>
      </c>
      <c r="E1918" s="1101">
        <v>1766.9164649387001</v>
      </c>
      <c r="F1918" s="1102">
        <v>4.5729762612826998E-2</v>
      </c>
      <c r="G1918" s="1103">
        <v>3.8357742547257802E-2</v>
      </c>
    </row>
    <row r="1919" spans="1:7" x14ac:dyDescent="0.3">
      <c r="A1919" s="6" t="s">
        <v>1011</v>
      </c>
      <c r="B1919" s="6"/>
      <c r="C1919" s="1096">
        <v>4</v>
      </c>
      <c r="D1919" s="1096">
        <v>2018.4682596130499</v>
      </c>
      <c r="E1919" s="1097">
        <v>1422.5074875924399</v>
      </c>
      <c r="F1919" s="1098">
        <v>4.3904224177505703E-2</v>
      </c>
      <c r="G1919" s="1099">
        <v>3.1070785133642202E-2</v>
      </c>
    </row>
    <row r="1920" spans="1:7" x14ac:dyDescent="0.3">
      <c r="A1920" s="11" t="s">
        <v>1065</v>
      </c>
      <c r="B1920" s="11"/>
      <c r="C1920" s="1100">
        <v>2</v>
      </c>
      <c r="D1920" s="1100">
        <v>2014.95449299231</v>
      </c>
      <c r="E1920" s="1101">
        <v>1308.8197608712801</v>
      </c>
      <c r="F1920" s="1102">
        <v>4.3827795332667702E-2</v>
      </c>
      <c r="G1920" s="1103">
        <v>2.8470816636844299E-2</v>
      </c>
    </row>
    <row r="1921" spans="1:7" x14ac:dyDescent="0.3">
      <c r="A1921" s="6" t="s">
        <v>1001</v>
      </c>
      <c r="B1921" s="6"/>
      <c r="C1921" s="1096">
        <v>2</v>
      </c>
      <c r="D1921" s="1096">
        <v>2007.1674356727201</v>
      </c>
      <c r="E1921" s="1097">
        <v>1435.26921601001</v>
      </c>
      <c r="F1921" s="1098">
        <v>4.36584170386995E-2</v>
      </c>
      <c r="G1921" s="1099">
        <v>3.1267201758272398E-2</v>
      </c>
    </row>
    <row r="1922" spans="1:7" x14ac:dyDescent="0.3">
      <c r="A1922" s="11" t="s">
        <v>1051</v>
      </c>
      <c r="B1922" s="11"/>
      <c r="C1922" s="1100">
        <v>3</v>
      </c>
      <c r="D1922" s="1100">
        <v>1673.1568835865301</v>
      </c>
      <c r="E1922" s="1101">
        <v>1510.1378227247101</v>
      </c>
      <c r="F1922" s="1102">
        <v>3.6393267296262702E-2</v>
      </c>
      <c r="G1922" s="1103">
        <v>3.2831932268178897E-2</v>
      </c>
    </row>
    <row r="1923" spans="1:7" x14ac:dyDescent="0.3">
      <c r="A1923" s="6" t="s">
        <v>3040</v>
      </c>
      <c r="B1923" s="6"/>
      <c r="C1923" s="1096">
        <v>1</v>
      </c>
      <c r="D1923" s="1096">
        <v>1649.9007403959099</v>
      </c>
      <c r="E1923" s="1097">
        <v>1659.95444702948</v>
      </c>
      <c r="F1923" s="1098">
        <v>3.5887416922206802E-2</v>
      </c>
      <c r="G1923" s="1099">
        <v>3.6105844947386501E-2</v>
      </c>
    </row>
    <row r="1924" spans="1:7" x14ac:dyDescent="0.3">
      <c r="A1924" s="11" t="s">
        <v>3165</v>
      </c>
      <c r="B1924" s="11"/>
      <c r="C1924" s="1100">
        <v>4</v>
      </c>
      <c r="D1924" s="1100">
        <v>1485.64703785249</v>
      </c>
      <c r="E1924" s="1101">
        <v>1012.53447647856</v>
      </c>
      <c r="F1924" s="1102">
        <v>3.2314692236491797E-2</v>
      </c>
      <c r="G1924" s="1103">
        <v>2.1944254074472001E-2</v>
      </c>
    </row>
    <row r="1925" spans="1:7" x14ac:dyDescent="0.3">
      <c r="A1925" s="6" t="s">
        <v>1075</v>
      </c>
      <c r="B1925" s="6"/>
      <c r="C1925" s="1096">
        <v>2</v>
      </c>
      <c r="D1925" s="1096">
        <v>1466.19333058402</v>
      </c>
      <c r="E1925" s="1097">
        <v>1122.7227970459401</v>
      </c>
      <c r="F1925" s="1098">
        <v>3.18915496277681E-2</v>
      </c>
      <c r="G1925" s="1099">
        <v>2.4457856301382998E-2</v>
      </c>
    </row>
    <row r="1926" spans="1:7" x14ac:dyDescent="0.3">
      <c r="A1926" s="11" t="s">
        <v>1059</v>
      </c>
      <c r="B1926" s="11"/>
      <c r="C1926" s="1100">
        <v>2</v>
      </c>
      <c r="D1926" s="1100">
        <v>1162.88391570161</v>
      </c>
      <c r="E1926" s="1101">
        <v>760.08304147963395</v>
      </c>
      <c r="F1926" s="1102">
        <v>2.5294188246074701E-2</v>
      </c>
      <c r="G1926" s="1103">
        <v>1.6547663449966599E-2</v>
      </c>
    </row>
    <row r="1927" spans="1:7" x14ac:dyDescent="0.3">
      <c r="A1927" s="6" t="s">
        <v>3034</v>
      </c>
      <c r="B1927" s="6"/>
      <c r="C1927" s="1096">
        <v>2</v>
      </c>
      <c r="D1927" s="1096">
        <v>1097.5536995119901</v>
      </c>
      <c r="E1927" s="1097">
        <v>810.79230752328999</v>
      </c>
      <c r="F1927" s="1098">
        <v>2.3873173848898099E-2</v>
      </c>
      <c r="G1927" s="1099">
        <v>1.77224989978386E-2</v>
      </c>
    </row>
    <row r="1928" spans="1:7" x14ac:dyDescent="0.3">
      <c r="A1928" s="11" t="s">
        <v>997</v>
      </c>
      <c r="B1928" s="11"/>
      <c r="C1928" s="1100">
        <v>1</v>
      </c>
      <c r="D1928" s="1100">
        <v>999.33375349547703</v>
      </c>
      <c r="E1928" s="1101">
        <v>1015.03674338003</v>
      </c>
      <c r="F1928" s="1102">
        <v>2.17367664478532E-2</v>
      </c>
      <c r="G1928" s="1103">
        <v>2.2051363041046101E-2</v>
      </c>
    </row>
    <row r="1929" spans="1:7" x14ac:dyDescent="0.3">
      <c r="A1929" s="6" t="s">
        <v>3055</v>
      </c>
      <c r="B1929" s="6"/>
      <c r="C1929" s="1096">
        <v>4</v>
      </c>
      <c r="D1929" s="1096">
        <v>942.11978034460299</v>
      </c>
      <c r="E1929" s="1097">
        <v>529.81580433588204</v>
      </c>
      <c r="F1929" s="1098">
        <v>2.0492290548200801E-2</v>
      </c>
      <c r="G1929" s="1099">
        <v>1.15812027053275E-2</v>
      </c>
    </row>
    <row r="1930" spans="1:7" x14ac:dyDescent="0.3">
      <c r="A1930" s="11" t="s">
        <v>3067</v>
      </c>
      <c r="B1930" s="11"/>
      <c r="C1930" s="1100">
        <v>1</v>
      </c>
      <c r="D1930" s="1100">
        <v>852.73409362079599</v>
      </c>
      <c r="E1930" s="1101">
        <v>854.12147949828397</v>
      </c>
      <c r="F1930" s="1102">
        <v>1.8548039401574099E-2</v>
      </c>
      <c r="G1930" s="1103">
        <v>1.8578016146195999E-2</v>
      </c>
    </row>
    <row r="1931" spans="1:7" x14ac:dyDescent="0.3">
      <c r="A1931" s="6" t="s">
        <v>1057</v>
      </c>
      <c r="B1931" s="6"/>
      <c r="C1931" s="1096">
        <v>4</v>
      </c>
      <c r="D1931" s="1096">
        <v>603.29746477446099</v>
      </c>
      <c r="E1931" s="1097">
        <v>465.11638871600002</v>
      </c>
      <c r="F1931" s="1098">
        <v>1.3122478896079599E-2</v>
      </c>
      <c r="G1931" s="1099">
        <v>1.0161676812270501E-2</v>
      </c>
    </row>
    <row r="1932" spans="1:7" x14ac:dyDescent="0.3">
      <c r="A1932" s="11" t="s">
        <v>966</v>
      </c>
      <c r="B1932" s="11"/>
      <c r="C1932" s="1100">
        <v>2</v>
      </c>
      <c r="D1932" s="1100">
        <v>531.50381529739695</v>
      </c>
      <c r="E1932" s="1101">
        <v>533.47257314431101</v>
      </c>
      <c r="F1932" s="1102">
        <v>1.1560876692948301E-2</v>
      </c>
      <c r="G1932" s="1103">
        <v>1.1613790107304499E-2</v>
      </c>
    </row>
    <row r="1933" spans="1:7" x14ac:dyDescent="0.3">
      <c r="A1933" s="6" t="s">
        <v>964</v>
      </c>
      <c r="B1933" s="6"/>
      <c r="C1933" s="1096">
        <v>2</v>
      </c>
      <c r="D1933" s="1096">
        <v>513.34785546517901</v>
      </c>
      <c r="E1933" s="1097">
        <v>407.31576839269098</v>
      </c>
      <c r="F1933" s="1098">
        <v>1.1165961723721E-2</v>
      </c>
      <c r="G1933" s="1099">
        <v>8.8691463789942297E-3</v>
      </c>
    </row>
    <row r="1934" spans="1:7" x14ac:dyDescent="0.3">
      <c r="A1934" s="11" t="s">
        <v>999</v>
      </c>
      <c r="B1934" s="11"/>
      <c r="C1934" s="1100">
        <v>2</v>
      </c>
      <c r="D1934" s="1100">
        <v>505.11886023211002</v>
      </c>
      <c r="E1934" s="1101">
        <v>385.87505555945597</v>
      </c>
      <c r="F1934" s="1102">
        <v>1.09869707241114E-2</v>
      </c>
      <c r="G1934" s="1103">
        <v>8.3455232764162307E-3</v>
      </c>
    </row>
    <row r="1935" spans="1:7" x14ac:dyDescent="0.3">
      <c r="A1935" s="6" t="s">
        <v>1067</v>
      </c>
      <c r="B1935" s="6"/>
      <c r="C1935" s="1096">
        <v>2</v>
      </c>
      <c r="D1935" s="1096">
        <v>390.14628173887502</v>
      </c>
      <c r="E1935" s="1097">
        <v>327.02235038793901</v>
      </c>
      <c r="F1935" s="1098">
        <v>8.4861724894141205E-3</v>
      </c>
      <c r="G1935" s="1099">
        <v>7.1065447103387204E-3</v>
      </c>
    </row>
    <row r="1936" spans="1:7" x14ac:dyDescent="0.3">
      <c r="A1936" s="11" t="s">
        <v>962</v>
      </c>
      <c r="B1936" s="11"/>
      <c r="C1936" s="1100">
        <v>2</v>
      </c>
      <c r="D1936" s="1100">
        <v>324.48061832774101</v>
      </c>
      <c r="E1936" s="1101">
        <v>325.83139259326202</v>
      </c>
      <c r="F1936" s="1102">
        <v>7.05786169312756E-3</v>
      </c>
      <c r="G1936" s="1103">
        <v>7.0793141541975598E-3</v>
      </c>
    </row>
    <row r="1937" spans="1:7" x14ac:dyDescent="0.3">
      <c r="A1937" s="6" t="s">
        <v>1077</v>
      </c>
      <c r="B1937" s="6"/>
      <c r="C1937" s="1096">
        <v>2</v>
      </c>
      <c r="D1937" s="1096">
        <v>313.69293693003999</v>
      </c>
      <c r="E1937" s="1097">
        <v>234.03801561367499</v>
      </c>
      <c r="F1937" s="1098">
        <v>6.8232160502324996E-3</v>
      </c>
      <c r="G1937" s="1099">
        <v>5.1111550211756099E-3</v>
      </c>
    </row>
    <row r="1938" spans="1:7" x14ac:dyDescent="0.3">
      <c r="A1938" s="11" t="s">
        <v>968</v>
      </c>
      <c r="B1938" s="11"/>
      <c r="C1938" s="1100">
        <v>2</v>
      </c>
      <c r="D1938" s="1100">
        <v>142.099410687985</v>
      </c>
      <c r="E1938" s="1101">
        <v>95.447279696406</v>
      </c>
      <c r="F1938" s="1102">
        <v>3.0908409644909399E-3</v>
      </c>
      <c r="G1938" s="1103">
        <v>2.09098261655435E-3</v>
      </c>
    </row>
    <row r="1939" spans="1:7" x14ac:dyDescent="0.3">
      <c r="A1939" s="6" t="s">
        <v>3077</v>
      </c>
      <c r="B1939" s="6"/>
      <c r="C1939" s="1096">
        <v>2</v>
      </c>
      <c r="D1939" s="1096">
        <v>120.027752657363</v>
      </c>
      <c r="E1939" s="1097">
        <v>120.30183255803</v>
      </c>
      <c r="F1939" s="1098">
        <v>2.6107546329221499E-3</v>
      </c>
      <c r="G1939" s="1099">
        <v>2.6132616039494798E-3</v>
      </c>
    </row>
    <row r="1940" spans="1:7" x14ac:dyDescent="0.3">
      <c r="A1940" s="11" t="s">
        <v>1013</v>
      </c>
      <c r="B1940" s="11"/>
      <c r="C1940" s="1100">
        <v>1</v>
      </c>
      <c r="D1940" s="1100">
        <v>111.450913242749</v>
      </c>
      <c r="E1940" s="1101">
        <v>111.837016278909</v>
      </c>
      <c r="F1940" s="1102">
        <v>2.42419758472468E-3</v>
      </c>
      <c r="G1940" s="1103">
        <v>2.4318892187712702E-3</v>
      </c>
    </row>
    <row r="1941" spans="1:7" x14ac:dyDescent="0.3">
      <c r="A1941" s="6" t="s">
        <v>1047</v>
      </c>
      <c r="B1941" s="6"/>
      <c r="C1941" s="1096">
        <v>1</v>
      </c>
      <c r="D1941" s="1096">
        <v>86.541561672730595</v>
      </c>
      <c r="E1941" s="1097">
        <v>86.004152795987096</v>
      </c>
      <c r="F1941" s="1098">
        <v>1.8823878484368101E-3</v>
      </c>
      <c r="G1941" s="1099">
        <v>1.87150133159857E-3</v>
      </c>
    </row>
    <row r="1942" spans="1:7" x14ac:dyDescent="0.3">
      <c r="A1942" s="11" t="s">
        <v>972</v>
      </c>
      <c r="B1942" s="11"/>
      <c r="C1942" s="1100">
        <v>1</v>
      </c>
      <c r="D1942" s="1100">
        <v>69.037926902670705</v>
      </c>
      <c r="E1942" s="1101">
        <v>69.0358496756036</v>
      </c>
      <c r="F1942" s="1102">
        <v>1.5016617700325801E-3</v>
      </c>
      <c r="G1942" s="1103">
        <v>1.5013231473541E-3</v>
      </c>
    </row>
    <row r="1943" spans="1:7" x14ac:dyDescent="0.3">
      <c r="A1943" s="6" t="s">
        <v>960</v>
      </c>
      <c r="B1943" s="6" t="s">
        <v>961</v>
      </c>
      <c r="C1943" s="1096">
        <v>10487</v>
      </c>
      <c r="D1943" s="1096">
        <v>5547137.9860310201</v>
      </c>
      <c r="E1943" s="1097">
        <v>39159.983682029502</v>
      </c>
      <c r="F1943" s="1098">
        <v>98.748771728194299</v>
      </c>
      <c r="G1943" s="1099">
        <v>0.16290912963346699</v>
      </c>
    </row>
    <row r="1944" spans="1:7" x14ac:dyDescent="0.3">
      <c r="A1944" s="11" t="s">
        <v>974</v>
      </c>
      <c r="B1944" s="11" t="s">
        <v>975</v>
      </c>
      <c r="C1944" s="1100">
        <v>118</v>
      </c>
      <c r="D1944" s="1100">
        <v>70286.807159824806</v>
      </c>
      <c r="E1944" s="1101">
        <v>9324.0524671396197</v>
      </c>
      <c r="F1944" s="1102">
        <v>1.25122827180567</v>
      </c>
      <c r="G1944" s="1103">
        <v>0.16290912963347201</v>
      </c>
    </row>
    <row r="1945" spans="1:7" x14ac:dyDescent="0.3">
      <c r="A1945" s="6" t="s">
        <v>6269</v>
      </c>
      <c r="B1945" s="6" t="s">
        <v>6270</v>
      </c>
      <c r="C1945" s="1096">
        <v>7963</v>
      </c>
      <c r="D1945" s="1096">
        <v>4597435.2068091203</v>
      </c>
      <c r="E1945" s="1097">
        <v>41786.181164094</v>
      </c>
      <c r="F1945" s="1098">
        <v>45.007324689806197</v>
      </c>
      <c r="G1945" s="1099">
        <v>0.409072480328528</v>
      </c>
    </row>
    <row r="1946" spans="1:7" x14ac:dyDescent="0.3">
      <c r="A1946" s="11" t="s">
        <v>6269</v>
      </c>
      <c r="B1946" s="11" t="s">
        <v>6271</v>
      </c>
      <c r="C1946" s="1100">
        <v>18568</v>
      </c>
      <c r="D1946" s="1100">
        <v>10214860</v>
      </c>
      <c r="E1946" s="1101">
        <v>0</v>
      </c>
      <c r="F1946" s="1102">
        <v>100</v>
      </c>
      <c r="G1946" s="1103">
        <v>0</v>
      </c>
    </row>
    <row r="1947" spans="1:7" x14ac:dyDescent="0.3">
      <c r="A1947" s="3299" t="s">
        <v>908</v>
      </c>
      <c r="B1947" s="3298"/>
      <c r="C1947" s="3298"/>
      <c r="D1947" s="3298"/>
      <c r="E1947" s="3298"/>
      <c r="F1947" s="3298"/>
      <c r="G1947" s="3298"/>
    </row>
    <row r="1948" spans="1:7" x14ac:dyDescent="0.3">
      <c r="A1948" s="11" t="s">
        <v>6491</v>
      </c>
      <c r="B1948" s="11"/>
      <c r="C1948" s="1108">
        <v>7168</v>
      </c>
      <c r="D1948" s="1108">
        <v>4014346.35029356</v>
      </c>
      <c r="E1948" s="1109">
        <v>32673.6862233547</v>
      </c>
      <c r="F1948" s="1110">
        <v>87.317083758962497</v>
      </c>
      <c r="G1948" s="1111">
        <v>0.62101611670289902</v>
      </c>
    </row>
    <row r="1949" spans="1:7" x14ac:dyDescent="0.3">
      <c r="A1949" s="6" t="s">
        <v>6492</v>
      </c>
      <c r="B1949" s="6"/>
      <c r="C1949" s="1104">
        <v>797</v>
      </c>
      <c r="D1949" s="1104">
        <v>583088.85651557299</v>
      </c>
      <c r="E1949" s="1105">
        <v>31718.136453854499</v>
      </c>
      <c r="F1949" s="1106">
        <v>12.6829162410375</v>
      </c>
      <c r="G1949" s="1107">
        <v>0.62101611670289703</v>
      </c>
    </row>
    <row r="1950" spans="1:7" x14ac:dyDescent="0.3">
      <c r="A1950" s="11" t="s">
        <v>960</v>
      </c>
      <c r="B1950" s="11" t="s">
        <v>961</v>
      </c>
      <c r="C1950" s="1108">
        <v>10502</v>
      </c>
      <c r="D1950" s="1108">
        <v>5554893.3651938103</v>
      </c>
      <c r="E1950" s="1109">
        <v>41652.303517711203</v>
      </c>
      <c r="F1950" s="1110">
        <v>98.886831060509707</v>
      </c>
      <c r="G1950" s="1111">
        <v>0.14278665131482299</v>
      </c>
    </row>
    <row r="1951" spans="1:7" x14ac:dyDescent="0.3">
      <c r="A1951" s="6" t="s">
        <v>974</v>
      </c>
      <c r="B1951" s="6" t="s">
        <v>975</v>
      </c>
      <c r="C1951" s="1104">
        <v>103</v>
      </c>
      <c r="D1951" s="1104">
        <v>62531.427997028703</v>
      </c>
      <c r="E1951" s="1105">
        <v>8055.5120261424299</v>
      </c>
      <c r="F1951" s="1106">
        <v>1.1131689394903199</v>
      </c>
      <c r="G1951" s="1107">
        <v>0.14278665131481499</v>
      </c>
    </row>
    <row r="1952" spans="1:7" x14ac:dyDescent="0.3">
      <c r="A1952" s="11" t="s">
        <v>6269</v>
      </c>
      <c r="B1952" s="11" t="s">
        <v>6270</v>
      </c>
      <c r="C1952" s="1108">
        <v>7965</v>
      </c>
      <c r="D1952" s="1108">
        <v>4597435.2068091296</v>
      </c>
      <c r="E1952" s="1109">
        <v>41786.181164078698</v>
      </c>
      <c r="F1952" s="1110">
        <v>45.007324689806197</v>
      </c>
      <c r="G1952" s="1111">
        <v>0.409072480328453</v>
      </c>
    </row>
    <row r="1953" spans="1:7" x14ac:dyDescent="0.3">
      <c r="A1953" s="6" t="s">
        <v>6269</v>
      </c>
      <c r="B1953" s="6" t="s">
        <v>6271</v>
      </c>
      <c r="C1953" s="1104">
        <v>18570</v>
      </c>
      <c r="D1953" s="1104">
        <v>10214860</v>
      </c>
      <c r="E1953" s="1105">
        <v>0</v>
      </c>
      <c r="F1953" s="1106">
        <v>100</v>
      </c>
      <c r="G1953" s="1107">
        <v>0</v>
      </c>
    </row>
    <row r="1954" spans="1:7" x14ac:dyDescent="0.3">
      <c r="A1954" s="3299" t="s">
        <v>895</v>
      </c>
      <c r="B1954" s="3298"/>
      <c r="C1954" s="3298"/>
      <c r="D1954" s="3298"/>
      <c r="E1954" s="3298"/>
      <c r="F1954" s="3298"/>
      <c r="G1954" s="3298"/>
    </row>
    <row r="1955" spans="1:7" x14ac:dyDescent="0.3">
      <c r="A1955" s="11" t="s">
        <v>964</v>
      </c>
      <c r="B1955" s="11" t="s">
        <v>1040</v>
      </c>
      <c r="C1955" s="1116">
        <v>5905</v>
      </c>
      <c r="D1955" s="1116">
        <v>3391956.1619999502</v>
      </c>
      <c r="E1955" s="1117">
        <v>43954.032826485898</v>
      </c>
      <c r="F1955" s="1118">
        <v>83.922084267195601</v>
      </c>
      <c r="G1955" s="1119">
        <v>0.49860900493659699</v>
      </c>
    </row>
    <row r="1956" spans="1:7" x14ac:dyDescent="0.3">
      <c r="A1956" s="6" t="s">
        <v>962</v>
      </c>
      <c r="B1956" s="6" t="s">
        <v>1039</v>
      </c>
      <c r="C1956" s="1112">
        <v>1081</v>
      </c>
      <c r="D1956" s="1112">
        <v>649835.92600451305</v>
      </c>
      <c r="E1956" s="1113">
        <v>18285.37415792</v>
      </c>
      <c r="F1956" s="1114">
        <v>16.077915732804399</v>
      </c>
      <c r="G1956" s="1115">
        <v>0.49860900493660698</v>
      </c>
    </row>
    <row r="1957" spans="1:7" x14ac:dyDescent="0.3">
      <c r="A1957" s="11" t="s">
        <v>960</v>
      </c>
      <c r="B1957" s="11" t="s">
        <v>961</v>
      </c>
      <c r="C1957" s="1116">
        <v>11579</v>
      </c>
      <c r="D1957" s="1116">
        <v>6171776.6221702797</v>
      </c>
      <c r="E1957" s="1117">
        <v>36668.643839992801</v>
      </c>
      <c r="F1957" s="1118">
        <v>99.979081878838102</v>
      </c>
      <c r="G1957" s="1119">
        <v>1.3501723022588801E-2</v>
      </c>
    </row>
    <row r="1958" spans="1:7" x14ac:dyDescent="0.3">
      <c r="A1958" s="6" t="s">
        <v>956</v>
      </c>
      <c r="B1958" s="6" t="s">
        <v>1025</v>
      </c>
      <c r="C1958" s="1112">
        <v>3</v>
      </c>
      <c r="D1958" s="1112">
        <v>997.56512991115903</v>
      </c>
      <c r="E1958" s="1113">
        <v>876.54154771215497</v>
      </c>
      <c r="F1958" s="1114">
        <v>1.6159957157974698E-2</v>
      </c>
      <c r="G1958" s="1115">
        <v>1.4189482010801901E-2</v>
      </c>
    </row>
    <row r="1959" spans="1:7" x14ac:dyDescent="0.3">
      <c r="A1959" s="11" t="s">
        <v>958</v>
      </c>
      <c r="B1959" s="11" t="s">
        <v>1019</v>
      </c>
      <c r="C1959" s="1116">
        <v>2</v>
      </c>
      <c r="D1959" s="1116">
        <v>293.724695327132</v>
      </c>
      <c r="E1959" s="1117">
        <v>184.13829197902501</v>
      </c>
      <c r="F1959" s="1118">
        <v>4.7581640039366102E-3</v>
      </c>
      <c r="G1959" s="1119">
        <v>2.98033829387816E-3</v>
      </c>
    </row>
    <row r="1960" spans="1:7" x14ac:dyDescent="0.3">
      <c r="A1960" s="6" t="s">
        <v>6269</v>
      </c>
      <c r="B1960" s="6" t="s">
        <v>6270</v>
      </c>
      <c r="C1960" s="1112">
        <v>6986</v>
      </c>
      <c r="D1960" s="1112">
        <v>4041792.0880044601</v>
      </c>
      <c r="E1960" s="1113">
        <v>37116.791399725997</v>
      </c>
      <c r="F1960" s="1114">
        <v>39.567767820650197</v>
      </c>
      <c r="G1960" s="1115">
        <v>0.36336074502955601</v>
      </c>
    </row>
    <row r="1961" spans="1:7" x14ac:dyDescent="0.3">
      <c r="A1961" s="11" t="s">
        <v>6269</v>
      </c>
      <c r="B1961" s="11" t="s">
        <v>6271</v>
      </c>
      <c r="C1961" s="1116">
        <v>18570</v>
      </c>
      <c r="D1961" s="1116">
        <v>10214860</v>
      </c>
      <c r="E1961" s="1117">
        <v>0</v>
      </c>
      <c r="F1961" s="1118">
        <v>100</v>
      </c>
      <c r="G1961" s="1119">
        <v>0</v>
      </c>
    </row>
    <row r="1962" spans="1:7" x14ac:dyDescent="0.3">
      <c r="A1962" s="3299" t="s">
        <v>188</v>
      </c>
      <c r="B1962" s="3298"/>
      <c r="C1962" s="3298"/>
      <c r="D1962" s="3298"/>
      <c r="E1962" s="3298"/>
      <c r="F1962" s="3298"/>
      <c r="G1962" s="3298"/>
    </row>
    <row r="1963" spans="1:7" x14ac:dyDescent="0.3">
      <c r="A1963" s="11" t="s">
        <v>964</v>
      </c>
      <c r="B1963" s="11" t="s">
        <v>1131</v>
      </c>
      <c r="C1963" s="1124">
        <v>4524</v>
      </c>
      <c r="D1963" s="1124">
        <v>2749572.6505865999</v>
      </c>
      <c r="E1963" s="1125">
        <v>48141.359821502003</v>
      </c>
      <c r="F1963" s="1126">
        <v>58.957997710904102</v>
      </c>
      <c r="G1963" s="1127">
        <v>0.68213389795261303</v>
      </c>
    </row>
    <row r="1964" spans="1:7" x14ac:dyDescent="0.3">
      <c r="A1964" s="6" t="s">
        <v>962</v>
      </c>
      <c r="B1964" s="6" t="s">
        <v>1039</v>
      </c>
      <c r="C1964" s="1120">
        <v>3547</v>
      </c>
      <c r="D1964" s="1120">
        <v>1914040.0183322299</v>
      </c>
      <c r="E1964" s="1121">
        <v>27562.755853115599</v>
      </c>
      <c r="F1964" s="1122">
        <v>41.042002289095898</v>
      </c>
      <c r="G1964" s="1123">
        <v>0.68213389795261203</v>
      </c>
    </row>
    <row r="1965" spans="1:7" x14ac:dyDescent="0.3">
      <c r="A1965" s="11" t="s">
        <v>960</v>
      </c>
      <c r="B1965" s="11" t="s">
        <v>961</v>
      </c>
      <c r="C1965" s="1124">
        <v>10487</v>
      </c>
      <c r="D1965" s="1124">
        <v>5547137.9860310201</v>
      </c>
      <c r="E1965" s="1125">
        <v>39159.983682029502</v>
      </c>
      <c r="F1965" s="1126">
        <v>99.925974383682899</v>
      </c>
      <c r="G1965" s="1127">
        <v>3.2787409528681602E-2</v>
      </c>
    </row>
    <row r="1966" spans="1:7" x14ac:dyDescent="0.3">
      <c r="A1966" s="6" t="s">
        <v>958</v>
      </c>
      <c r="B1966" s="6" t="s">
        <v>1019</v>
      </c>
      <c r="C1966" s="1120">
        <v>6</v>
      </c>
      <c r="D1966" s="1120">
        <v>1941.1490726187101</v>
      </c>
      <c r="E1966" s="1121">
        <v>949.05438254374405</v>
      </c>
      <c r="F1966" s="1122">
        <v>3.4967800150973699E-2</v>
      </c>
      <c r="G1966" s="1123">
        <v>1.7029956373096199E-2</v>
      </c>
    </row>
    <row r="1967" spans="1:7" x14ac:dyDescent="0.3">
      <c r="A1967" s="11" t="s">
        <v>956</v>
      </c>
      <c r="B1967" s="11" t="s">
        <v>1025</v>
      </c>
      <c r="C1967" s="1124">
        <v>5</v>
      </c>
      <c r="D1967" s="1124">
        <v>1739.2864663524899</v>
      </c>
      <c r="E1967" s="1125">
        <v>1613.34173291609</v>
      </c>
      <c r="F1967" s="1126">
        <v>3.1331453322468998E-2</v>
      </c>
      <c r="G1967" s="1127">
        <v>2.90340056312045E-2</v>
      </c>
    </row>
    <row r="1968" spans="1:7" x14ac:dyDescent="0.3">
      <c r="A1968" s="6" t="s">
        <v>974</v>
      </c>
      <c r="B1968" s="6" t="s">
        <v>975</v>
      </c>
      <c r="C1968" s="1120">
        <v>1</v>
      </c>
      <c r="D1968" s="1120">
        <v>428.90951114793302</v>
      </c>
      <c r="E1968" s="1121">
        <v>428.98651572511102</v>
      </c>
      <c r="F1968" s="1122">
        <v>7.7263628436530203E-3</v>
      </c>
      <c r="G1968" s="1123">
        <v>7.7266438733978203E-3</v>
      </c>
    </row>
    <row r="1969" spans="1:7" x14ac:dyDescent="0.3">
      <c r="A1969" s="11" t="s">
        <v>6269</v>
      </c>
      <c r="B1969" s="11" t="s">
        <v>6270</v>
      </c>
      <c r="C1969" s="1124">
        <v>8071</v>
      </c>
      <c r="D1969" s="1124">
        <v>4663612.6689188303</v>
      </c>
      <c r="E1969" s="1125">
        <v>40161.211706914</v>
      </c>
      <c r="F1969" s="1126">
        <v>45.655179502399903</v>
      </c>
      <c r="G1969" s="1127">
        <v>0.39316458284208</v>
      </c>
    </row>
    <row r="1970" spans="1:7" x14ac:dyDescent="0.3">
      <c r="A1970" s="6" t="s">
        <v>6269</v>
      </c>
      <c r="B1970" s="6" t="s">
        <v>6271</v>
      </c>
      <c r="C1970" s="1120">
        <v>18570</v>
      </c>
      <c r="D1970" s="1120">
        <v>10214860</v>
      </c>
      <c r="E1970" s="1121">
        <v>0</v>
      </c>
      <c r="F1970" s="1122">
        <v>100</v>
      </c>
      <c r="G1970" s="1123">
        <v>0</v>
      </c>
    </row>
    <row r="1971" spans="1:7" x14ac:dyDescent="0.3">
      <c r="A1971" s="3299" t="s">
        <v>889</v>
      </c>
      <c r="B1971" s="3298"/>
      <c r="C1971" s="3298"/>
      <c r="D1971" s="3298"/>
      <c r="E1971" s="3298"/>
      <c r="F1971" s="3298"/>
      <c r="G1971" s="3298"/>
    </row>
    <row r="1972" spans="1:7" x14ac:dyDescent="0.3">
      <c r="A1972" s="11" t="s">
        <v>1152</v>
      </c>
      <c r="B1972" s="11"/>
      <c r="C1972" s="1132">
        <v>252</v>
      </c>
      <c r="D1972" s="1132">
        <v>144323.37618969299</v>
      </c>
      <c r="E1972" s="1133">
        <v>9369.0219212878292</v>
      </c>
      <c r="F1972" s="1134">
        <v>22.209202417763901</v>
      </c>
      <c r="G1972" s="1135">
        <v>1.0705639277510099</v>
      </c>
    </row>
    <row r="1973" spans="1:7" x14ac:dyDescent="0.3">
      <c r="A1973" s="6" t="s">
        <v>6274</v>
      </c>
      <c r="B1973" s="6"/>
      <c r="C1973" s="1128">
        <v>118</v>
      </c>
      <c r="D1973" s="1128">
        <v>76188.6029670477</v>
      </c>
      <c r="E1973" s="1129">
        <v>7611.0808908999898</v>
      </c>
      <c r="F1973" s="1130">
        <v>11.7242829948615</v>
      </c>
      <c r="G1973" s="1131">
        <v>1.1618438818105501</v>
      </c>
    </row>
    <row r="1974" spans="1:7" x14ac:dyDescent="0.3">
      <c r="A1974" s="11" t="s">
        <v>6275</v>
      </c>
      <c r="B1974" s="11"/>
      <c r="C1974" s="1132">
        <v>112</v>
      </c>
      <c r="D1974" s="1132">
        <v>72190.417647374707</v>
      </c>
      <c r="E1974" s="1133">
        <v>9967.7094964417902</v>
      </c>
      <c r="F1974" s="1134">
        <v>11.1090222560077</v>
      </c>
      <c r="G1974" s="1135">
        <v>1.46784715096749</v>
      </c>
    </row>
    <row r="1975" spans="1:7" x14ac:dyDescent="0.3">
      <c r="A1975" s="6" t="s">
        <v>6276</v>
      </c>
      <c r="B1975" s="6"/>
      <c r="C1975" s="1128">
        <v>111</v>
      </c>
      <c r="D1975" s="1128">
        <v>69143.289973843304</v>
      </c>
      <c r="E1975" s="1129">
        <v>6679.8001662309598</v>
      </c>
      <c r="F1975" s="1130">
        <v>10.6401150208742</v>
      </c>
      <c r="G1975" s="1131">
        <v>1.0162556273926999</v>
      </c>
    </row>
    <row r="1976" spans="1:7" x14ac:dyDescent="0.3">
      <c r="A1976" s="11" t="s">
        <v>6273</v>
      </c>
      <c r="B1976" s="11"/>
      <c r="C1976" s="1132">
        <v>90</v>
      </c>
      <c r="D1976" s="1132">
        <v>62258.390803978597</v>
      </c>
      <c r="E1976" s="1133">
        <v>6962.6499476303397</v>
      </c>
      <c r="F1976" s="1134">
        <v>9.5806323277279493</v>
      </c>
      <c r="G1976" s="1135">
        <v>1.0684894145981301</v>
      </c>
    </row>
    <row r="1977" spans="1:7" x14ac:dyDescent="0.3">
      <c r="A1977" s="6" t="s">
        <v>6272</v>
      </c>
      <c r="B1977" s="6"/>
      <c r="C1977" s="1128">
        <v>93</v>
      </c>
      <c r="D1977" s="1128">
        <v>46585.042491273503</v>
      </c>
      <c r="E1977" s="1129">
        <v>7410.6087910595097</v>
      </c>
      <c r="F1977" s="1130">
        <v>7.1687391581594504</v>
      </c>
      <c r="G1977" s="1131">
        <v>1.11440498058703</v>
      </c>
    </row>
    <row r="1978" spans="1:7" x14ac:dyDescent="0.3">
      <c r="A1978" s="11" t="s">
        <v>995</v>
      </c>
      <c r="B1978" s="11"/>
      <c r="C1978" s="1132">
        <v>59</v>
      </c>
      <c r="D1978" s="1132">
        <v>41524.995350787904</v>
      </c>
      <c r="E1978" s="1133">
        <v>7584.9892426675997</v>
      </c>
      <c r="F1978" s="1134">
        <v>6.3900738154171597</v>
      </c>
      <c r="G1978" s="1135">
        <v>1.11718208686086</v>
      </c>
    </row>
    <row r="1979" spans="1:7" x14ac:dyDescent="0.3">
      <c r="A1979" s="6" t="s">
        <v>6279</v>
      </c>
      <c r="B1979" s="6"/>
      <c r="C1979" s="1128">
        <v>53</v>
      </c>
      <c r="D1979" s="1128">
        <v>28220.9711742297</v>
      </c>
      <c r="E1979" s="1129">
        <v>4447.6797010636601</v>
      </c>
      <c r="F1979" s="1130">
        <v>4.3427840851682502</v>
      </c>
      <c r="G1979" s="1131">
        <v>0.71845685687542304</v>
      </c>
    </row>
    <row r="1980" spans="1:7" x14ac:dyDescent="0.3">
      <c r="A1980" s="11" t="s">
        <v>6278</v>
      </c>
      <c r="B1980" s="11"/>
      <c r="C1980" s="1132">
        <v>35</v>
      </c>
      <c r="D1980" s="1132">
        <v>22678.767151494601</v>
      </c>
      <c r="E1980" s="1133">
        <v>4869.64439008729</v>
      </c>
      <c r="F1980" s="1134">
        <v>3.48992203169407</v>
      </c>
      <c r="G1980" s="1135">
        <v>0.73468795183051006</v>
      </c>
    </row>
    <row r="1981" spans="1:7" x14ac:dyDescent="0.3">
      <c r="A1981" s="6" t="s">
        <v>999</v>
      </c>
      <c r="B1981" s="6"/>
      <c r="C1981" s="1128">
        <v>22</v>
      </c>
      <c r="D1981" s="1128">
        <v>14937.876760003701</v>
      </c>
      <c r="E1981" s="1129">
        <v>5050.0339663390696</v>
      </c>
      <c r="F1981" s="1130">
        <v>2.29871513134841</v>
      </c>
      <c r="G1981" s="1131">
        <v>0.77051938806902598</v>
      </c>
    </row>
    <row r="1982" spans="1:7" x14ac:dyDescent="0.3">
      <c r="A1982" s="11" t="s">
        <v>1005</v>
      </c>
      <c r="B1982" s="11"/>
      <c r="C1982" s="1132">
        <v>34</v>
      </c>
      <c r="D1982" s="1132">
        <v>14868.8753107638</v>
      </c>
      <c r="E1982" s="1133">
        <v>3511.5686031881901</v>
      </c>
      <c r="F1982" s="1134">
        <v>2.2880968434885398</v>
      </c>
      <c r="G1982" s="1135">
        <v>0.54940601014599699</v>
      </c>
    </row>
    <row r="1983" spans="1:7" x14ac:dyDescent="0.3">
      <c r="A1983" s="6" t="s">
        <v>1155</v>
      </c>
      <c r="B1983" s="6"/>
      <c r="C1983" s="1128">
        <v>17</v>
      </c>
      <c r="D1983" s="1128">
        <v>11853.0631302564</v>
      </c>
      <c r="E1983" s="1129">
        <v>5279.3655686640996</v>
      </c>
      <c r="F1983" s="1130">
        <v>1.82400859292814</v>
      </c>
      <c r="G1983" s="1131">
        <v>0.81102466257222905</v>
      </c>
    </row>
    <row r="1984" spans="1:7" x14ac:dyDescent="0.3">
      <c r="A1984" s="11" t="s">
        <v>6277</v>
      </c>
      <c r="B1984" s="11"/>
      <c r="C1984" s="1132">
        <v>22</v>
      </c>
      <c r="D1984" s="1132">
        <v>11640.1979420345</v>
      </c>
      <c r="E1984" s="1133">
        <v>3986.9808337811401</v>
      </c>
      <c r="F1984" s="1134">
        <v>1.79125183392118</v>
      </c>
      <c r="G1984" s="1135">
        <v>0.61002240045014</v>
      </c>
    </row>
    <row r="1985" spans="1:7" x14ac:dyDescent="0.3">
      <c r="A1985" s="6" t="s">
        <v>1157</v>
      </c>
      <c r="B1985" s="6"/>
      <c r="C1985" s="1128">
        <v>14</v>
      </c>
      <c r="D1985" s="1128">
        <v>8814.9308444923809</v>
      </c>
      <c r="E1985" s="1129">
        <v>2639.3072729749501</v>
      </c>
      <c r="F1985" s="1130">
        <v>1.35648561302091</v>
      </c>
      <c r="G1985" s="1131">
        <v>0.43439247370164902</v>
      </c>
    </row>
    <row r="1986" spans="1:7" x14ac:dyDescent="0.3">
      <c r="A1986" s="11" t="s">
        <v>3032</v>
      </c>
      <c r="B1986" s="11"/>
      <c r="C1986" s="1132">
        <v>11</v>
      </c>
      <c r="D1986" s="1132">
        <v>7116.29711069324</v>
      </c>
      <c r="E1986" s="1133">
        <v>2535.9185574173298</v>
      </c>
      <c r="F1986" s="1134">
        <v>1.0950913647461</v>
      </c>
      <c r="G1986" s="1135">
        <v>0.40679482365895597</v>
      </c>
    </row>
    <row r="1987" spans="1:7" x14ac:dyDescent="0.3">
      <c r="A1987" s="6" t="s">
        <v>3034</v>
      </c>
      <c r="B1987" s="6"/>
      <c r="C1987" s="1128">
        <v>3</v>
      </c>
      <c r="D1987" s="1128">
        <v>6114.0102436663401</v>
      </c>
      <c r="E1987" s="1129">
        <v>3714.7527786123101</v>
      </c>
      <c r="F1987" s="1130">
        <v>0.94085445248588595</v>
      </c>
      <c r="G1987" s="1131">
        <v>0.57106233268057804</v>
      </c>
    </row>
    <row r="1988" spans="1:7" x14ac:dyDescent="0.3">
      <c r="A1988" s="11" t="s">
        <v>1001</v>
      </c>
      <c r="B1988" s="11"/>
      <c r="C1988" s="1132">
        <v>6</v>
      </c>
      <c r="D1988" s="1132">
        <v>3109.7432024098298</v>
      </c>
      <c r="E1988" s="1133">
        <v>1316.0983249373801</v>
      </c>
      <c r="F1988" s="1134">
        <v>0.478542825652923</v>
      </c>
      <c r="G1988" s="1135">
        <v>0.20325139039342599</v>
      </c>
    </row>
    <row r="1989" spans="1:7" x14ac:dyDescent="0.3">
      <c r="A1989" s="6" t="s">
        <v>6280</v>
      </c>
      <c r="B1989" s="6"/>
      <c r="C1989" s="1128">
        <v>7</v>
      </c>
      <c r="D1989" s="1128">
        <v>2181.1338949774499</v>
      </c>
      <c r="E1989" s="1129">
        <v>1531.9613227945499</v>
      </c>
      <c r="F1989" s="1130">
        <v>0.33564378448388499</v>
      </c>
      <c r="G1989" s="1131">
        <v>0.235167943108196</v>
      </c>
    </row>
    <row r="1990" spans="1:7" x14ac:dyDescent="0.3">
      <c r="A1990" s="11" t="s">
        <v>1011</v>
      </c>
      <c r="B1990" s="11"/>
      <c r="C1990" s="1132">
        <v>5</v>
      </c>
      <c r="D1990" s="1132">
        <v>1731.41609165101</v>
      </c>
      <c r="E1990" s="1133">
        <v>1581.3240008426401</v>
      </c>
      <c r="F1990" s="1134">
        <v>0.26643896133852502</v>
      </c>
      <c r="G1990" s="1135">
        <v>0.241662542251845</v>
      </c>
    </row>
    <row r="1991" spans="1:7" x14ac:dyDescent="0.3">
      <c r="A1991" s="6" t="s">
        <v>1003</v>
      </c>
      <c r="B1991" s="6"/>
      <c r="C1991" s="1128">
        <v>2</v>
      </c>
      <c r="D1991" s="1128">
        <v>1618.31032445299</v>
      </c>
      <c r="E1991" s="1129">
        <v>1512.9117346645</v>
      </c>
      <c r="F1991" s="1130">
        <v>0.24903368060967401</v>
      </c>
      <c r="G1991" s="1131">
        <v>0.23302353004453799</v>
      </c>
    </row>
    <row r="1992" spans="1:7" x14ac:dyDescent="0.3">
      <c r="A1992" s="11" t="s">
        <v>997</v>
      </c>
      <c r="B1992" s="11"/>
      <c r="C1992" s="1132">
        <v>5</v>
      </c>
      <c r="D1992" s="1132">
        <v>1078.97406322343</v>
      </c>
      <c r="E1992" s="1133">
        <v>959.28967649266701</v>
      </c>
      <c r="F1992" s="1134">
        <v>0.166037921273059</v>
      </c>
      <c r="G1992" s="1135">
        <v>0.14860048350729399</v>
      </c>
    </row>
    <row r="1993" spans="1:7" x14ac:dyDescent="0.3">
      <c r="A1993" s="6" t="s">
        <v>1049</v>
      </c>
      <c r="B1993" s="6"/>
      <c r="C1993" s="1128">
        <v>3</v>
      </c>
      <c r="D1993" s="1128">
        <v>990.22837880529903</v>
      </c>
      <c r="E1993" s="1129">
        <v>990.916888140472</v>
      </c>
      <c r="F1993" s="1130">
        <v>0.15238129182756599</v>
      </c>
      <c r="G1993" s="1131">
        <v>0.152565175883313</v>
      </c>
    </row>
    <row r="1994" spans="1:7" x14ac:dyDescent="0.3">
      <c r="A1994" s="11" t="s">
        <v>1009</v>
      </c>
      <c r="B1994" s="11"/>
      <c r="C1994" s="1132">
        <v>2</v>
      </c>
      <c r="D1994" s="1132">
        <v>275.36780219580697</v>
      </c>
      <c r="E1994" s="1133">
        <v>278.02532056340902</v>
      </c>
      <c r="F1994" s="1134">
        <v>4.2374973616631798E-2</v>
      </c>
      <c r="G1994" s="1135">
        <v>4.2648712590258903E-2</v>
      </c>
    </row>
    <row r="1995" spans="1:7" x14ac:dyDescent="0.3">
      <c r="A1995" s="6" t="s">
        <v>1007</v>
      </c>
      <c r="B1995" s="6"/>
      <c r="C1995" s="1128">
        <v>1</v>
      </c>
      <c r="D1995" s="1128">
        <v>197.26941699034501</v>
      </c>
      <c r="E1995" s="1129">
        <v>200.83595993433201</v>
      </c>
      <c r="F1995" s="1130">
        <v>3.0356803786341501E-2</v>
      </c>
      <c r="G1995" s="1131">
        <v>3.0796584096053198E-2</v>
      </c>
    </row>
    <row r="1996" spans="1:7" x14ac:dyDescent="0.3">
      <c r="A1996" s="11" t="s">
        <v>3036</v>
      </c>
      <c r="B1996" s="11"/>
      <c r="C1996" s="1132">
        <v>1</v>
      </c>
      <c r="D1996" s="1132">
        <v>127.796618420306</v>
      </c>
      <c r="E1996" s="1133">
        <v>128.644882031077</v>
      </c>
      <c r="F1996" s="1134">
        <v>1.9665982335888701E-2</v>
      </c>
      <c r="G1996" s="1135">
        <v>1.9728776392567801E-2</v>
      </c>
    </row>
    <row r="1997" spans="1:7" x14ac:dyDescent="0.3">
      <c r="A1997" s="6" t="s">
        <v>1055</v>
      </c>
      <c r="B1997" s="6"/>
      <c r="C1997" s="1128">
        <v>1</v>
      </c>
      <c r="D1997" s="1128">
        <v>66.581119752453603</v>
      </c>
      <c r="E1997" s="1129">
        <v>66.8183557933218</v>
      </c>
      <c r="F1997" s="1130">
        <v>1.0245835462164199E-2</v>
      </c>
      <c r="G1997" s="1131">
        <v>1.0287663469830901E-2</v>
      </c>
    </row>
    <row r="1998" spans="1:7" x14ac:dyDescent="0.3">
      <c r="A1998" s="11" t="s">
        <v>960</v>
      </c>
      <c r="B1998" s="11" t="s">
        <v>961</v>
      </c>
      <c r="C1998" s="1132">
        <v>17489</v>
      </c>
      <c r="D1998" s="1132">
        <v>9565024.0739954803</v>
      </c>
      <c r="E1998" s="1133">
        <v>18285.374157930801</v>
      </c>
      <c r="F1998" s="1134">
        <v>100</v>
      </c>
      <c r="G1998" s="1135">
        <v>0</v>
      </c>
    </row>
    <row r="1999" spans="1:7" x14ac:dyDescent="0.3">
      <c r="A1999" s="6" t="s">
        <v>6269</v>
      </c>
      <c r="B1999" s="6" t="s">
        <v>6270</v>
      </c>
      <c r="C1999" s="1128">
        <v>1079</v>
      </c>
      <c r="D1999" s="1128">
        <v>649835.926004512</v>
      </c>
      <c r="E1999" s="1129">
        <v>18285.374157920302</v>
      </c>
      <c r="F1999" s="1130">
        <v>6.36167236755582</v>
      </c>
      <c r="G1999" s="1131">
        <v>0.17900758461614799</v>
      </c>
    </row>
    <row r="2000" spans="1:7" x14ac:dyDescent="0.3">
      <c r="A2000" s="11" t="s">
        <v>6269</v>
      </c>
      <c r="B2000" s="11" t="s">
        <v>6271</v>
      </c>
      <c r="C2000" s="1132">
        <v>18568</v>
      </c>
      <c r="D2000" s="1132">
        <v>10214860</v>
      </c>
      <c r="E2000" s="1133">
        <v>0</v>
      </c>
      <c r="F2000" s="1134">
        <v>100</v>
      </c>
      <c r="G2000" s="1135">
        <v>0</v>
      </c>
    </row>
    <row r="2001" spans="1:7" x14ac:dyDescent="0.3">
      <c r="A2001" s="3299" t="s">
        <v>549</v>
      </c>
      <c r="B2001" s="3298"/>
      <c r="C2001" s="3298"/>
      <c r="D2001" s="3298"/>
      <c r="E2001" s="3298"/>
      <c r="F2001" s="3298"/>
      <c r="G2001" s="3298"/>
    </row>
    <row r="2002" spans="1:7" x14ac:dyDescent="0.3">
      <c r="A2002" s="11" t="s">
        <v>995</v>
      </c>
      <c r="B2002" s="11" t="s">
        <v>6026</v>
      </c>
      <c r="C2002" s="1140">
        <v>961</v>
      </c>
      <c r="D2002" s="1140">
        <v>831764.94699875498</v>
      </c>
      <c r="E2002" s="1141">
        <v>29073.618237486899</v>
      </c>
      <c r="F2002" s="1142">
        <v>48.6866014187042</v>
      </c>
      <c r="G2002" s="1143">
        <v>1.6982171781275399</v>
      </c>
    </row>
    <row r="2003" spans="1:7" x14ac:dyDescent="0.3">
      <c r="A2003" s="6" t="s">
        <v>966</v>
      </c>
      <c r="B2003" s="6" t="s">
        <v>6020</v>
      </c>
      <c r="C2003" s="1136">
        <v>683</v>
      </c>
      <c r="D2003" s="1136">
        <v>459034.93484582898</v>
      </c>
      <c r="E2003" s="1137">
        <v>33460.877124711398</v>
      </c>
      <c r="F2003" s="1138">
        <v>26.869190617783001</v>
      </c>
      <c r="G2003" s="1139">
        <v>1.8146710273219699</v>
      </c>
    </row>
    <row r="2004" spans="1:7" x14ac:dyDescent="0.3">
      <c r="A2004" s="11" t="s">
        <v>968</v>
      </c>
      <c r="B2004" s="11" t="s">
        <v>6021</v>
      </c>
      <c r="C2004" s="1140">
        <v>293</v>
      </c>
      <c r="D2004" s="1140">
        <v>194992.476604011</v>
      </c>
      <c r="E2004" s="1141">
        <v>19146.795685261201</v>
      </c>
      <c r="F2004" s="1142">
        <v>11.413706507254</v>
      </c>
      <c r="G2004" s="1143">
        <v>1.15212162144061</v>
      </c>
    </row>
    <row r="2005" spans="1:7" x14ac:dyDescent="0.3">
      <c r="A2005" s="6" t="s">
        <v>970</v>
      </c>
      <c r="B2005" s="6" t="s">
        <v>4481</v>
      </c>
      <c r="C2005" s="1136">
        <v>119</v>
      </c>
      <c r="D2005" s="1136">
        <v>71451.863073854605</v>
      </c>
      <c r="E2005" s="1137">
        <v>8799.1757188126303</v>
      </c>
      <c r="F2005" s="1138">
        <v>4.1823695391984304</v>
      </c>
      <c r="G2005" s="1139">
        <v>0.52397524125018002</v>
      </c>
    </row>
    <row r="2006" spans="1:7" x14ac:dyDescent="0.3">
      <c r="A2006" s="11" t="s">
        <v>962</v>
      </c>
      <c r="B2006" s="11" t="s">
        <v>827</v>
      </c>
      <c r="C2006" s="1140">
        <v>88</v>
      </c>
      <c r="D2006" s="1140">
        <v>70867.225934129005</v>
      </c>
      <c r="E2006" s="1141">
        <v>11089.1930013702</v>
      </c>
      <c r="F2006" s="1142">
        <v>4.1481483382460498</v>
      </c>
      <c r="G2006" s="1143">
        <v>0.65453311651826795</v>
      </c>
    </row>
    <row r="2007" spans="1:7" x14ac:dyDescent="0.3">
      <c r="A2007" s="6" t="s">
        <v>972</v>
      </c>
      <c r="B2007" s="6" t="s">
        <v>6022</v>
      </c>
      <c r="C2007" s="1136">
        <v>99</v>
      </c>
      <c r="D2007" s="1136">
        <v>54657.189085396101</v>
      </c>
      <c r="E2007" s="1137">
        <v>8917.5105596754802</v>
      </c>
      <c r="F2007" s="1138">
        <v>3.1993086379383202</v>
      </c>
      <c r="G2007" s="1139">
        <v>0.50827923846045098</v>
      </c>
    </row>
    <row r="2008" spans="1:7" x14ac:dyDescent="0.3">
      <c r="A2008" s="11" t="s">
        <v>997</v>
      </c>
      <c r="B2008" s="11" t="s">
        <v>6027</v>
      </c>
      <c r="C2008" s="1140">
        <v>7</v>
      </c>
      <c r="D2008" s="1140">
        <v>15249.3257119307</v>
      </c>
      <c r="E2008" s="1141">
        <v>8391.5023791781095</v>
      </c>
      <c r="F2008" s="1142">
        <v>0.89260535145138697</v>
      </c>
      <c r="G2008" s="1143">
        <v>0.49466580430708001</v>
      </c>
    </row>
    <row r="2009" spans="1:7" x14ac:dyDescent="0.3">
      <c r="A2009" s="6" t="s">
        <v>964</v>
      </c>
      <c r="B2009" s="6" t="s">
        <v>979</v>
      </c>
      <c r="C2009" s="1136">
        <v>9</v>
      </c>
      <c r="D2009" s="1136">
        <v>3440.1188471709102</v>
      </c>
      <c r="E2009" s="1137">
        <v>1445.06523692614</v>
      </c>
      <c r="F2009" s="1138">
        <v>0.20136421443284599</v>
      </c>
      <c r="G2009" s="1139">
        <v>8.6153737210219294E-2</v>
      </c>
    </row>
    <row r="2010" spans="1:7" x14ac:dyDescent="0.3">
      <c r="A2010" s="11" t="s">
        <v>981</v>
      </c>
      <c r="B2010" s="11" t="s">
        <v>6023</v>
      </c>
      <c r="C2010" s="1140">
        <v>10</v>
      </c>
      <c r="D2010" s="1140">
        <v>3363.52114759397</v>
      </c>
      <c r="E2010" s="1141">
        <v>1551.35403586077</v>
      </c>
      <c r="F2010" s="1142">
        <v>0.196880638054269</v>
      </c>
      <c r="G2010" s="1143">
        <v>9.05676773845637E-2</v>
      </c>
    </row>
    <row r="2011" spans="1:7" x14ac:dyDescent="0.3">
      <c r="A2011" s="6" t="s">
        <v>991</v>
      </c>
      <c r="B2011" s="6" t="s">
        <v>6024</v>
      </c>
      <c r="C2011" s="1136">
        <v>2</v>
      </c>
      <c r="D2011" s="1136">
        <v>2014.4913457888899</v>
      </c>
      <c r="E2011" s="1137">
        <v>2006.01120869346</v>
      </c>
      <c r="F2011" s="1138">
        <v>0.117916410841487</v>
      </c>
      <c r="G2011" s="1139">
        <v>0.117520433334379</v>
      </c>
    </row>
    <row r="2012" spans="1:7" x14ac:dyDescent="0.3">
      <c r="A2012" s="11" t="s">
        <v>1007</v>
      </c>
      <c r="B2012" s="11" t="s">
        <v>6032</v>
      </c>
      <c r="C2012" s="1140">
        <v>1</v>
      </c>
      <c r="D2012" s="1140">
        <v>899.33741213041401</v>
      </c>
      <c r="E2012" s="1141">
        <v>906.68185207901297</v>
      </c>
      <c r="F2012" s="1142">
        <v>5.2641893942890497E-2</v>
      </c>
      <c r="G2012" s="1143">
        <v>5.31606350104658E-2</v>
      </c>
    </row>
    <row r="2013" spans="1:7" x14ac:dyDescent="0.3">
      <c r="A2013" s="6" t="s">
        <v>1013</v>
      </c>
      <c r="B2013" s="6" t="s">
        <v>6035</v>
      </c>
      <c r="C2013" s="1136">
        <v>1</v>
      </c>
      <c r="D2013" s="1136">
        <v>485.39486995107097</v>
      </c>
      <c r="E2013" s="1137">
        <v>506.770472572323</v>
      </c>
      <c r="F2013" s="1138">
        <v>2.8412145341377201E-2</v>
      </c>
      <c r="G2013" s="1139">
        <v>2.9706071434183301E-2</v>
      </c>
    </row>
    <row r="2014" spans="1:7" x14ac:dyDescent="0.3">
      <c r="A2014" s="11" t="s">
        <v>983</v>
      </c>
      <c r="B2014" s="11" t="s">
        <v>984</v>
      </c>
      <c r="C2014" s="1140">
        <v>1</v>
      </c>
      <c r="D2014" s="1140">
        <v>185.43531549911501</v>
      </c>
      <c r="E2014" s="1141">
        <v>188.71829993314299</v>
      </c>
      <c r="F2014" s="1142">
        <v>1.0854286811717E-2</v>
      </c>
      <c r="G2014" s="1143">
        <v>1.10475117496393E-2</v>
      </c>
    </row>
    <row r="2015" spans="1:7" x14ac:dyDescent="0.3">
      <c r="A2015" s="6" t="s">
        <v>960</v>
      </c>
      <c r="B2015" s="6" t="s">
        <v>961</v>
      </c>
      <c r="C2015" s="1136">
        <v>16293</v>
      </c>
      <c r="D2015" s="1136">
        <v>8505318.79495579</v>
      </c>
      <c r="E2015" s="1137">
        <v>16068.460610509899</v>
      </c>
      <c r="F2015" s="1138">
        <v>99.986657849592405</v>
      </c>
      <c r="G2015" s="1139">
        <v>1.36472015382035E-2</v>
      </c>
    </row>
    <row r="2016" spans="1:7" x14ac:dyDescent="0.3">
      <c r="A2016" s="11" t="s">
        <v>956</v>
      </c>
      <c r="B2016" s="11" t="s">
        <v>957</v>
      </c>
      <c r="C2016" s="1140">
        <v>1</v>
      </c>
      <c r="D2016" s="1140">
        <v>1134.94385218088</v>
      </c>
      <c r="E2016" s="1141">
        <v>1161.2534201021699</v>
      </c>
      <c r="F2016" s="1142">
        <v>1.33421504075554E-2</v>
      </c>
      <c r="G2016" s="1143">
        <v>1.3647201538205299E-2</v>
      </c>
    </row>
    <row r="2017" spans="1:7" x14ac:dyDescent="0.3">
      <c r="A2017" s="6" t="s">
        <v>6269</v>
      </c>
      <c r="B2017" s="6" t="s">
        <v>6270</v>
      </c>
      <c r="C2017" s="1136">
        <v>2274</v>
      </c>
      <c r="D2017" s="1136">
        <v>1708406.2611920401</v>
      </c>
      <c r="E2017" s="1137">
        <v>16164.818641341901</v>
      </c>
      <c r="F2017" s="1138">
        <v>16.7247153773232</v>
      </c>
      <c r="G2017" s="1139">
        <v>0.15824806841542999</v>
      </c>
    </row>
    <row r="2018" spans="1:7" x14ac:dyDescent="0.3">
      <c r="A2018" s="11" t="s">
        <v>6269</v>
      </c>
      <c r="B2018" s="11" t="s">
        <v>6271</v>
      </c>
      <c r="C2018" s="1140">
        <v>18568</v>
      </c>
      <c r="D2018" s="1140">
        <v>10214860</v>
      </c>
      <c r="E2018" s="1141">
        <v>0</v>
      </c>
      <c r="F2018" s="1142">
        <v>100</v>
      </c>
      <c r="G2018" s="1143">
        <v>0</v>
      </c>
    </row>
    <row r="2019" spans="1:7" x14ac:dyDescent="0.3">
      <c r="A2019" s="3299" t="s">
        <v>552</v>
      </c>
      <c r="B2019" s="3298"/>
      <c r="C2019" s="3298"/>
      <c r="D2019" s="3298"/>
      <c r="E2019" s="3298"/>
      <c r="F2019" s="3298"/>
      <c r="G2019" s="3298"/>
    </row>
    <row r="2020" spans="1:7" x14ac:dyDescent="0.3">
      <c r="A2020" s="11" t="s">
        <v>6467</v>
      </c>
      <c r="B2020" s="11"/>
      <c r="C2020" s="1148">
        <v>1</v>
      </c>
      <c r="D2020" s="1148">
        <v>185.43531549911501</v>
      </c>
      <c r="E2020" s="1149">
        <v>188.71829993314299</v>
      </c>
      <c r="F2020" s="1150">
        <v>100</v>
      </c>
      <c r="G2020" s="1151" t="e">
        <v>#NUM!</v>
      </c>
    </row>
    <row r="2021" spans="1:7" x14ac:dyDescent="0.3">
      <c r="A2021" s="6" t="s">
        <v>960</v>
      </c>
      <c r="B2021" s="6" t="s">
        <v>961</v>
      </c>
      <c r="C2021" s="1144">
        <v>18569</v>
      </c>
      <c r="D2021" s="1144">
        <v>10214674.564684501</v>
      </c>
      <c r="E2021" s="1145">
        <v>188.71829998770301</v>
      </c>
      <c r="F2021" s="1146">
        <v>100</v>
      </c>
      <c r="G2021" s="1147">
        <v>0</v>
      </c>
    </row>
    <row r="2022" spans="1:7" x14ac:dyDescent="0.3">
      <c r="A2022" s="11" t="s">
        <v>6269</v>
      </c>
      <c r="B2022" s="11" t="s">
        <v>6270</v>
      </c>
      <c r="C2022" s="1148">
        <v>1</v>
      </c>
      <c r="D2022" s="1148">
        <v>185.43531549911501</v>
      </c>
      <c r="E2022" s="1149">
        <v>188.71829993314299</v>
      </c>
      <c r="F2022" s="1150">
        <v>1.815348575498E-3</v>
      </c>
      <c r="G2022" s="1151">
        <v>1.8474878748523499E-3</v>
      </c>
    </row>
    <row r="2023" spans="1:7" x14ac:dyDescent="0.3">
      <c r="A2023" s="6" t="s">
        <v>6269</v>
      </c>
      <c r="B2023" s="6" t="s">
        <v>6271</v>
      </c>
      <c r="C2023" s="1144">
        <v>18570</v>
      </c>
      <c r="D2023" s="1144">
        <v>10214860</v>
      </c>
      <c r="E2023" s="1145">
        <v>0</v>
      </c>
      <c r="F2023" s="1146">
        <v>100</v>
      </c>
      <c r="G2023" s="1147">
        <v>0</v>
      </c>
    </row>
    <row r="2024" spans="1:7" x14ac:dyDescent="0.3">
      <c r="A2024" s="3299" t="s">
        <v>555</v>
      </c>
      <c r="B2024" s="3298"/>
      <c r="C2024" s="3298"/>
      <c r="D2024" s="3298"/>
      <c r="E2024" s="3298"/>
      <c r="F2024" s="3298"/>
      <c r="G2024" s="3298"/>
    </row>
    <row r="2025" spans="1:7" x14ac:dyDescent="0.3">
      <c r="A2025" s="11" t="s">
        <v>995</v>
      </c>
      <c r="B2025" s="11" t="s">
        <v>6026</v>
      </c>
      <c r="C2025" s="1156">
        <v>1126</v>
      </c>
      <c r="D2025" s="1156">
        <v>960928.771876927</v>
      </c>
      <c r="E2025" s="1157">
        <v>28982.4832996572</v>
      </c>
      <c r="F2025" s="1158">
        <v>56.247087926641001</v>
      </c>
      <c r="G2025" s="1159">
        <v>1.7547355469133299</v>
      </c>
    </row>
    <row r="2026" spans="1:7" x14ac:dyDescent="0.3">
      <c r="A2026" s="6" t="s">
        <v>966</v>
      </c>
      <c r="B2026" s="6" t="s">
        <v>6020</v>
      </c>
      <c r="C2026" s="1152">
        <v>551</v>
      </c>
      <c r="D2026" s="1152">
        <v>370112.37083070498</v>
      </c>
      <c r="E2026" s="1153">
        <v>22096.347150048499</v>
      </c>
      <c r="F2026" s="1154">
        <v>21.664189557140801</v>
      </c>
      <c r="G2026" s="1155">
        <v>1.2285503124785799</v>
      </c>
    </row>
    <row r="2027" spans="1:7" x14ac:dyDescent="0.3">
      <c r="A2027" s="11" t="s">
        <v>968</v>
      </c>
      <c r="B2027" s="11" t="s">
        <v>6021</v>
      </c>
      <c r="C2027" s="1156">
        <v>275</v>
      </c>
      <c r="D2027" s="1156">
        <v>184245.458711382</v>
      </c>
      <c r="E2027" s="1157">
        <v>17076.925475767599</v>
      </c>
      <c r="F2027" s="1158">
        <v>10.784639631490499</v>
      </c>
      <c r="G2027" s="1159">
        <v>1.0013314488318901</v>
      </c>
    </row>
    <row r="2028" spans="1:7" x14ac:dyDescent="0.3">
      <c r="A2028" s="6" t="s">
        <v>962</v>
      </c>
      <c r="B2028" s="6" t="s">
        <v>827</v>
      </c>
      <c r="C2028" s="1152">
        <v>101</v>
      </c>
      <c r="D2028" s="1152">
        <v>75507.035187828704</v>
      </c>
      <c r="E2028" s="1153">
        <v>13201.4537060082</v>
      </c>
      <c r="F2028" s="1154">
        <v>4.4197353347993298</v>
      </c>
      <c r="G2028" s="1155">
        <v>0.76453886244590297</v>
      </c>
    </row>
    <row r="2029" spans="1:7" x14ac:dyDescent="0.3">
      <c r="A2029" s="11" t="s">
        <v>970</v>
      </c>
      <c r="B2029" s="11" t="s">
        <v>4481</v>
      </c>
      <c r="C2029" s="1156">
        <v>114</v>
      </c>
      <c r="D2029" s="1156">
        <v>63421.620693383396</v>
      </c>
      <c r="E2029" s="1157">
        <v>12603.1540255318</v>
      </c>
      <c r="F2029" s="1158">
        <v>3.7123266364717602</v>
      </c>
      <c r="G2029" s="1159">
        <v>0.72362946929344596</v>
      </c>
    </row>
    <row r="2030" spans="1:7" x14ac:dyDescent="0.3">
      <c r="A2030" s="6" t="s">
        <v>972</v>
      </c>
      <c r="B2030" s="6" t="s">
        <v>6022</v>
      </c>
      <c r="C2030" s="1152">
        <v>60</v>
      </c>
      <c r="D2030" s="1152">
        <v>27887.369020337101</v>
      </c>
      <c r="E2030" s="1153">
        <v>5423.6785965086201</v>
      </c>
      <c r="F2030" s="1154">
        <v>1.63236167261988</v>
      </c>
      <c r="G2030" s="1155">
        <v>0.31777404782486901</v>
      </c>
    </row>
    <row r="2031" spans="1:7" x14ac:dyDescent="0.3">
      <c r="A2031" s="11" t="s">
        <v>997</v>
      </c>
      <c r="B2031" s="11" t="s">
        <v>6027</v>
      </c>
      <c r="C2031" s="1156">
        <v>5</v>
      </c>
      <c r="D2031" s="1156">
        <v>12585.4037327513</v>
      </c>
      <c r="E2031" s="1157">
        <v>6918.1720317787904</v>
      </c>
      <c r="F2031" s="1158">
        <v>0.73667511168975897</v>
      </c>
      <c r="G2031" s="1159">
        <v>0.40779803157791999</v>
      </c>
    </row>
    <row r="2032" spans="1:7" x14ac:dyDescent="0.3">
      <c r="A2032" s="6" t="s">
        <v>1001</v>
      </c>
      <c r="B2032" s="6" t="s">
        <v>6029</v>
      </c>
      <c r="C2032" s="1152">
        <v>16</v>
      </c>
      <c r="D2032" s="1152">
        <v>4250.0140984273103</v>
      </c>
      <c r="E2032" s="1153">
        <v>2432.0498044365499</v>
      </c>
      <c r="F2032" s="1154">
        <v>0.248770693187571</v>
      </c>
      <c r="G2032" s="1155">
        <v>0.14203241764999899</v>
      </c>
    </row>
    <row r="2033" spans="1:7" x14ac:dyDescent="0.3">
      <c r="A2033" s="11" t="s">
        <v>981</v>
      </c>
      <c r="B2033" s="11" t="s">
        <v>6023</v>
      </c>
      <c r="C2033" s="1156">
        <v>11</v>
      </c>
      <c r="D2033" s="1156">
        <v>3698.1349666715</v>
      </c>
      <c r="E2033" s="1157">
        <v>1649.6893899699</v>
      </c>
      <c r="F2033" s="1158">
        <v>0.21646695230975799</v>
      </c>
      <c r="G2033" s="1159">
        <v>9.6385064760619907E-2</v>
      </c>
    </row>
    <row r="2034" spans="1:7" x14ac:dyDescent="0.3">
      <c r="A2034" s="6" t="s">
        <v>964</v>
      </c>
      <c r="B2034" s="6" t="s">
        <v>979</v>
      </c>
      <c r="C2034" s="1152">
        <v>9</v>
      </c>
      <c r="D2034" s="1152">
        <v>2733.9939867928001</v>
      </c>
      <c r="E2034" s="1153">
        <v>1508.99240619079</v>
      </c>
      <c r="F2034" s="1154">
        <v>0.16003184072184101</v>
      </c>
      <c r="G2034" s="1155">
        <v>8.9266499775297201E-2</v>
      </c>
    </row>
    <row r="2035" spans="1:7" x14ac:dyDescent="0.3">
      <c r="A2035" s="11" t="s">
        <v>983</v>
      </c>
      <c r="B2035" s="11" t="s">
        <v>984</v>
      </c>
      <c r="C2035" s="1156">
        <v>7</v>
      </c>
      <c r="D2035" s="1156">
        <v>2136.7506747021098</v>
      </c>
      <c r="E2035" s="1157">
        <v>1306.6850802798899</v>
      </c>
      <c r="F2035" s="1158">
        <v>0.12507274898484599</v>
      </c>
      <c r="G2035" s="1159">
        <v>7.6457811306648693E-2</v>
      </c>
    </row>
    <row r="2036" spans="1:7" x14ac:dyDescent="0.3">
      <c r="A2036" s="6" t="s">
        <v>1007</v>
      </c>
      <c r="B2036" s="6" t="s">
        <v>6032</v>
      </c>
      <c r="C2036" s="1152">
        <v>1</v>
      </c>
      <c r="D2036" s="1152">
        <v>899.33741213041401</v>
      </c>
      <c r="E2036" s="1153">
        <v>906.68185207901297</v>
      </c>
      <c r="F2036" s="1154">
        <v>5.2641893942890497E-2</v>
      </c>
      <c r="G2036" s="1155">
        <v>5.31606350104658E-2</v>
      </c>
    </row>
    <row r="2037" spans="1:7" x14ac:dyDescent="0.3">
      <c r="A2037" s="11" t="s">
        <v>960</v>
      </c>
      <c r="B2037" s="11" t="s">
        <v>961</v>
      </c>
      <c r="C2037" s="1156">
        <v>16293</v>
      </c>
      <c r="D2037" s="1156">
        <v>8505318.79495579</v>
      </c>
      <c r="E2037" s="1157">
        <v>16068.460610509899</v>
      </c>
      <c r="F2037" s="1158">
        <v>99.986657849592405</v>
      </c>
      <c r="G2037" s="1159">
        <v>1.36472015382035E-2</v>
      </c>
    </row>
    <row r="2038" spans="1:7" x14ac:dyDescent="0.3">
      <c r="A2038" s="6" t="s">
        <v>958</v>
      </c>
      <c r="B2038" s="6" t="s">
        <v>959</v>
      </c>
      <c r="C2038" s="1152">
        <v>1</v>
      </c>
      <c r="D2038" s="1152">
        <v>1134.94385218088</v>
      </c>
      <c r="E2038" s="1153">
        <v>1161.2534201021699</v>
      </c>
      <c r="F2038" s="1154">
        <v>1.33421504075554E-2</v>
      </c>
      <c r="G2038" s="1155">
        <v>1.3647201538205299E-2</v>
      </c>
    </row>
    <row r="2039" spans="1:7" x14ac:dyDescent="0.3">
      <c r="A2039" s="11" t="s">
        <v>6269</v>
      </c>
      <c r="B2039" s="11" t="s">
        <v>6270</v>
      </c>
      <c r="C2039" s="1156">
        <v>2276</v>
      </c>
      <c r="D2039" s="1156">
        <v>1708406.2611920401</v>
      </c>
      <c r="E2039" s="1157">
        <v>16164.818641341701</v>
      </c>
      <c r="F2039" s="1158">
        <v>16.7247153773232</v>
      </c>
      <c r="G2039" s="1159">
        <v>0.15824806841542499</v>
      </c>
    </row>
    <row r="2040" spans="1:7" x14ac:dyDescent="0.3">
      <c r="A2040" s="6" t="s">
        <v>6269</v>
      </c>
      <c r="B2040" s="6" t="s">
        <v>6271</v>
      </c>
      <c r="C2040" s="1152">
        <v>18570</v>
      </c>
      <c r="D2040" s="1152">
        <v>10214860</v>
      </c>
      <c r="E2040" s="1153">
        <v>0</v>
      </c>
      <c r="F2040" s="1154">
        <v>100</v>
      </c>
      <c r="G2040" s="1155">
        <v>0</v>
      </c>
    </row>
    <row r="2041" spans="1:7" x14ac:dyDescent="0.3">
      <c r="A2041" s="3299" t="s">
        <v>558</v>
      </c>
      <c r="B2041" s="3298"/>
      <c r="C2041" s="3298"/>
      <c r="D2041" s="3298"/>
      <c r="E2041" s="3298"/>
      <c r="F2041" s="3298"/>
      <c r="G2041" s="3298"/>
    </row>
    <row r="2042" spans="1:7" x14ac:dyDescent="0.3">
      <c r="A2042" s="11" t="s">
        <v>6467</v>
      </c>
      <c r="B2042" s="11"/>
      <c r="C2042" s="1164">
        <v>7</v>
      </c>
      <c r="D2042" s="1164">
        <v>2136.7506747021098</v>
      </c>
      <c r="E2042" s="1165">
        <v>1306.6850802798899</v>
      </c>
      <c r="F2042" s="1166">
        <v>100</v>
      </c>
      <c r="G2042" s="1167">
        <v>0</v>
      </c>
    </row>
    <row r="2043" spans="1:7" x14ac:dyDescent="0.3">
      <c r="A2043" s="6" t="s">
        <v>960</v>
      </c>
      <c r="B2043" s="6" t="s">
        <v>961</v>
      </c>
      <c r="C2043" s="1160">
        <v>18563</v>
      </c>
      <c r="D2043" s="1160">
        <v>10212723.2493253</v>
      </c>
      <c r="E2043" s="1161">
        <v>1306.6850803268201</v>
      </c>
      <c r="F2043" s="1162">
        <v>100</v>
      </c>
      <c r="G2043" s="1163">
        <v>0</v>
      </c>
    </row>
    <row r="2044" spans="1:7" x14ac:dyDescent="0.3">
      <c r="A2044" s="11" t="s">
        <v>6269</v>
      </c>
      <c r="B2044" s="11" t="s">
        <v>6270</v>
      </c>
      <c r="C2044" s="1164">
        <v>7</v>
      </c>
      <c r="D2044" s="1164">
        <v>2136.7506747021098</v>
      </c>
      <c r="E2044" s="1165">
        <v>1306.6850802798899</v>
      </c>
      <c r="F2044" s="1166">
        <v>2.09180612823094E-2</v>
      </c>
      <c r="G2044" s="1167">
        <v>1.2792001851027799E-2</v>
      </c>
    </row>
    <row r="2045" spans="1:7" x14ac:dyDescent="0.3">
      <c r="A2045" s="6" t="s">
        <v>6269</v>
      </c>
      <c r="B2045" s="6" t="s">
        <v>6271</v>
      </c>
      <c r="C2045" s="1160">
        <v>18570</v>
      </c>
      <c r="D2045" s="1160">
        <v>10214860</v>
      </c>
      <c r="E2045" s="1161">
        <v>0</v>
      </c>
      <c r="F2045" s="1162">
        <v>100</v>
      </c>
      <c r="G2045" s="1163">
        <v>0</v>
      </c>
    </row>
    <row r="2046" spans="1:7" x14ac:dyDescent="0.3">
      <c r="A2046" s="3299" t="s">
        <v>140</v>
      </c>
      <c r="B2046" s="3298"/>
      <c r="C2046" s="3298"/>
      <c r="D2046" s="3298"/>
      <c r="E2046" s="3298"/>
      <c r="F2046" s="3298"/>
      <c r="G2046" s="3298"/>
    </row>
    <row r="2047" spans="1:7" x14ac:dyDescent="0.3">
      <c r="A2047" s="11" t="s">
        <v>962</v>
      </c>
      <c r="B2047" s="11" t="s">
        <v>1039</v>
      </c>
      <c r="C2047" s="1172">
        <v>12405</v>
      </c>
      <c r="D2047" s="1172">
        <v>6685428.6537911901</v>
      </c>
      <c r="E2047" s="1173">
        <v>73163.006905273796</v>
      </c>
      <c r="F2047" s="1174">
        <v>69.923394675750203</v>
      </c>
      <c r="G2047" s="1175">
        <v>0.76855206410564203</v>
      </c>
    </row>
    <row r="2048" spans="1:7" x14ac:dyDescent="0.3">
      <c r="A2048" s="6" t="s">
        <v>964</v>
      </c>
      <c r="B2048" s="6" t="s">
        <v>1131</v>
      </c>
      <c r="C2048" s="1168">
        <v>5298</v>
      </c>
      <c r="D2048" s="1168">
        <v>2875646.9844740299</v>
      </c>
      <c r="E2048" s="1169">
        <v>73621.782722597898</v>
      </c>
      <c r="F2048" s="1170">
        <v>30.076605324249801</v>
      </c>
      <c r="G2048" s="1171">
        <v>0.76855206410563504</v>
      </c>
    </row>
    <row r="2049" spans="1:7" x14ac:dyDescent="0.3">
      <c r="A2049" s="11" t="s">
        <v>960</v>
      </c>
      <c r="B2049" s="11"/>
      <c r="C2049" s="1172">
        <v>851</v>
      </c>
      <c r="D2049" s="1172">
        <v>649360.005185658</v>
      </c>
      <c r="E2049" s="1173">
        <v>7.74581865908651E-3</v>
      </c>
      <c r="F2049" s="1174">
        <v>99.323269749464501</v>
      </c>
      <c r="G2049" s="1175">
        <v>0.207656800035044</v>
      </c>
    </row>
    <row r="2050" spans="1:7" x14ac:dyDescent="0.3">
      <c r="A2050" s="6" t="s">
        <v>956</v>
      </c>
      <c r="B2050" s="6" t="s">
        <v>1025</v>
      </c>
      <c r="C2050" s="1168">
        <v>11</v>
      </c>
      <c r="D2050" s="1168">
        <v>2265.8520992835101</v>
      </c>
      <c r="E2050" s="1169">
        <v>1124.8244114921299</v>
      </c>
      <c r="F2050" s="1170">
        <v>0.34657483902967201</v>
      </c>
      <c r="G2050" s="1171">
        <v>0.171901824698482</v>
      </c>
    </row>
    <row r="2051" spans="1:7" x14ac:dyDescent="0.3">
      <c r="A2051" s="11" t="s">
        <v>958</v>
      </c>
      <c r="B2051" s="11" t="s">
        <v>1019</v>
      </c>
      <c r="C2051" s="1172">
        <v>5</v>
      </c>
      <c r="D2051" s="1172">
        <v>2158.5044498462298</v>
      </c>
      <c r="E2051" s="1173">
        <v>1343.4847763319799</v>
      </c>
      <c r="F2051" s="1174">
        <v>0.330155411505827</v>
      </c>
      <c r="G2051" s="1175">
        <v>0.20513691766543399</v>
      </c>
    </row>
    <row r="2052" spans="1:7" x14ac:dyDescent="0.3">
      <c r="A2052" s="6" t="s">
        <v>6269</v>
      </c>
      <c r="B2052" s="6" t="s">
        <v>6270</v>
      </c>
      <c r="C2052" s="1168">
        <v>17703</v>
      </c>
      <c r="D2052" s="1168">
        <v>9561075.6382652204</v>
      </c>
      <c r="E2052" s="1169">
        <v>1366.66644690056</v>
      </c>
      <c r="F2052" s="1170">
        <v>93.599673791566502</v>
      </c>
      <c r="G2052" s="1171">
        <v>1.33791989997079E-2</v>
      </c>
    </row>
    <row r="2053" spans="1:7" x14ac:dyDescent="0.3">
      <c r="A2053" s="11" t="s">
        <v>6269</v>
      </c>
      <c r="B2053" s="11" t="s">
        <v>6271</v>
      </c>
      <c r="C2053" s="1172">
        <v>18570</v>
      </c>
      <c r="D2053" s="1172">
        <v>10214860</v>
      </c>
      <c r="E2053" s="1173">
        <v>0</v>
      </c>
      <c r="F2053" s="1174">
        <v>100</v>
      </c>
      <c r="G2053" s="1175">
        <v>0</v>
      </c>
    </row>
    <row r="2054" spans="1:7" x14ac:dyDescent="0.3">
      <c r="A2054" s="3299" t="s">
        <v>143</v>
      </c>
      <c r="B2054" s="3298"/>
      <c r="C2054" s="3298"/>
      <c r="D2054" s="3298"/>
      <c r="E2054" s="3298"/>
      <c r="F2054" s="3298"/>
      <c r="G2054" s="3298"/>
    </row>
    <row r="2055" spans="1:7" x14ac:dyDescent="0.3">
      <c r="A2055" s="11" t="s">
        <v>962</v>
      </c>
      <c r="B2055" s="11" t="s">
        <v>1039</v>
      </c>
      <c r="C2055" s="1180">
        <v>11655</v>
      </c>
      <c r="D2055" s="1180">
        <v>6225107.8731859596</v>
      </c>
      <c r="E2055" s="1181">
        <v>69874.713390629098</v>
      </c>
      <c r="F2055" s="1182">
        <v>93.116143417687596</v>
      </c>
      <c r="G2055" s="1183">
        <v>0.23539791408291599</v>
      </c>
    </row>
    <row r="2056" spans="1:7" x14ac:dyDescent="0.3">
      <c r="A2056" s="6" t="s">
        <v>964</v>
      </c>
      <c r="B2056" s="6" t="s">
        <v>1040</v>
      </c>
      <c r="C2056" s="1176">
        <v>748</v>
      </c>
      <c r="D2056" s="1176">
        <v>460207.52401882899</v>
      </c>
      <c r="E2056" s="1177">
        <v>16537.078532232099</v>
      </c>
      <c r="F2056" s="1178">
        <v>6.8838565823124398</v>
      </c>
      <c r="G2056" s="1179">
        <v>0.23539791408291999</v>
      </c>
    </row>
    <row r="2057" spans="1:7" x14ac:dyDescent="0.3">
      <c r="A2057" s="11" t="s">
        <v>960</v>
      </c>
      <c r="B2057" s="11" t="s">
        <v>961</v>
      </c>
      <c r="C2057" s="1180">
        <v>6165</v>
      </c>
      <c r="D2057" s="1180">
        <v>3529431.3462088099</v>
      </c>
      <c r="E2057" s="1181">
        <v>73163.006905263304</v>
      </c>
      <c r="F2057" s="1182">
        <v>99.996791184157104</v>
      </c>
      <c r="G2057" s="1183">
        <v>3.2132917887103601E-3</v>
      </c>
    </row>
    <row r="2058" spans="1:7" x14ac:dyDescent="0.3">
      <c r="A2058" s="6" t="s">
        <v>956</v>
      </c>
      <c r="B2058" s="6" t="s">
        <v>1025</v>
      </c>
      <c r="C2058" s="1176">
        <v>2</v>
      </c>
      <c r="D2058" s="1176">
        <v>113.256586397498</v>
      </c>
      <c r="E2058" s="1177">
        <v>113.336566421676</v>
      </c>
      <c r="F2058" s="1178">
        <v>3.2088158429222002E-3</v>
      </c>
      <c r="G2058" s="1179">
        <v>3.2132917887097998E-3</v>
      </c>
    </row>
    <row r="2059" spans="1:7" x14ac:dyDescent="0.3">
      <c r="A2059" s="11" t="s">
        <v>6269</v>
      </c>
      <c r="B2059" s="11" t="s">
        <v>6270</v>
      </c>
      <c r="C2059" s="1180">
        <v>12403</v>
      </c>
      <c r="D2059" s="1180">
        <v>6685315.39720478</v>
      </c>
      <c r="E2059" s="1181">
        <v>73189.022711482598</v>
      </c>
      <c r="F2059" s="1182">
        <v>65.446960577088504</v>
      </c>
      <c r="G2059" s="1183">
        <v>0.71649560259735101</v>
      </c>
    </row>
    <row r="2060" spans="1:7" x14ac:dyDescent="0.3">
      <c r="A2060" s="6" t="s">
        <v>6269</v>
      </c>
      <c r="B2060" s="6" t="s">
        <v>6271</v>
      </c>
      <c r="C2060" s="1176">
        <v>18570</v>
      </c>
      <c r="D2060" s="1176">
        <v>10214860</v>
      </c>
      <c r="E2060" s="1177">
        <v>0</v>
      </c>
      <c r="F2060" s="1178">
        <v>100</v>
      </c>
      <c r="G2060" s="1179">
        <v>0</v>
      </c>
    </row>
    <row r="2061" spans="1:7" x14ac:dyDescent="0.3">
      <c r="A2061" s="3299" t="s">
        <v>135</v>
      </c>
      <c r="B2061" s="3298"/>
      <c r="C2061" s="3298"/>
      <c r="D2061" s="3298"/>
      <c r="E2061" s="3298"/>
      <c r="F2061" s="3298"/>
      <c r="G2061" s="3298"/>
    </row>
    <row r="2062" spans="1:7" x14ac:dyDescent="0.3">
      <c r="A2062" s="11" t="s">
        <v>1152</v>
      </c>
      <c r="B2062" s="11"/>
      <c r="C2062" s="1188">
        <v>7062</v>
      </c>
      <c r="D2062" s="1188">
        <v>3793462.70917976</v>
      </c>
      <c r="E2062" s="1189">
        <v>67834.623679032404</v>
      </c>
      <c r="F2062" s="1190">
        <v>47.412222624053101</v>
      </c>
      <c r="G2062" s="1191">
        <v>0.79873145977800597</v>
      </c>
    </row>
    <row r="2063" spans="1:7" x14ac:dyDescent="0.3">
      <c r="A2063" s="6" t="s">
        <v>6272</v>
      </c>
      <c r="B2063" s="6"/>
      <c r="C2063" s="1184">
        <v>1913</v>
      </c>
      <c r="D2063" s="1184">
        <v>993050.15437673801</v>
      </c>
      <c r="E2063" s="1185">
        <v>37784.552658713503</v>
      </c>
      <c r="F2063" s="1186">
        <v>12.411540222136701</v>
      </c>
      <c r="G2063" s="1187">
        <v>0.45862583228812898</v>
      </c>
    </row>
    <row r="2064" spans="1:7" x14ac:dyDescent="0.3">
      <c r="A2064" s="11" t="s">
        <v>6274</v>
      </c>
      <c r="B2064" s="11"/>
      <c r="C2064" s="1188">
        <v>1732</v>
      </c>
      <c r="D2064" s="1188">
        <v>824303.96767409798</v>
      </c>
      <c r="E2064" s="1189">
        <v>19911.979186571101</v>
      </c>
      <c r="F2064" s="1190">
        <v>10.302482513056001</v>
      </c>
      <c r="G2064" s="1191">
        <v>0.24948516996751099</v>
      </c>
    </row>
    <row r="2065" spans="1:7" x14ac:dyDescent="0.3">
      <c r="A2065" s="6" t="s">
        <v>6273</v>
      </c>
      <c r="B2065" s="6"/>
      <c r="C2065" s="1184">
        <v>1221</v>
      </c>
      <c r="D2065" s="1184">
        <v>594308.04974875296</v>
      </c>
      <c r="E2065" s="1185">
        <v>23427.867188611701</v>
      </c>
      <c r="F2065" s="1186">
        <v>7.4279010292544596</v>
      </c>
      <c r="G2065" s="1187">
        <v>0.295613713609857</v>
      </c>
    </row>
    <row r="2066" spans="1:7" x14ac:dyDescent="0.3">
      <c r="A2066" s="11" t="s">
        <v>6275</v>
      </c>
      <c r="B2066" s="11"/>
      <c r="C2066" s="1188">
        <v>979</v>
      </c>
      <c r="D2066" s="1188">
        <v>487955.01162975002</v>
      </c>
      <c r="E2066" s="1189">
        <v>17698.177123443202</v>
      </c>
      <c r="F2066" s="1190">
        <v>6.09865798494023</v>
      </c>
      <c r="G2066" s="1191">
        <v>0.22402227718450099</v>
      </c>
    </row>
    <row r="2067" spans="1:7" x14ac:dyDescent="0.3">
      <c r="A2067" s="6" t="s">
        <v>6276</v>
      </c>
      <c r="B2067" s="6"/>
      <c r="C2067" s="1184">
        <v>684</v>
      </c>
      <c r="D2067" s="1184">
        <v>346119.228727518</v>
      </c>
      <c r="E2067" s="1185">
        <v>20376.325465049202</v>
      </c>
      <c r="F2067" s="1186">
        <v>4.3259373255953202</v>
      </c>
      <c r="G2067" s="1187">
        <v>0.257561762547111</v>
      </c>
    </row>
    <row r="2068" spans="1:7" x14ac:dyDescent="0.3">
      <c r="A2068" s="11" t="s">
        <v>995</v>
      </c>
      <c r="B2068" s="11"/>
      <c r="C2068" s="1188">
        <v>583</v>
      </c>
      <c r="D2068" s="1188">
        <v>295675.99608847499</v>
      </c>
      <c r="E2068" s="1189">
        <v>26217.554299760399</v>
      </c>
      <c r="F2068" s="1190">
        <v>3.6954775164157598</v>
      </c>
      <c r="G2068" s="1191">
        <v>0.32529652880433402</v>
      </c>
    </row>
    <row r="2069" spans="1:7" x14ac:dyDescent="0.3">
      <c r="A2069" s="6" t="s">
        <v>6278</v>
      </c>
      <c r="B2069" s="6"/>
      <c r="C2069" s="1184">
        <v>397</v>
      </c>
      <c r="D2069" s="1184">
        <v>195288.81040990801</v>
      </c>
      <c r="E2069" s="1185">
        <v>20652.4214419112</v>
      </c>
      <c r="F2069" s="1186">
        <v>2.4407980952956598</v>
      </c>
      <c r="G2069" s="1187">
        <v>0.26165084989292398</v>
      </c>
    </row>
    <row r="2070" spans="1:7" x14ac:dyDescent="0.3">
      <c r="A2070" s="11" t="s">
        <v>6279</v>
      </c>
      <c r="B2070" s="11"/>
      <c r="C2070" s="1188">
        <v>210</v>
      </c>
      <c r="D2070" s="1188">
        <v>100307.108642459</v>
      </c>
      <c r="E2070" s="1189">
        <v>9622.7248318015208</v>
      </c>
      <c r="F2070" s="1190">
        <v>1.25367858611681</v>
      </c>
      <c r="G2070" s="1191">
        <v>0.121101423312311</v>
      </c>
    </row>
    <row r="2071" spans="1:7" x14ac:dyDescent="0.3">
      <c r="A2071" s="6" t="s">
        <v>1005</v>
      </c>
      <c r="B2071" s="6"/>
      <c r="C2071" s="1184">
        <v>207</v>
      </c>
      <c r="D2071" s="1184">
        <v>92555.033758880003</v>
      </c>
      <c r="E2071" s="1185">
        <v>15527.819395437</v>
      </c>
      <c r="F2071" s="1186">
        <v>1.15679003643128</v>
      </c>
      <c r="G2071" s="1187">
        <v>0.194532691799812</v>
      </c>
    </row>
    <row r="2072" spans="1:7" x14ac:dyDescent="0.3">
      <c r="A2072" s="11" t="s">
        <v>6277</v>
      </c>
      <c r="B2072" s="11"/>
      <c r="C2072" s="1188">
        <v>167</v>
      </c>
      <c r="D2072" s="1188">
        <v>82731.712241789006</v>
      </c>
      <c r="E2072" s="1189">
        <v>11544.230315590001</v>
      </c>
      <c r="F2072" s="1190">
        <v>1.03401421328983</v>
      </c>
      <c r="G2072" s="1191">
        <v>0.14591440152137</v>
      </c>
    </row>
    <row r="2073" spans="1:7" x14ac:dyDescent="0.3">
      <c r="A2073" s="6" t="s">
        <v>999</v>
      </c>
      <c r="B2073" s="6"/>
      <c r="C2073" s="1184">
        <v>132</v>
      </c>
      <c r="D2073" s="1184">
        <v>58894.477745088603</v>
      </c>
      <c r="E2073" s="1185">
        <v>9824.4970700846807</v>
      </c>
      <c r="F2073" s="1186">
        <v>0.73608686950325997</v>
      </c>
      <c r="G2073" s="1187">
        <v>0.12405796808410099</v>
      </c>
    </row>
    <row r="2074" spans="1:7" x14ac:dyDescent="0.3">
      <c r="A2074" s="11" t="s">
        <v>1155</v>
      </c>
      <c r="B2074" s="11"/>
      <c r="C2074" s="1188">
        <v>115</v>
      </c>
      <c r="D2074" s="1188">
        <v>49184.788567181997</v>
      </c>
      <c r="E2074" s="1189">
        <v>8601.8510151431401</v>
      </c>
      <c r="F2074" s="1190">
        <v>0.61473126903847797</v>
      </c>
      <c r="G2074" s="1191">
        <v>0.10687370494639201</v>
      </c>
    </row>
    <row r="2075" spans="1:7" x14ac:dyDescent="0.3">
      <c r="A2075" s="6" t="s">
        <v>6280</v>
      </c>
      <c r="B2075" s="6"/>
      <c r="C2075" s="1184">
        <v>39</v>
      </c>
      <c r="D2075" s="1184">
        <v>17296.276235630499</v>
      </c>
      <c r="E2075" s="1185">
        <v>3665.82618467269</v>
      </c>
      <c r="F2075" s="1186">
        <v>0.21617581674557901</v>
      </c>
      <c r="G2075" s="1187">
        <v>4.5652752148910097E-2</v>
      </c>
    </row>
    <row r="2076" spans="1:7" x14ac:dyDescent="0.3">
      <c r="A2076" s="11" t="s">
        <v>1157</v>
      </c>
      <c r="B2076" s="11"/>
      <c r="C2076" s="1188">
        <v>34</v>
      </c>
      <c r="D2076" s="1188">
        <v>15166.7369724132</v>
      </c>
      <c r="E2076" s="1189">
        <v>5588.01592226098</v>
      </c>
      <c r="F2076" s="1190">
        <v>0.189559978559008</v>
      </c>
      <c r="G2076" s="1191">
        <v>6.9852152994864705E-2</v>
      </c>
    </row>
    <row r="2077" spans="1:7" x14ac:dyDescent="0.3">
      <c r="A2077" s="6" t="s">
        <v>3032</v>
      </c>
      <c r="B2077" s="6"/>
      <c r="C2077" s="1184">
        <v>26</v>
      </c>
      <c r="D2077" s="1184">
        <v>10205.8542908409</v>
      </c>
      <c r="E2077" s="1185">
        <v>3625.4608719190501</v>
      </c>
      <c r="F2077" s="1186">
        <v>0.127556871597829</v>
      </c>
      <c r="G2077" s="1187">
        <v>4.5313946696632898E-2</v>
      </c>
    </row>
    <row r="2078" spans="1:7" x14ac:dyDescent="0.3">
      <c r="A2078" s="11" t="s">
        <v>997</v>
      </c>
      <c r="B2078" s="11"/>
      <c r="C2078" s="1188">
        <v>17</v>
      </c>
      <c r="D2078" s="1188">
        <v>8393.0652808831801</v>
      </c>
      <c r="E2078" s="1189">
        <v>3155.0831244471401</v>
      </c>
      <c r="F2078" s="1190">
        <v>0.10489990546960901</v>
      </c>
      <c r="G2078" s="1191">
        <v>3.9475174623506401E-2</v>
      </c>
    </row>
    <row r="2079" spans="1:7" x14ac:dyDescent="0.3">
      <c r="A2079" s="6" t="s">
        <v>1001</v>
      </c>
      <c r="B2079" s="6"/>
      <c r="C2079" s="1184">
        <v>14</v>
      </c>
      <c r="D2079" s="1184">
        <v>6469.2282420602796</v>
      </c>
      <c r="E2079" s="1185">
        <v>2512.5256546283899</v>
      </c>
      <c r="F2079" s="1186">
        <v>8.0855016414460606E-2</v>
      </c>
      <c r="G2079" s="1187">
        <v>3.1287928381801201E-2</v>
      </c>
    </row>
    <row r="2080" spans="1:7" x14ac:dyDescent="0.3">
      <c r="A2080" s="11" t="s">
        <v>1007</v>
      </c>
      <c r="B2080" s="11"/>
      <c r="C2080" s="1188">
        <v>10</v>
      </c>
      <c r="D2080" s="1188">
        <v>5448.3620344481396</v>
      </c>
      <c r="E2080" s="1189">
        <v>1861.2820445693901</v>
      </c>
      <c r="F2080" s="1190">
        <v>6.8095819971708493E-2</v>
      </c>
      <c r="G2080" s="1191">
        <v>2.33249019474032E-2</v>
      </c>
    </row>
    <row r="2081" spans="1:7" x14ac:dyDescent="0.3">
      <c r="A2081" s="6" t="s">
        <v>1003</v>
      </c>
      <c r="B2081" s="6"/>
      <c r="C2081" s="1184">
        <v>14</v>
      </c>
      <c r="D2081" s="1184">
        <v>5112.6173418505005</v>
      </c>
      <c r="E2081" s="1185">
        <v>2291.8615111578802</v>
      </c>
      <c r="F2081" s="1186">
        <v>6.3899547771176998E-2</v>
      </c>
      <c r="G2081" s="1187">
        <v>2.8679537295089701E-2</v>
      </c>
    </row>
    <row r="2082" spans="1:7" x14ac:dyDescent="0.3">
      <c r="A2082" s="11" t="s">
        <v>1011</v>
      </c>
      <c r="B2082" s="11"/>
      <c r="C2082" s="1188">
        <v>10</v>
      </c>
      <c r="D2082" s="1188">
        <v>5033.8720714076699</v>
      </c>
      <c r="E2082" s="1189">
        <v>2995.9198860246102</v>
      </c>
      <c r="F2082" s="1190">
        <v>6.2915357710789196E-2</v>
      </c>
      <c r="G2082" s="1191">
        <v>3.7439213189770101E-2</v>
      </c>
    </row>
    <row r="2083" spans="1:7" x14ac:dyDescent="0.3">
      <c r="A2083" s="6" t="s">
        <v>1159</v>
      </c>
      <c r="B2083" s="6"/>
      <c r="C2083" s="1184">
        <v>5</v>
      </c>
      <c r="D2083" s="1184">
        <v>2727.77079606911</v>
      </c>
      <c r="E2083" s="1185">
        <v>1797.3419449621199</v>
      </c>
      <c r="F2083" s="1186">
        <v>3.4092776485624997E-2</v>
      </c>
      <c r="G2083" s="1187">
        <v>2.2494295624813601E-2</v>
      </c>
    </row>
    <row r="2084" spans="1:7" x14ac:dyDescent="0.3">
      <c r="A2084" s="11" t="s">
        <v>1053</v>
      </c>
      <c r="B2084" s="11"/>
      <c r="C2084" s="1188">
        <v>9</v>
      </c>
      <c r="D2084" s="1188">
        <v>2637.8605039558902</v>
      </c>
      <c r="E2084" s="1189">
        <v>1520.8511750708501</v>
      </c>
      <c r="F2084" s="1190">
        <v>3.2969041493964298E-2</v>
      </c>
      <c r="G2084" s="1191">
        <v>1.8987270244962801E-2</v>
      </c>
    </row>
    <row r="2085" spans="1:7" x14ac:dyDescent="0.3">
      <c r="A2085" s="6" t="s">
        <v>1009</v>
      </c>
      <c r="B2085" s="6"/>
      <c r="C2085" s="1184">
        <v>6</v>
      </c>
      <c r="D2085" s="1184">
        <v>1763.9133561205499</v>
      </c>
      <c r="E2085" s="1185">
        <v>1085.4654989907101</v>
      </c>
      <c r="F2085" s="1186">
        <v>2.2046098549367701E-2</v>
      </c>
      <c r="G2085" s="1187">
        <v>1.3572535503075901E-2</v>
      </c>
    </row>
    <row r="2086" spans="1:7" x14ac:dyDescent="0.3">
      <c r="A2086" s="11" t="s">
        <v>1049</v>
      </c>
      <c r="B2086" s="11"/>
      <c r="C2086" s="1188">
        <v>3</v>
      </c>
      <c r="D2086" s="1188">
        <v>1689.7006022328801</v>
      </c>
      <c r="E2086" s="1189">
        <v>1537.3051574624999</v>
      </c>
      <c r="F2086" s="1190">
        <v>2.1118557703809399E-2</v>
      </c>
      <c r="G2086" s="1191">
        <v>1.9207807289521601E-2</v>
      </c>
    </row>
    <row r="2087" spans="1:7" x14ac:dyDescent="0.3">
      <c r="A2087" s="6" t="s">
        <v>1163</v>
      </c>
      <c r="B2087" s="6"/>
      <c r="C2087" s="1184">
        <v>3</v>
      </c>
      <c r="D2087" s="1184">
        <v>1452.3886418029399</v>
      </c>
      <c r="E2087" s="1185">
        <v>900.68496333868097</v>
      </c>
      <c r="F2087" s="1186">
        <v>1.81525373783618E-2</v>
      </c>
      <c r="G2087" s="1187">
        <v>1.1247224540367501E-2</v>
      </c>
    </row>
    <row r="2088" spans="1:7" x14ac:dyDescent="0.3">
      <c r="A2088" s="11" t="s">
        <v>1051</v>
      </c>
      <c r="B2088" s="11"/>
      <c r="C2088" s="1188">
        <v>3</v>
      </c>
      <c r="D2088" s="1188">
        <v>1331.86729398633</v>
      </c>
      <c r="E2088" s="1189">
        <v>1182.7797554951701</v>
      </c>
      <c r="F2088" s="1190">
        <v>1.6646213101124501E-2</v>
      </c>
      <c r="G2088" s="1191">
        <v>1.47815408825741E-2</v>
      </c>
    </row>
    <row r="2089" spans="1:7" x14ac:dyDescent="0.3">
      <c r="A2089" s="6" t="s">
        <v>1161</v>
      </c>
      <c r="B2089" s="6"/>
      <c r="C2089" s="1184">
        <v>5</v>
      </c>
      <c r="D2089" s="1184">
        <v>789.46713595928497</v>
      </c>
      <c r="E2089" s="1185">
        <v>644.84269743268499</v>
      </c>
      <c r="F2089" s="1186">
        <v>9.8670777793328102E-3</v>
      </c>
      <c r="G2089" s="1187">
        <v>8.0573313732661394E-3</v>
      </c>
    </row>
    <row r="2090" spans="1:7" x14ac:dyDescent="0.3">
      <c r="A2090" s="11" t="s">
        <v>1013</v>
      </c>
      <c r="B2090" s="11"/>
      <c r="C2090" s="1188">
        <v>2</v>
      </c>
      <c r="D2090" s="1188">
        <v>577.73429382355505</v>
      </c>
      <c r="E2090" s="1189">
        <v>582.94940454200298</v>
      </c>
      <c r="F2090" s="1190">
        <v>7.22075556193757E-3</v>
      </c>
      <c r="G2090" s="1191">
        <v>7.2852346300617803E-3</v>
      </c>
    </row>
    <row r="2091" spans="1:7" x14ac:dyDescent="0.3">
      <c r="A2091" s="6" t="s">
        <v>3047</v>
      </c>
      <c r="B2091" s="6"/>
      <c r="C2091" s="1184">
        <v>2</v>
      </c>
      <c r="D2091" s="1184">
        <v>467.37363889924802</v>
      </c>
      <c r="E2091" s="1185">
        <v>314.93359651381701</v>
      </c>
      <c r="F2091" s="1186">
        <v>5.8414237109757601E-3</v>
      </c>
      <c r="G2091" s="1187">
        <v>3.9361803384806299E-3</v>
      </c>
    </row>
    <row r="2092" spans="1:7" x14ac:dyDescent="0.3">
      <c r="A2092" s="11" t="s">
        <v>1047</v>
      </c>
      <c r="B2092" s="11"/>
      <c r="C2092" s="1188">
        <v>3</v>
      </c>
      <c r="D2092" s="1188">
        <v>311.10918592185601</v>
      </c>
      <c r="E2092" s="1189">
        <v>240.232258235687</v>
      </c>
      <c r="F2092" s="1190">
        <v>3.8883677299952702E-3</v>
      </c>
      <c r="G2092" s="1191">
        <v>2.9989719787870401E-3</v>
      </c>
    </row>
    <row r="2093" spans="1:7" x14ac:dyDescent="0.3">
      <c r="A2093" s="6" t="s">
        <v>1077</v>
      </c>
      <c r="B2093" s="6"/>
      <c r="C2093" s="1184">
        <v>1</v>
      </c>
      <c r="D2093" s="1184">
        <v>205.867088023647</v>
      </c>
      <c r="E2093" s="1185">
        <v>208.336274878403</v>
      </c>
      <c r="F2093" s="1186">
        <v>2.5730096633672199E-3</v>
      </c>
      <c r="G2093" s="1187">
        <v>2.6045084455948299E-3</v>
      </c>
    </row>
    <row r="2094" spans="1:7" x14ac:dyDescent="0.3">
      <c r="A2094" s="11" t="s">
        <v>3040</v>
      </c>
      <c r="B2094" s="11"/>
      <c r="C2094" s="1188">
        <v>1</v>
      </c>
      <c r="D2094" s="1188">
        <v>104.616690627248</v>
      </c>
      <c r="E2094" s="1189">
        <v>103.36896790237201</v>
      </c>
      <c r="F2094" s="1190">
        <v>1.3075414750243501E-3</v>
      </c>
      <c r="G2094" s="1191">
        <v>1.2920668869375201E-3</v>
      </c>
    </row>
    <row r="2095" spans="1:7" x14ac:dyDescent="0.3">
      <c r="A2095" s="6" t="s">
        <v>960</v>
      </c>
      <c r="B2095" s="6" t="s">
        <v>961</v>
      </c>
      <c r="C2095" s="1184">
        <v>2930</v>
      </c>
      <c r="D2095" s="1184">
        <v>2201194.8463839102</v>
      </c>
      <c r="E2095" s="1185">
        <v>19233.196672435199</v>
      </c>
      <c r="F2095" s="1186">
        <v>99.428936204894896</v>
      </c>
      <c r="G2095" s="1187">
        <v>0.169847442892155</v>
      </c>
    </row>
    <row r="2096" spans="1:7" x14ac:dyDescent="0.3">
      <c r="A2096" s="11" t="s">
        <v>958</v>
      </c>
      <c r="B2096" s="11" t="s">
        <v>1019</v>
      </c>
      <c r="C2096" s="1188">
        <v>12</v>
      </c>
      <c r="D2096" s="1188">
        <v>6540.1889407138497</v>
      </c>
      <c r="E2096" s="1189">
        <v>2851.2150544504798</v>
      </c>
      <c r="F2096" s="1190">
        <v>0.29542320164090502</v>
      </c>
      <c r="G2096" s="1191">
        <v>0.12714180566810099</v>
      </c>
    </row>
    <row r="2097" spans="1:7" x14ac:dyDescent="0.3">
      <c r="A2097" s="6" t="s">
        <v>956</v>
      </c>
      <c r="B2097" s="6" t="s">
        <v>1025</v>
      </c>
      <c r="C2097" s="1184">
        <v>13</v>
      </c>
      <c r="D2097" s="1184">
        <v>5022.8320162526998</v>
      </c>
      <c r="E2097" s="1185">
        <v>1736.37058605171</v>
      </c>
      <c r="F2097" s="1186">
        <v>0.22688352416067301</v>
      </c>
      <c r="G2097" s="1187">
        <v>7.8768324149751795E-2</v>
      </c>
    </row>
    <row r="2098" spans="1:7" x14ac:dyDescent="0.3">
      <c r="A2098" s="11" t="s">
        <v>974</v>
      </c>
      <c r="B2098" s="11" t="s">
        <v>975</v>
      </c>
      <c r="C2098" s="1188">
        <v>1</v>
      </c>
      <c r="D2098" s="1188">
        <v>1079.40217176428</v>
      </c>
      <c r="E2098" s="1189">
        <v>1104.3659071454599</v>
      </c>
      <c r="F2098" s="1190">
        <v>4.87570693035582E-2</v>
      </c>
      <c r="G2098" s="1191">
        <v>4.9810817735279601E-2</v>
      </c>
    </row>
    <row r="2099" spans="1:7" x14ac:dyDescent="0.3">
      <c r="A2099" s="6" t="s">
        <v>6269</v>
      </c>
      <c r="B2099" s="6" t="s">
        <v>6270</v>
      </c>
      <c r="C2099" s="1184">
        <v>15609</v>
      </c>
      <c r="D2099" s="1184">
        <v>8001022.7304873504</v>
      </c>
      <c r="E2099" s="1185">
        <v>20969.098633130699</v>
      </c>
      <c r="F2099" s="1186">
        <v>78.327287211840002</v>
      </c>
      <c r="G2099" s="1187">
        <v>0.205280333094432</v>
      </c>
    </row>
    <row r="2100" spans="1:7" x14ac:dyDescent="0.3">
      <c r="A2100" s="11" t="s">
        <v>6269</v>
      </c>
      <c r="B2100" s="11" t="s">
        <v>6271</v>
      </c>
      <c r="C2100" s="1188">
        <v>18565</v>
      </c>
      <c r="D2100" s="1188">
        <v>10214860</v>
      </c>
      <c r="E2100" s="1189">
        <v>0</v>
      </c>
      <c r="F2100" s="1190">
        <v>100</v>
      </c>
      <c r="G2100" s="1191">
        <v>0</v>
      </c>
    </row>
    <row r="2101" spans="1:7" x14ac:dyDescent="0.3">
      <c r="A2101" s="3299" t="s">
        <v>346</v>
      </c>
      <c r="B2101" s="3298"/>
      <c r="C2101" s="3298"/>
      <c r="D2101" s="3298"/>
      <c r="E2101" s="3298"/>
      <c r="F2101" s="3298"/>
      <c r="G2101" s="3298"/>
    </row>
    <row r="2102" spans="1:7" x14ac:dyDescent="0.3">
      <c r="A2102" s="11" t="s">
        <v>964</v>
      </c>
      <c r="B2102" s="11" t="s">
        <v>1040</v>
      </c>
      <c r="C2102" s="1196">
        <v>16034</v>
      </c>
      <c r="D2102" s="1196">
        <v>8781748.2361553106</v>
      </c>
      <c r="E2102" s="1197">
        <v>25891.7681891963</v>
      </c>
      <c r="F2102" s="1198">
        <v>91.838242418298606</v>
      </c>
      <c r="G2102" s="1199">
        <v>0.254443592954749</v>
      </c>
    </row>
    <row r="2103" spans="1:7" x14ac:dyDescent="0.3">
      <c r="A2103" s="6" t="s">
        <v>962</v>
      </c>
      <c r="B2103" s="6" t="s">
        <v>1039</v>
      </c>
      <c r="C2103" s="1192">
        <v>1676</v>
      </c>
      <c r="D2103" s="1192">
        <v>780442.85647992697</v>
      </c>
      <c r="E2103" s="1193">
        <v>24203.352865900699</v>
      </c>
      <c r="F2103" s="1194">
        <v>8.1617575817013499</v>
      </c>
      <c r="G2103" s="1195">
        <v>0.254443592954747</v>
      </c>
    </row>
    <row r="2104" spans="1:7" x14ac:dyDescent="0.3">
      <c r="A2104" s="11" t="s">
        <v>960</v>
      </c>
      <c r="B2104" s="11"/>
      <c r="C2104" s="1196">
        <v>851</v>
      </c>
      <c r="D2104" s="1196">
        <v>649360.005185658</v>
      </c>
      <c r="E2104" s="1197">
        <v>7.74581865908651E-3</v>
      </c>
      <c r="F2104" s="1198">
        <v>99.493019792765196</v>
      </c>
      <c r="G2104" s="1199">
        <v>0.46321227444790097</v>
      </c>
    </row>
    <row r="2105" spans="1:7" x14ac:dyDescent="0.3">
      <c r="A2105" s="6" t="s">
        <v>958</v>
      </c>
      <c r="B2105" s="6" t="s">
        <v>1019</v>
      </c>
      <c r="C2105" s="1192">
        <v>6</v>
      </c>
      <c r="D2105" s="1192">
        <v>3023.22732700491</v>
      </c>
      <c r="E2105" s="1193">
        <v>2906.3802444683702</v>
      </c>
      <c r="F2105" s="1194">
        <v>0.46320995115448999</v>
      </c>
      <c r="G2105" s="1195">
        <v>0.44478583687544898</v>
      </c>
    </row>
    <row r="2106" spans="1:7" x14ac:dyDescent="0.3">
      <c r="A2106" s="11" t="s">
        <v>956</v>
      </c>
      <c r="B2106" s="11" t="s">
        <v>1025</v>
      </c>
      <c r="C2106" s="1196">
        <v>3</v>
      </c>
      <c r="D2106" s="1196">
        <v>285.67485211033699</v>
      </c>
      <c r="E2106" s="1197">
        <v>183.03791233183199</v>
      </c>
      <c r="F2106" s="1198">
        <v>4.3770256080342899E-2</v>
      </c>
      <c r="G2106" s="1199">
        <v>2.79518565804842E-2</v>
      </c>
    </row>
    <row r="2107" spans="1:7" x14ac:dyDescent="0.3">
      <c r="A2107" s="6" t="s">
        <v>6269</v>
      </c>
      <c r="B2107" s="6" t="s">
        <v>6270</v>
      </c>
      <c r="C2107" s="1192">
        <v>17710</v>
      </c>
      <c r="D2107" s="1192">
        <v>9562191.0926352292</v>
      </c>
      <c r="E2107" s="1193">
        <v>3027.4010775604502</v>
      </c>
      <c r="F2107" s="1194">
        <v>93.610593709901295</v>
      </c>
      <c r="G2107" s="1195">
        <v>2.9637225351953799E-2</v>
      </c>
    </row>
    <row r="2108" spans="1:7" x14ac:dyDescent="0.3">
      <c r="A2108" s="11" t="s">
        <v>6269</v>
      </c>
      <c r="B2108" s="11" t="s">
        <v>6271</v>
      </c>
      <c r="C2108" s="1196">
        <v>18570</v>
      </c>
      <c r="D2108" s="1196">
        <v>10214860</v>
      </c>
      <c r="E2108" s="1197">
        <v>0</v>
      </c>
      <c r="F2108" s="1198">
        <v>100</v>
      </c>
      <c r="G2108" s="1199">
        <v>0</v>
      </c>
    </row>
    <row r="2109" spans="1:7" x14ac:dyDescent="0.3">
      <c r="A2109" s="3299" t="s">
        <v>349</v>
      </c>
      <c r="B2109" s="3298"/>
      <c r="C2109" s="3298"/>
      <c r="D2109" s="3298"/>
      <c r="E2109" s="3298"/>
      <c r="F2109" s="3298"/>
      <c r="G2109" s="3298"/>
    </row>
    <row r="2110" spans="1:7" x14ac:dyDescent="0.3">
      <c r="A2110" s="11" t="s">
        <v>964</v>
      </c>
      <c r="B2110" s="11" t="s">
        <v>3222</v>
      </c>
      <c r="C2110" s="1204">
        <v>1380</v>
      </c>
      <c r="D2110" s="1204">
        <v>600224.72770664701</v>
      </c>
      <c r="E2110" s="1205">
        <v>29453.754459658299</v>
      </c>
      <c r="F2110" s="1206">
        <v>76.919001859963203</v>
      </c>
      <c r="G2110" s="1207">
        <v>2.5068126856683302</v>
      </c>
    </row>
    <row r="2111" spans="1:7" x14ac:dyDescent="0.3">
      <c r="A2111" s="6" t="s">
        <v>966</v>
      </c>
      <c r="B2111" s="6" t="s">
        <v>3223</v>
      </c>
      <c r="C2111" s="1200">
        <v>182</v>
      </c>
      <c r="D2111" s="1200">
        <v>135409.230569693</v>
      </c>
      <c r="E2111" s="1201">
        <v>15063.0701949176</v>
      </c>
      <c r="F2111" s="1202">
        <v>17.3527386947924</v>
      </c>
      <c r="G2111" s="1203">
        <v>2.0188633204589199</v>
      </c>
    </row>
    <row r="2112" spans="1:7" x14ac:dyDescent="0.3">
      <c r="A2112" s="11" t="s">
        <v>962</v>
      </c>
      <c r="B2112" s="11" t="s">
        <v>3221</v>
      </c>
      <c r="C2112" s="1204">
        <v>111</v>
      </c>
      <c r="D2112" s="1204">
        <v>44699.526548906601</v>
      </c>
      <c r="E2112" s="1205">
        <v>7545.0948797647998</v>
      </c>
      <c r="F2112" s="1206">
        <v>5.7282594452443503</v>
      </c>
      <c r="G2112" s="1207">
        <v>0.95353920931264502</v>
      </c>
    </row>
    <row r="2113" spans="1:7" x14ac:dyDescent="0.3">
      <c r="A2113" s="6" t="s">
        <v>960</v>
      </c>
      <c r="B2113" s="6" t="s">
        <v>961</v>
      </c>
      <c r="C2113" s="1200">
        <v>16894</v>
      </c>
      <c r="D2113" s="1200">
        <v>9434417.1435200796</v>
      </c>
      <c r="E2113" s="1201">
        <v>24203.352865869201</v>
      </c>
      <c r="F2113" s="1202">
        <v>99.998840729796996</v>
      </c>
      <c r="G2113" s="1203">
        <v>1.15565976679285E-3</v>
      </c>
    </row>
    <row r="2114" spans="1:7" x14ac:dyDescent="0.3">
      <c r="A2114" s="11" t="s">
        <v>956</v>
      </c>
      <c r="B2114" s="11" t="s">
        <v>957</v>
      </c>
      <c r="C2114" s="1204">
        <v>1</v>
      </c>
      <c r="D2114" s="1204">
        <v>109.371654680796</v>
      </c>
      <c r="E2114" s="1205">
        <v>109.02703097307899</v>
      </c>
      <c r="F2114" s="1206">
        <v>1.15927020296015E-3</v>
      </c>
      <c r="G2114" s="1207">
        <v>1.1556597667913701E-3</v>
      </c>
    </row>
    <row r="2115" spans="1:7" x14ac:dyDescent="0.3">
      <c r="A2115" s="6" t="s">
        <v>6269</v>
      </c>
      <c r="B2115" s="6" t="s">
        <v>6270</v>
      </c>
      <c r="C2115" s="1200">
        <v>1673</v>
      </c>
      <c r="D2115" s="1200">
        <v>780333.48482524697</v>
      </c>
      <c r="E2115" s="1201">
        <v>24149.6552652344</v>
      </c>
      <c r="F2115" s="1202">
        <v>7.6391990181485196</v>
      </c>
      <c r="G2115" s="1203">
        <v>0.23641689915703301</v>
      </c>
    </row>
    <row r="2116" spans="1:7" x14ac:dyDescent="0.3">
      <c r="A2116" s="11" t="s">
        <v>6269</v>
      </c>
      <c r="B2116" s="11" t="s">
        <v>6271</v>
      </c>
      <c r="C2116" s="1204">
        <v>18568</v>
      </c>
      <c r="D2116" s="1204">
        <v>10214860</v>
      </c>
      <c r="E2116" s="1205">
        <v>0</v>
      </c>
      <c r="F2116" s="1206">
        <v>100</v>
      </c>
      <c r="G2116" s="1207">
        <v>0</v>
      </c>
    </row>
    <row r="2117" spans="1:7" x14ac:dyDescent="0.3">
      <c r="A2117" s="3299" t="s">
        <v>228</v>
      </c>
      <c r="B2117" s="3298"/>
      <c r="C2117" s="3298"/>
      <c r="D2117" s="3298"/>
      <c r="E2117" s="3298"/>
      <c r="F2117" s="3298"/>
      <c r="G2117" s="3298"/>
    </row>
    <row r="2118" spans="1:7" x14ac:dyDescent="0.3">
      <c r="A2118" s="11" t="s">
        <v>964</v>
      </c>
      <c r="B2118" s="11" t="s">
        <v>1189</v>
      </c>
      <c r="C2118" s="1212">
        <v>6204</v>
      </c>
      <c r="D2118" s="1212">
        <v>3306964.4938544701</v>
      </c>
      <c r="E2118" s="1213">
        <v>105351.902228297</v>
      </c>
      <c r="F2118" s="1214">
        <v>34.604531261340597</v>
      </c>
      <c r="G2118" s="1215">
        <v>1.10409549901815</v>
      </c>
    </row>
    <row r="2119" spans="1:7" x14ac:dyDescent="0.3">
      <c r="A2119" s="6" t="s">
        <v>962</v>
      </c>
      <c r="B2119" s="6" t="s">
        <v>1188</v>
      </c>
      <c r="C2119" s="1208">
        <v>4955</v>
      </c>
      <c r="D2119" s="1208">
        <v>3070201.8955612802</v>
      </c>
      <c r="E2119" s="1209">
        <v>102764.907686315</v>
      </c>
      <c r="F2119" s="1210">
        <v>32.127014871497799</v>
      </c>
      <c r="G2119" s="1211">
        <v>1.0745011958099699</v>
      </c>
    </row>
    <row r="2120" spans="1:7" x14ac:dyDescent="0.3">
      <c r="A2120" s="11" t="s">
        <v>966</v>
      </c>
      <c r="B2120" s="11" t="s">
        <v>1190</v>
      </c>
      <c r="C2120" s="1212">
        <v>4563</v>
      </c>
      <c r="D2120" s="1212">
        <v>2211397.90869444</v>
      </c>
      <c r="E2120" s="1213">
        <v>59802.650478714597</v>
      </c>
      <c r="F2120" s="1214">
        <v>23.1403718439947</v>
      </c>
      <c r="G2120" s="1215">
        <v>0.62263696010974201</v>
      </c>
    </row>
    <row r="2121" spans="1:7" x14ac:dyDescent="0.3">
      <c r="A2121" s="6" t="s">
        <v>968</v>
      </c>
      <c r="B2121" s="6" t="s">
        <v>1191</v>
      </c>
      <c r="C2121" s="1208">
        <v>1546</v>
      </c>
      <c r="D2121" s="1208">
        <v>765269.88265938498</v>
      </c>
      <c r="E2121" s="1209">
        <v>38578.421787746098</v>
      </c>
      <c r="F2121" s="1210">
        <v>8.00788929759055</v>
      </c>
      <c r="G2121" s="1211">
        <v>0.40434241320475101</v>
      </c>
    </row>
    <row r="2122" spans="1:7" x14ac:dyDescent="0.3">
      <c r="A2122" s="11" t="s">
        <v>970</v>
      </c>
      <c r="B2122" s="11" t="s">
        <v>1192</v>
      </c>
      <c r="C2122" s="1212">
        <v>431</v>
      </c>
      <c r="D2122" s="1212">
        <v>202615.143394318</v>
      </c>
      <c r="E2122" s="1213">
        <v>12099.2698118382</v>
      </c>
      <c r="F2122" s="1214">
        <v>2.1201927255764002</v>
      </c>
      <c r="G2122" s="1215">
        <v>0.126983810021223</v>
      </c>
    </row>
    <row r="2123" spans="1:7" x14ac:dyDescent="0.3">
      <c r="A2123" s="6" t="s">
        <v>960</v>
      </c>
      <c r="B2123" s="6"/>
      <c r="C2123" s="1208">
        <v>851</v>
      </c>
      <c r="D2123" s="1208">
        <v>649360.005185658</v>
      </c>
      <c r="E2123" s="1209">
        <v>7.74581865908651E-3</v>
      </c>
      <c r="F2123" s="1210">
        <v>98.6253760786974</v>
      </c>
      <c r="G2123" s="1211">
        <v>0.55479678858303905</v>
      </c>
    </row>
    <row r="2124" spans="1:7" x14ac:dyDescent="0.3">
      <c r="A2124" s="11" t="s">
        <v>958</v>
      </c>
      <c r="B2124" s="11" t="s">
        <v>1019</v>
      </c>
      <c r="C2124" s="1212">
        <v>18</v>
      </c>
      <c r="D2124" s="1212">
        <v>5541.1358277336903</v>
      </c>
      <c r="E2124" s="1213">
        <v>2124.7305525656602</v>
      </c>
      <c r="F2124" s="1214">
        <v>0.84159264591161698</v>
      </c>
      <c r="G2124" s="1215">
        <v>0.32020517139701499</v>
      </c>
    </row>
    <row r="2125" spans="1:7" x14ac:dyDescent="0.3">
      <c r="A2125" s="6" t="s">
        <v>956</v>
      </c>
      <c r="B2125" s="6" t="s">
        <v>957</v>
      </c>
      <c r="C2125" s="1208">
        <v>2</v>
      </c>
      <c r="D2125" s="1208">
        <v>3509.5348227197401</v>
      </c>
      <c r="E2125" s="1209">
        <v>2844.2476365757798</v>
      </c>
      <c r="F2125" s="1210">
        <v>0.53303127539100204</v>
      </c>
      <c r="G2125" s="1211">
        <v>0.43078230085256197</v>
      </c>
    </row>
    <row r="2126" spans="1:7" x14ac:dyDescent="0.3">
      <c r="A2126" s="11" t="s">
        <v>6269</v>
      </c>
      <c r="B2126" s="11" t="s">
        <v>6270</v>
      </c>
      <c r="C2126" s="1212">
        <v>17699</v>
      </c>
      <c r="D2126" s="1212">
        <v>9556449.3241639007</v>
      </c>
      <c r="E2126" s="1213">
        <v>3697.2933429520099</v>
      </c>
      <c r="F2126" s="1214">
        <v>93.554383752336193</v>
      </c>
      <c r="G2126" s="1215">
        <v>3.6195242450204598E-2</v>
      </c>
    </row>
    <row r="2127" spans="1:7" x14ac:dyDescent="0.3">
      <c r="A2127" s="6" t="s">
        <v>6269</v>
      </c>
      <c r="B2127" s="6" t="s">
        <v>6271</v>
      </c>
      <c r="C2127" s="1208">
        <v>18570</v>
      </c>
      <c r="D2127" s="1208">
        <v>10214860</v>
      </c>
      <c r="E2127" s="1209">
        <v>0</v>
      </c>
      <c r="F2127" s="1210">
        <v>100</v>
      </c>
      <c r="G2127" s="1211">
        <v>0</v>
      </c>
    </row>
    <row r="2128" spans="1:7" x14ac:dyDescent="0.3">
      <c r="A2128" s="3299" t="s">
        <v>449</v>
      </c>
      <c r="B2128" s="3298"/>
      <c r="C2128" s="3298"/>
      <c r="D2128" s="3298"/>
      <c r="E2128" s="3298"/>
      <c r="F2128" s="3298"/>
      <c r="G2128" s="3298"/>
    </row>
    <row r="2129" spans="1:7" x14ac:dyDescent="0.3">
      <c r="A2129" s="11" t="s">
        <v>964</v>
      </c>
      <c r="B2129" s="11" t="s">
        <v>5964</v>
      </c>
      <c r="C2129" s="1220">
        <v>11047</v>
      </c>
      <c r="D2129" s="1220">
        <v>5717650.4549488099</v>
      </c>
      <c r="E2129" s="1221">
        <v>86716.515701005905</v>
      </c>
      <c r="F2129" s="1222">
        <v>59.886356378149301</v>
      </c>
      <c r="G2129" s="1223">
        <v>0.91935664429269504</v>
      </c>
    </row>
    <row r="2130" spans="1:7" x14ac:dyDescent="0.3">
      <c r="A2130" s="6" t="s">
        <v>966</v>
      </c>
      <c r="B2130" s="6" t="s">
        <v>5965</v>
      </c>
      <c r="C2130" s="1216">
        <v>4496</v>
      </c>
      <c r="D2130" s="1216">
        <v>2547160.0176564101</v>
      </c>
      <c r="E2130" s="1217">
        <v>74330.619560464096</v>
      </c>
      <c r="F2130" s="1218">
        <v>26.6788139239111</v>
      </c>
      <c r="G2130" s="1219">
        <v>0.77104072952625602</v>
      </c>
    </row>
    <row r="2131" spans="1:7" x14ac:dyDescent="0.3">
      <c r="A2131" s="11" t="s">
        <v>962</v>
      </c>
      <c r="B2131" s="11" t="s">
        <v>5963</v>
      </c>
      <c r="C2131" s="1220">
        <v>2140</v>
      </c>
      <c r="D2131" s="1220">
        <v>1282690.49547005</v>
      </c>
      <c r="E2131" s="1221">
        <v>63970.1004093499</v>
      </c>
      <c r="F2131" s="1222">
        <v>13.4348296979396</v>
      </c>
      <c r="G2131" s="1223">
        <v>0.67070188273371101</v>
      </c>
    </row>
    <row r="2132" spans="1:7" x14ac:dyDescent="0.3">
      <c r="A2132" s="6" t="s">
        <v>960</v>
      </c>
      <c r="B2132" s="6"/>
      <c r="C2132" s="1216">
        <v>851</v>
      </c>
      <c r="D2132" s="1216">
        <v>649360.005185658</v>
      </c>
      <c r="E2132" s="1217">
        <v>7.74581865908651E-3</v>
      </c>
      <c r="F2132" s="1218">
        <v>97.302947007824898</v>
      </c>
      <c r="G2132" s="1219">
        <v>0.76553223767433298</v>
      </c>
    </row>
    <row r="2133" spans="1:7" x14ac:dyDescent="0.3">
      <c r="A2133" s="11" t="s">
        <v>956</v>
      </c>
      <c r="B2133" s="11" t="s">
        <v>957</v>
      </c>
      <c r="C2133" s="1220">
        <v>19</v>
      </c>
      <c r="D2133" s="1220">
        <v>13390.932995974699</v>
      </c>
      <c r="E2133" s="1221">
        <v>5459.9578403612804</v>
      </c>
      <c r="F2133" s="1222">
        <v>2.0065560448554698</v>
      </c>
      <c r="G2133" s="1223">
        <v>0.80547212535101798</v>
      </c>
    </row>
    <row r="2134" spans="1:7" x14ac:dyDescent="0.3">
      <c r="A2134" s="6" t="s">
        <v>958</v>
      </c>
      <c r="B2134" s="6" t="s">
        <v>959</v>
      </c>
      <c r="C2134" s="1216">
        <v>17</v>
      </c>
      <c r="D2134" s="1216">
        <v>4608.0937431022003</v>
      </c>
      <c r="E2134" s="1217">
        <v>1695.91993574805</v>
      </c>
      <c r="F2134" s="1218">
        <v>0.69049694731964095</v>
      </c>
      <c r="G2134" s="1219">
        <v>0.25385104380737</v>
      </c>
    </row>
    <row r="2135" spans="1:7" x14ac:dyDescent="0.3">
      <c r="A2135" s="11" t="s">
        <v>6269</v>
      </c>
      <c r="B2135" s="11" t="s">
        <v>6270</v>
      </c>
      <c r="C2135" s="1220">
        <v>17683</v>
      </c>
      <c r="D2135" s="1220">
        <v>9547500.9680752791</v>
      </c>
      <c r="E2135" s="1221">
        <v>5237.3922512850504</v>
      </c>
      <c r="F2135" s="1222">
        <v>93.466782394230194</v>
      </c>
      <c r="G2135" s="1223">
        <v>5.1272286172059298E-2</v>
      </c>
    </row>
    <row r="2136" spans="1:7" x14ac:dyDescent="0.3">
      <c r="A2136" s="6" t="s">
        <v>6269</v>
      </c>
      <c r="B2136" s="6" t="s">
        <v>6271</v>
      </c>
      <c r="C2136" s="1216">
        <v>18570</v>
      </c>
      <c r="D2136" s="1216">
        <v>10214860</v>
      </c>
      <c r="E2136" s="1217">
        <v>0</v>
      </c>
      <c r="F2136" s="1218">
        <v>100</v>
      </c>
      <c r="G2136" s="1219">
        <v>0</v>
      </c>
    </row>
    <row r="2137" spans="1:7" x14ac:dyDescent="0.3">
      <c r="A2137" s="3299" t="s">
        <v>822</v>
      </c>
      <c r="B2137" s="3298"/>
      <c r="C2137" s="3298"/>
      <c r="D2137" s="3298"/>
      <c r="E2137" s="3298"/>
      <c r="F2137" s="3298"/>
      <c r="G2137" s="3298"/>
    </row>
    <row r="2138" spans="1:7" x14ac:dyDescent="0.3">
      <c r="A2138" s="11" t="s">
        <v>6275</v>
      </c>
      <c r="B2138" s="11"/>
      <c r="C2138" s="1228">
        <v>1232</v>
      </c>
      <c r="D2138" s="1228">
        <v>682232.323548657</v>
      </c>
      <c r="E2138" s="1229">
        <v>30450.1215964886</v>
      </c>
      <c r="F2138" s="1230">
        <v>26.840044498566101</v>
      </c>
      <c r="G2138" s="1231">
        <v>1.45223442943859</v>
      </c>
    </row>
    <row r="2139" spans="1:7" x14ac:dyDescent="0.3">
      <c r="A2139" s="6" t="s">
        <v>6273</v>
      </c>
      <c r="B2139" s="6"/>
      <c r="C2139" s="1224">
        <v>783</v>
      </c>
      <c r="D2139" s="1224">
        <v>420535.33859648998</v>
      </c>
      <c r="E2139" s="1225">
        <v>24836.572382282098</v>
      </c>
      <c r="F2139" s="1226">
        <v>16.544491973699898</v>
      </c>
      <c r="G2139" s="1227">
        <v>0.82652875843599105</v>
      </c>
    </row>
    <row r="2140" spans="1:7" x14ac:dyDescent="0.3">
      <c r="A2140" s="11" t="s">
        <v>6276</v>
      </c>
      <c r="B2140" s="11"/>
      <c r="C2140" s="1228">
        <v>747</v>
      </c>
      <c r="D2140" s="1228">
        <v>406819.12940609897</v>
      </c>
      <c r="E2140" s="1229">
        <v>23950.8910381182</v>
      </c>
      <c r="F2140" s="1230">
        <v>16.004875698840898</v>
      </c>
      <c r="G2140" s="1231">
        <v>0.79305870429528103</v>
      </c>
    </row>
    <row r="2141" spans="1:7" x14ac:dyDescent="0.3">
      <c r="A2141" s="6" t="s">
        <v>6277</v>
      </c>
      <c r="B2141" s="6"/>
      <c r="C2141" s="1224">
        <v>618</v>
      </c>
      <c r="D2141" s="1224">
        <v>394040.74323467299</v>
      </c>
      <c r="E2141" s="1225">
        <v>32809.727746630197</v>
      </c>
      <c r="F2141" s="1226">
        <v>15.502154790401701</v>
      </c>
      <c r="G2141" s="1227">
        <v>0.97364728129090095</v>
      </c>
    </row>
    <row r="2142" spans="1:7" x14ac:dyDescent="0.3">
      <c r="A2142" s="11" t="s">
        <v>6278</v>
      </c>
      <c r="B2142" s="11"/>
      <c r="C2142" s="1228">
        <v>398</v>
      </c>
      <c r="D2142" s="1228">
        <v>197933.573202253</v>
      </c>
      <c r="E2142" s="1229">
        <v>14519.219160270401</v>
      </c>
      <c r="F2142" s="1230">
        <v>7.7870041174174398</v>
      </c>
      <c r="G2142" s="1231">
        <v>0.52676157149554104</v>
      </c>
    </row>
    <row r="2143" spans="1:7" x14ac:dyDescent="0.3">
      <c r="A2143" s="6" t="s">
        <v>6274</v>
      </c>
      <c r="B2143" s="6"/>
      <c r="C2143" s="1224">
        <v>295</v>
      </c>
      <c r="D2143" s="1224">
        <v>167377.10480915301</v>
      </c>
      <c r="E2143" s="1225">
        <v>19886.931510451101</v>
      </c>
      <c r="F2143" s="1226">
        <v>6.5848667470802198</v>
      </c>
      <c r="G2143" s="1227">
        <v>0.717225527409599</v>
      </c>
    </row>
    <row r="2144" spans="1:7" x14ac:dyDescent="0.3">
      <c r="A2144" s="11" t="s">
        <v>995</v>
      </c>
      <c r="B2144" s="11"/>
      <c r="C2144" s="1228">
        <v>89</v>
      </c>
      <c r="D2144" s="1228">
        <v>63005.675127346403</v>
      </c>
      <c r="E2144" s="1229">
        <v>9818.8044443156396</v>
      </c>
      <c r="F2144" s="1230">
        <v>2.47873791039977</v>
      </c>
      <c r="G2144" s="1231">
        <v>0.38302293059567</v>
      </c>
    </row>
    <row r="2145" spans="1:7" x14ac:dyDescent="0.3">
      <c r="A2145" s="6" t="s">
        <v>1047</v>
      </c>
      <c r="B2145" s="6"/>
      <c r="C2145" s="1224">
        <v>62</v>
      </c>
      <c r="D2145" s="1224">
        <v>52319.503230734903</v>
      </c>
      <c r="E2145" s="1225">
        <v>8992.5395663668005</v>
      </c>
      <c r="F2145" s="1226">
        <v>2.0583278545811199</v>
      </c>
      <c r="G2145" s="1227">
        <v>0.374790065683823</v>
      </c>
    </row>
    <row r="2146" spans="1:7" x14ac:dyDescent="0.3">
      <c r="A2146" s="11" t="s">
        <v>6272</v>
      </c>
      <c r="B2146" s="11"/>
      <c r="C2146" s="1228">
        <v>63</v>
      </c>
      <c r="D2146" s="1228">
        <v>40793.592915692803</v>
      </c>
      <c r="E2146" s="1229">
        <v>5701.0413344940198</v>
      </c>
      <c r="F2146" s="1230">
        <v>1.6048812278761799</v>
      </c>
      <c r="G2146" s="1231">
        <v>0.21279361123039101</v>
      </c>
    </row>
    <row r="2147" spans="1:7" x14ac:dyDescent="0.3">
      <c r="A2147" s="6" t="s">
        <v>1155</v>
      </c>
      <c r="B2147" s="6"/>
      <c r="C2147" s="1224">
        <v>32</v>
      </c>
      <c r="D2147" s="1224">
        <v>26365.242183900002</v>
      </c>
      <c r="E2147" s="1225">
        <v>7975.6191881022396</v>
      </c>
      <c r="F2147" s="1226">
        <v>1.0372482349568399</v>
      </c>
      <c r="G2147" s="1227">
        <v>0.30206980484922902</v>
      </c>
    </row>
    <row r="2148" spans="1:7" x14ac:dyDescent="0.3">
      <c r="A2148" s="11" t="s">
        <v>1152</v>
      </c>
      <c r="B2148" s="11"/>
      <c r="C2148" s="1228">
        <v>43</v>
      </c>
      <c r="D2148" s="1228">
        <v>22909.7619493436</v>
      </c>
      <c r="E2148" s="1229">
        <v>7358.5224780430099</v>
      </c>
      <c r="F2148" s="1230">
        <v>0.90130445150050797</v>
      </c>
      <c r="G2148" s="1231">
        <v>0.280567910530648</v>
      </c>
    </row>
    <row r="2149" spans="1:7" x14ac:dyDescent="0.3">
      <c r="A2149" s="6" t="s">
        <v>6279</v>
      </c>
      <c r="B2149" s="6"/>
      <c r="C2149" s="1224">
        <v>30</v>
      </c>
      <c r="D2149" s="1224">
        <v>15387.1523216611</v>
      </c>
      <c r="E2149" s="1225">
        <v>4821.1935663516297</v>
      </c>
      <c r="F2149" s="1226">
        <v>0.60535368783379695</v>
      </c>
      <c r="G2149" s="1227">
        <v>0.18923355719355101</v>
      </c>
    </row>
    <row r="2150" spans="1:7" x14ac:dyDescent="0.3">
      <c r="A2150" s="11" t="s">
        <v>1005</v>
      </c>
      <c r="B2150" s="11"/>
      <c r="C2150" s="1228">
        <v>17</v>
      </c>
      <c r="D2150" s="1228">
        <v>12875.659894145399</v>
      </c>
      <c r="E2150" s="1229">
        <v>4997.7533014186301</v>
      </c>
      <c r="F2150" s="1230">
        <v>0.50654780282133305</v>
      </c>
      <c r="G2150" s="1231">
        <v>0.19205632661192201</v>
      </c>
    </row>
    <row r="2151" spans="1:7" x14ac:dyDescent="0.3">
      <c r="A2151" s="6" t="s">
        <v>1003</v>
      </c>
      <c r="B2151" s="6"/>
      <c r="C2151" s="1224">
        <v>31</v>
      </c>
      <c r="D2151" s="1224">
        <v>11886.316515144201</v>
      </c>
      <c r="E2151" s="1225">
        <v>3736.9578271538398</v>
      </c>
      <c r="F2151" s="1226">
        <v>0.46762554804068601</v>
      </c>
      <c r="G2151" s="1227">
        <v>0.153957126093198</v>
      </c>
    </row>
    <row r="2152" spans="1:7" x14ac:dyDescent="0.3">
      <c r="A2152" s="11" t="s">
        <v>999</v>
      </c>
      <c r="B2152" s="11"/>
      <c r="C2152" s="1228">
        <v>18</v>
      </c>
      <c r="D2152" s="1228">
        <v>11545.282934353199</v>
      </c>
      <c r="E2152" s="1229">
        <v>4232.0255138909597</v>
      </c>
      <c r="F2152" s="1230">
        <v>0.45420877465134701</v>
      </c>
      <c r="G2152" s="1231">
        <v>0.17045258621411</v>
      </c>
    </row>
    <row r="2153" spans="1:7" x14ac:dyDescent="0.3">
      <c r="A2153" s="6" t="s">
        <v>6280</v>
      </c>
      <c r="B2153" s="6"/>
      <c r="C2153" s="1224">
        <v>10</v>
      </c>
      <c r="D2153" s="1224">
        <v>6844.8622405189799</v>
      </c>
      <c r="E2153" s="1225">
        <v>3687.82548213467</v>
      </c>
      <c r="F2153" s="1226">
        <v>0.269287163303076</v>
      </c>
      <c r="G2153" s="1227">
        <v>0.14566959415540001</v>
      </c>
    </row>
    <row r="2154" spans="1:7" x14ac:dyDescent="0.3">
      <c r="A2154" s="11" t="s">
        <v>1001</v>
      </c>
      <c r="B2154" s="11"/>
      <c r="C2154" s="1228">
        <v>3</v>
      </c>
      <c r="D2154" s="1228">
        <v>3712.9121145045301</v>
      </c>
      <c r="E2154" s="1229">
        <v>2884.9948899494998</v>
      </c>
      <c r="F2154" s="1230">
        <v>0.14607154034304501</v>
      </c>
      <c r="G2154" s="1231">
        <v>0.113277086961474</v>
      </c>
    </row>
    <row r="2155" spans="1:7" x14ac:dyDescent="0.3">
      <c r="A2155" s="6" t="s">
        <v>997</v>
      </c>
      <c r="B2155" s="6"/>
      <c r="C2155" s="1224">
        <v>3</v>
      </c>
      <c r="D2155" s="1224">
        <v>3027.45871879894</v>
      </c>
      <c r="E2155" s="1225">
        <v>2894.2695648454901</v>
      </c>
      <c r="F2155" s="1226">
        <v>0.119104774026938</v>
      </c>
      <c r="G2155" s="1227">
        <v>0.113917346163478</v>
      </c>
    </row>
    <row r="2156" spans="1:7" x14ac:dyDescent="0.3">
      <c r="A2156" s="11" t="s">
        <v>1007</v>
      </c>
      <c r="B2156" s="11"/>
      <c r="C2156" s="1228">
        <v>1</v>
      </c>
      <c r="D2156" s="1228">
        <v>1199.37155712906</v>
      </c>
      <c r="E2156" s="1229">
        <v>1193.6663925442399</v>
      </c>
      <c r="F2156" s="1230">
        <v>4.7185078825076603E-2</v>
      </c>
      <c r="G2156" s="1231">
        <v>4.7048344186178398E-2</v>
      </c>
    </row>
    <row r="2157" spans="1:7" x14ac:dyDescent="0.3">
      <c r="A2157" s="6" t="s">
        <v>1011</v>
      </c>
      <c r="B2157" s="6"/>
      <c r="C2157" s="1224">
        <v>4</v>
      </c>
      <c r="D2157" s="1224">
        <v>606.58330120385699</v>
      </c>
      <c r="E2157" s="1225">
        <v>236.186022063617</v>
      </c>
      <c r="F2157" s="1226">
        <v>2.38638983150401E-2</v>
      </c>
      <c r="G2157" s="1227">
        <v>9.1041801798442401E-3</v>
      </c>
    </row>
    <row r="2158" spans="1:7" x14ac:dyDescent="0.3">
      <c r="A2158" s="11" t="s">
        <v>1159</v>
      </c>
      <c r="B2158" s="11"/>
      <c r="C2158" s="1228">
        <v>1</v>
      </c>
      <c r="D2158" s="1228">
        <v>427.39157259512098</v>
      </c>
      <c r="E2158" s="1229">
        <v>428.65514144646698</v>
      </c>
      <c r="F2158" s="1230">
        <v>1.6814226519050401E-2</v>
      </c>
      <c r="G2158" s="1231">
        <v>1.69261557521042E-2</v>
      </c>
    </row>
    <row r="2159" spans="1:7" x14ac:dyDescent="0.3">
      <c r="A2159" s="6" t="s">
        <v>960</v>
      </c>
      <c r="B2159" s="6" t="s">
        <v>961</v>
      </c>
      <c r="C2159" s="1224">
        <v>14074</v>
      </c>
      <c r="D2159" s="1224">
        <v>7667699.9823436001</v>
      </c>
      <c r="E2159" s="1225">
        <v>74330.619560469902</v>
      </c>
      <c r="F2159" s="1226">
        <v>99.930730771831904</v>
      </c>
      <c r="G2159" s="1227">
        <v>2.3277868494937501E-2</v>
      </c>
    </row>
    <row r="2160" spans="1:7" x14ac:dyDescent="0.3">
      <c r="A2160" s="11" t="s">
        <v>956</v>
      </c>
      <c r="B2160" s="11" t="s">
        <v>1025</v>
      </c>
      <c r="C2160" s="1228">
        <v>14</v>
      </c>
      <c r="D2160" s="1228">
        <v>5189.9687649039797</v>
      </c>
      <c r="E2160" s="1229">
        <v>1713.91754294207</v>
      </c>
      <c r="F2160" s="1230">
        <v>6.7639236349114104E-2</v>
      </c>
      <c r="G2160" s="1231">
        <v>2.23856429236108E-2</v>
      </c>
    </row>
    <row r="2161" spans="1:7" x14ac:dyDescent="0.3">
      <c r="A2161" s="6" t="s">
        <v>958</v>
      </c>
      <c r="B2161" s="6" t="s">
        <v>1019</v>
      </c>
      <c r="C2161" s="1224">
        <v>1</v>
      </c>
      <c r="D2161" s="1224">
        <v>125.069517104553</v>
      </c>
      <c r="E2161" s="1225">
        <v>125.373986983238</v>
      </c>
      <c r="F2161" s="1226">
        <v>1.6299918189702099E-3</v>
      </c>
      <c r="G2161" s="1227">
        <v>1.6363591861557501E-3</v>
      </c>
    </row>
    <row r="2162" spans="1:7" x14ac:dyDescent="0.3">
      <c r="A2162" s="11" t="s">
        <v>6269</v>
      </c>
      <c r="B2162" s="11" t="s">
        <v>6270</v>
      </c>
      <c r="C2162" s="1228">
        <v>4480</v>
      </c>
      <c r="D2162" s="1228">
        <v>2541844.9793743999</v>
      </c>
      <c r="E2162" s="1229">
        <v>74113.671379463805</v>
      </c>
      <c r="F2162" s="1230">
        <v>24.883796541258501</v>
      </c>
      <c r="G2162" s="1231">
        <v>0.725547598101838</v>
      </c>
    </row>
    <row r="2163" spans="1:7" x14ac:dyDescent="0.3">
      <c r="A2163" s="6" t="s">
        <v>6269</v>
      </c>
      <c r="B2163" s="6" t="s">
        <v>6271</v>
      </c>
      <c r="C2163" s="1224">
        <v>18569</v>
      </c>
      <c r="D2163" s="1224">
        <v>10214860</v>
      </c>
      <c r="E2163" s="1225">
        <v>0</v>
      </c>
      <c r="F2163" s="1226">
        <v>100</v>
      </c>
      <c r="G2163" s="1227">
        <v>0</v>
      </c>
    </row>
    <row r="2164" spans="1:7" x14ac:dyDescent="0.3">
      <c r="A2164" s="3299" t="s">
        <v>325</v>
      </c>
      <c r="B2164" s="3298"/>
      <c r="C2164" s="3298"/>
      <c r="D2164" s="3298"/>
      <c r="E2164" s="3298"/>
      <c r="F2164" s="3298"/>
      <c r="G2164" s="3298"/>
    </row>
    <row r="2165" spans="1:7" x14ac:dyDescent="0.3">
      <c r="A2165" s="11" t="s">
        <v>6273</v>
      </c>
      <c r="B2165" s="11"/>
      <c r="C2165" s="1236">
        <v>2512</v>
      </c>
      <c r="D2165" s="1236">
        <v>1311440.47950151</v>
      </c>
      <c r="E2165" s="1237">
        <v>27058.4915944971</v>
      </c>
      <c r="F2165" s="1238">
        <v>23.031158363200099</v>
      </c>
      <c r="G2165" s="1239">
        <v>0.35442933708037699</v>
      </c>
    </row>
    <row r="2166" spans="1:7" x14ac:dyDescent="0.3">
      <c r="A2166" s="6" t="s">
        <v>6274</v>
      </c>
      <c r="B2166" s="6"/>
      <c r="C2166" s="1232">
        <v>1971</v>
      </c>
      <c r="D2166" s="1232">
        <v>1056903.0264935701</v>
      </c>
      <c r="E2166" s="1233">
        <v>45859.332184730403</v>
      </c>
      <c r="F2166" s="1234">
        <v>18.561041357341299</v>
      </c>
      <c r="G2166" s="1235">
        <v>0.788626802377137</v>
      </c>
    </row>
    <row r="2167" spans="1:7" x14ac:dyDescent="0.3">
      <c r="A2167" s="11" t="s">
        <v>6275</v>
      </c>
      <c r="B2167" s="11"/>
      <c r="C2167" s="1236">
        <v>1752</v>
      </c>
      <c r="D2167" s="1236">
        <v>951051.96130574495</v>
      </c>
      <c r="E2167" s="1237">
        <v>63918.908255998896</v>
      </c>
      <c r="F2167" s="1238">
        <v>16.702113953955799</v>
      </c>
      <c r="G2167" s="1239">
        <v>0.99092671278585998</v>
      </c>
    </row>
    <row r="2168" spans="1:7" x14ac:dyDescent="0.3">
      <c r="A2168" s="6" t="s">
        <v>6277</v>
      </c>
      <c r="B2168" s="6"/>
      <c r="C2168" s="1232">
        <v>1188</v>
      </c>
      <c r="D2168" s="1232">
        <v>592220.47789358895</v>
      </c>
      <c r="E2168" s="1233">
        <v>25466.524863346101</v>
      </c>
      <c r="F2168" s="1234">
        <v>10.4004137629501</v>
      </c>
      <c r="G2168" s="1235">
        <v>0.51273432466173396</v>
      </c>
    </row>
    <row r="2169" spans="1:7" x14ac:dyDescent="0.3">
      <c r="A2169" s="11" t="s">
        <v>6276</v>
      </c>
      <c r="B2169" s="11"/>
      <c r="C2169" s="1236">
        <v>1183</v>
      </c>
      <c r="D2169" s="1236">
        <v>585565.10323599097</v>
      </c>
      <c r="E2169" s="1237">
        <v>35764.665391861599</v>
      </c>
      <c r="F2169" s="1238">
        <v>10.283533896801799</v>
      </c>
      <c r="G2169" s="1239">
        <v>0.65380340568558404</v>
      </c>
    </row>
    <row r="2170" spans="1:7" x14ac:dyDescent="0.3">
      <c r="A2170" s="6" t="s">
        <v>1152</v>
      </c>
      <c r="B2170" s="6"/>
      <c r="C2170" s="1232">
        <v>797</v>
      </c>
      <c r="D2170" s="1232">
        <v>348323.10786090902</v>
      </c>
      <c r="E2170" s="1233">
        <v>20232.411297427199</v>
      </c>
      <c r="F2170" s="1234">
        <v>6.1171549788946296</v>
      </c>
      <c r="G2170" s="1235">
        <v>0.33717125184184699</v>
      </c>
    </row>
    <row r="2171" spans="1:7" x14ac:dyDescent="0.3">
      <c r="A2171" s="11" t="s">
        <v>6272</v>
      </c>
      <c r="B2171" s="11"/>
      <c r="C2171" s="1236">
        <v>634</v>
      </c>
      <c r="D2171" s="1236">
        <v>329078.54091457301</v>
      </c>
      <c r="E2171" s="1237">
        <v>17399.554261057099</v>
      </c>
      <c r="F2171" s="1238">
        <v>5.7791871672401296</v>
      </c>
      <c r="G2171" s="1239">
        <v>0.32478478350742301</v>
      </c>
    </row>
    <row r="2172" spans="1:7" x14ac:dyDescent="0.3">
      <c r="A2172" s="6" t="s">
        <v>6278</v>
      </c>
      <c r="B2172" s="6"/>
      <c r="C2172" s="1232">
        <v>427</v>
      </c>
      <c r="D2172" s="1232">
        <v>220483.06290553499</v>
      </c>
      <c r="E2172" s="1233">
        <v>23627.352889815698</v>
      </c>
      <c r="F2172" s="1234">
        <v>3.8720631378642398</v>
      </c>
      <c r="G2172" s="1235">
        <v>0.39833250637143602</v>
      </c>
    </row>
    <row r="2173" spans="1:7" x14ac:dyDescent="0.3">
      <c r="A2173" s="11" t="s">
        <v>995</v>
      </c>
      <c r="B2173" s="11"/>
      <c r="C2173" s="1236">
        <v>139</v>
      </c>
      <c r="D2173" s="1236">
        <v>70420.249695113598</v>
      </c>
      <c r="E2173" s="1237">
        <v>14477.720926771401</v>
      </c>
      <c r="F2173" s="1238">
        <v>1.2367011298299599</v>
      </c>
      <c r="G2173" s="1239">
        <v>0.24992378721876801</v>
      </c>
    </row>
    <row r="2174" spans="1:7" x14ac:dyDescent="0.3">
      <c r="A2174" s="6" t="s">
        <v>1155</v>
      </c>
      <c r="B2174" s="6"/>
      <c r="C2174" s="1232">
        <v>75</v>
      </c>
      <c r="D2174" s="1232">
        <v>47324.351116733298</v>
      </c>
      <c r="E2174" s="1233">
        <v>12408.954323991</v>
      </c>
      <c r="F2174" s="1234">
        <v>0.831097287327493</v>
      </c>
      <c r="G2174" s="1235">
        <v>0.21953033218492399</v>
      </c>
    </row>
    <row r="2175" spans="1:7" x14ac:dyDescent="0.3">
      <c r="A2175" s="11" t="s">
        <v>1047</v>
      </c>
      <c r="B2175" s="11"/>
      <c r="C2175" s="1236">
        <v>77</v>
      </c>
      <c r="D2175" s="1236">
        <v>44496.852170268903</v>
      </c>
      <c r="E2175" s="1237">
        <v>10638.575901393</v>
      </c>
      <c r="F2175" s="1238">
        <v>0.78144152557111002</v>
      </c>
      <c r="G2175" s="1239">
        <v>0.184234439813624</v>
      </c>
    </row>
    <row r="2176" spans="1:7" x14ac:dyDescent="0.3">
      <c r="A2176" s="6" t="s">
        <v>1003</v>
      </c>
      <c r="B2176" s="6"/>
      <c r="C2176" s="1232">
        <v>89</v>
      </c>
      <c r="D2176" s="1232">
        <v>42985.0668624873</v>
      </c>
      <c r="E2176" s="1233">
        <v>11178.872648103699</v>
      </c>
      <c r="F2176" s="1234">
        <v>0.75489196622861399</v>
      </c>
      <c r="G2176" s="1235">
        <v>0.195752381696779</v>
      </c>
    </row>
    <row r="2177" spans="1:7" x14ac:dyDescent="0.3">
      <c r="A2177" s="11" t="s">
        <v>1005</v>
      </c>
      <c r="B2177" s="11"/>
      <c r="C2177" s="1236">
        <v>62</v>
      </c>
      <c r="D2177" s="1236">
        <v>39226.958320242396</v>
      </c>
      <c r="E2177" s="1237">
        <v>8116.8946056273398</v>
      </c>
      <c r="F2177" s="1238">
        <v>0.688893093740373</v>
      </c>
      <c r="G2177" s="1239">
        <v>0.13575202669845099</v>
      </c>
    </row>
    <row r="2178" spans="1:7" x14ac:dyDescent="0.3">
      <c r="A2178" s="6" t="s">
        <v>6279</v>
      </c>
      <c r="B2178" s="6"/>
      <c r="C2178" s="1232">
        <v>33</v>
      </c>
      <c r="D2178" s="1232">
        <v>25339.970854512801</v>
      </c>
      <c r="E2178" s="1233">
        <v>5388.6775729002602</v>
      </c>
      <c r="F2178" s="1234">
        <v>0.44501362493477098</v>
      </c>
      <c r="G2178" s="1235">
        <v>9.1495853674883595E-2</v>
      </c>
    </row>
    <row r="2179" spans="1:7" x14ac:dyDescent="0.3">
      <c r="A2179" s="11" t="s">
        <v>999</v>
      </c>
      <c r="B2179" s="11"/>
      <c r="C2179" s="1236">
        <v>30</v>
      </c>
      <c r="D2179" s="1236">
        <v>11639.84738028</v>
      </c>
      <c r="E2179" s="1237">
        <v>4212.4036399786801</v>
      </c>
      <c r="F2179" s="1238">
        <v>0.20441581034665601</v>
      </c>
      <c r="G2179" s="1239">
        <v>7.5289699648191905E-2</v>
      </c>
    </row>
    <row r="2180" spans="1:7" x14ac:dyDescent="0.3">
      <c r="A2180" s="6" t="s">
        <v>6280</v>
      </c>
      <c r="B2180" s="6"/>
      <c r="C2180" s="1232">
        <v>9</v>
      </c>
      <c r="D2180" s="1232">
        <v>6657.4365886384703</v>
      </c>
      <c r="E2180" s="1233">
        <v>5515.3379861431004</v>
      </c>
      <c r="F2180" s="1234">
        <v>0.116916077216235</v>
      </c>
      <c r="G2180" s="1235">
        <v>9.7003436442124294E-2</v>
      </c>
    </row>
    <row r="2181" spans="1:7" x14ac:dyDescent="0.3">
      <c r="A2181" s="11" t="s">
        <v>1007</v>
      </c>
      <c r="B2181" s="11"/>
      <c r="C2181" s="1236">
        <v>6</v>
      </c>
      <c r="D2181" s="1236">
        <v>5006.4835955457902</v>
      </c>
      <c r="E2181" s="1237">
        <v>2386.1941251036201</v>
      </c>
      <c r="F2181" s="1238">
        <v>8.7922493116582096E-2</v>
      </c>
      <c r="G2181" s="1239">
        <v>4.1305365883929301E-2</v>
      </c>
    </row>
    <row r="2182" spans="1:7" x14ac:dyDescent="0.3">
      <c r="A2182" s="6" t="s">
        <v>1001</v>
      </c>
      <c r="B2182" s="6"/>
      <c r="C2182" s="1232">
        <v>1</v>
      </c>
      <c r="D2182" s="1232">
        <v>2526.0214622663998</v>
      </c>
      <c r="E2182" s="1233">
        <v>2515.8726314043602</v>
      </c>
      <c r="F2182" s="1234">
        <v>4.4361296784443803E-2</v>
      </c>
      <c r="G2182" s="1235">
        <v>4.4091627551314599E-2</v>
      </c>
    </row>
    <row r="2183" spans="1:7" x14ac:dyDescent="0.3">
      <c r="A2183" s="11" t="s">
        <v>1011</v>
      </c>
      <c r="B2183" s="11"/>
      <c r="C2183" s="1236">
        <v>6</v>
      </c>
      <c r="D2183" s="1236">
        <v>2368.16931543706</v>
      </c>
      <c r="E2183" s="1237">
        <v>1666.11965061516</v>
      </c>
      <c r="F2183" s="1238">
        <v>4.158914063369E-2</v>
      </c>
      <c r="G2183" s="1239">
        <v>2.91203179098358E-2</v>
      </c>
    </row>
    <row r="2184" spans="1:7" x14ac:dyDescent="0.3">
      <c r="A2184" s="6" t="s">
        <v>1013</v>
      </c>
      <c r="B2184" s="6"/>
      <c r="C2184" s="1232">
        <v>1</v>
      </c>
      <c r="D2184" s="1232">
        <v>691.19746505799606</v>
      </c>
      <c r="E2184" s="1233">
        <v>714.86261868298197</v>
      </c>
      <c r="F2184" s="1234">
        <v>1.2138620491601901E-2</v>
      </c>
      <c r="G2184" s="1235">
        <v>1.25897018542894E-2</v>
      </c>
    </row>
    <row r="2185" spans="1:7" x14ac:dyDescent="0.3">
      <c r="A2185" s="11" t="s">
        <v>1009</v>
      </c>
      <c r="B2185" s="11"/>
      <c r="C2185" s="1236">
        <v>1</v>
      </c>
      <c r="D2185" s="1236">
        <v>395.45525675605001</v>
      </c>
      <c r="E2185" s="1237">
        <v>402.19918847124001</v>
      </c>
      <c r="F2185" s="1238">
        <v>6.9448768634703898E-3</v>
      </c>
      <c r="G2185" s="1239">
        <v>7.0854013051682404E-3</v>
      </c>
    </row>
    <row r="2186" spans="1:7" x14ac:dyDescent="0.3">
      <c r="A2186" s="6" t="s">
        <v>997</v>
      </c>
      <c r="B2186" s="6"/>
      <c r="C2186" s="1232">
        <v>2</v>
      </c>
      <c r="D2186" s="1232">
        <v>57.308641938570801</v>
      </c>
      <c r="E2186" s="1233">
        <v>57.691452338828498</v>
      </c>
      <c r="F2186" s="1234">
        <v>1.0064386670212101E-3</v>
      </c>
      <c r="G2186" s="1235">
        <v>1.01484418456123E-3</v>
      </c>
    </row>
    <row r="2187" spans="1:7" x14ac:dyDescent="0.3">
      <c r="A2187" s="11" t="s">
        <v>960</v>
      </c>
      <c r="B2187" s="11" t="s">
        <v>961</v>
      </c>
      <c r="C2187" s="1236">
        <v>7523</v>
      </c>
      <c r="D2187" s="1236">
        <v>4497209.5450511901</v>
      </c>
      <c r="E2187" s="1237">
        <v>86716.515701000302</v>
      </c>
      <c r="F2187" s="1238">
        <v>99.4812852112846</v>
      </c>
      <c r="G2187" s="1239">
        <v>0.17597302363108</v>
      </c>
    </row>
    <row r="2188" spans="1:7" x14ac:dyDescent="0.3">
      <c r="A2188" s="6" t="s">
        <v>956</v>
      </c>
      <c r="B2188" s="6" t="s">
        <v>1025</v>
      </c>
      <c r="C2188" s="1232">
        <v>46</v>
      </c>
      <c r="D2188" s="1232">
        <v>22153.255079830898</v>
      </c>
      <c r="E2188" s="1233">
        <v>8183.3736061197797</v>
      </c>
      <c r="F2188" s="1234">
        <v>0.49004482999466598</v>
      </c>
      <c r="G2188" s="1235">
        <v>0.18261257199412001</v>
      </c>
    </row>
    <row r="2189" spans="1:7" x14ac:dyDescent="0.3">
      <c r="A2189" s="11" t="s">
        <v>958</v>
      </c>
      <c r="B2189" s="11" t="s">
        <v>1019</v>
      </c>
      <c r="C2189" s="1236">
        <v>6</v>
      </c>
      <c r="D2189" s="1236">
        <v>1296.07103226974</v>
      </c>
      <c r="E2189" s="1237">
        <v>714.02938905001702</v>
      </c>
      <c r="F2189" s="1238">
        <v>2.86699587207788E-2</v>
      </c>
      <c r="G2189" s="1239">
        <v>1.58444618723887E-2</v>
      </c>
    </row>
    <row r="2190" spans="1:7" x14ac:dyDescent="0.3">
      <c r="A2190" s="6" t="s">
        <v>6269</v>
      </c>
      <c r="B2190" s="6" t="s">
        <v>6270</v>
      </c>
      <c r="C2190" s="1232">
        <v>10995</v>
      </c>
      <c r="D2190" s="1232">
        <v>5694201.1288366998</v>
      </c>
      <c r="E2190" s="1233">
        <v>85568.416713197701</v>
      </c>
      <c r="F2190" s="1234">
        <v>55.744289484503</v>
      </c>
      <c r="G2190" s="1235">
        <v>0.83768565318750798</v>
      </c>
    </row>
    <row r="2191" spans="1:7" x14ac:dyDescent="0.3">
      <c r="A2191" s="11" t="s">
        <v>6269</v>
      </c>
      <c r="B2191" s="11" t="s">
        <v>6271</v>
      </c>
      <c r="C2191" s="1236">
        <v>18570</v>
      </c>
      <c r="D2191" s="1236">
        <v>10214860</v>
      </c>
      <c r="E2191" s="1237">
        <v>0</v>
      </c>
      <c r="F2191" s="1238">
        <v>100</v>
      </c>
      <c r="G2191" s="1239">
        <v>0</v>
      </c>
    </row>
    <row r="2192" spans="1:7" x14ac:dyDescent="0.3">
      <c r="A2192" s="3299" t="s">
        <v>79</v>
      </c>
      <c r="B2192" s="3298"/>
      <c r="C2192" s="3298"/>
      <c r="D2192" s="3298"/>
      <c r="E2192" s="3298"/>
      <c r="F2192" s="3298"/>
      <c r="G2192" s="3298"/>
    </row>
    <row r="2193" spans="1:7" x14ac:dyDescent="0.3">
      <c r="A2193" s="11" t="s">
        <v>962</v>
      </c>
      <c r="B2193" s="11" t="s">
        <v>1039</v>
      </c>
      <c r="C2193" s="1244">
        <v>16356</v>
      </c>
      <c r="D2193" s="1244">
        <v>8557828.3058789894</v>
      </c>
      <c r="E2193" s="1245">
        <v>74668.359930832594</v>
      </c>
      <c r="F2193" s="1246">
        <v>89.516921296074401</v>
      </c>
      <c r="G2193" s="1247">
        <v>0.77966032455797396</v>
      </c>
    </row>
    <row r="2194" spans="1:7" x14ac:dyDescent="0.3">
      <c r="A2194" s="6" t="s">
        <v>964</v>
      </c>
      <c r="B2194" s="6" t="s">
        <v>1040</v>
      </c>
      <c r="C2194" s="1240">
        <v>1354</v>
      </c>
      <c r="D2194" s="1240">
        <v>1002183.56894213</v>
      </c>
      <c r="E2194" s="1241">
        <v>74524.1072263229</v>
      </c>
      <c r="F2194" s="1242">
        <v>10.483078703925599</v>
      </c>
      <c r="G2194" s="1243">
        <v>0.77966032455797996</v>
      </c>
    </row>
    <row r="2195" spans="1:7" x14ac:dyDescent="0.3">
      <c r="A2195" s="11" t="s">
        <v>960</v>
      </c>
      <c r="B2195" s="11"/>
      <c r="C2195" s="1244">
        <v>851</v>
      </c>
      <c r="D2195" s="1244">
        <v>649360.005185658</v>
      </c>
      <c r="E2195" s="1245">
        <v>7.74581865908651E-3</v>
      </c>
      <c r="F2195" s="1246">
        <v>99.161924760537403</v>
      </c>
      <c r="G2195" s="1247">
        <v>0.48852218443075901</v>
      </c>
    </row>
    <row r="2196" spans="1:7" x14ac:dyDescent="0.3">
      <c r="A2196" s="6" t="s">
        <v>958</v>
      </c>
      <c r="B2196" s="6" t="s">
        <v>1019</v>
      </c>
      <c r="C2196" s="1240">
        <v>9</v>
      </c>
      <c r="D2196" s="1240">
        <v>5488.1199932093004</v>
      </c>
      <c r="E2196" s="1241">
        <v>3221.7370830050199</v>
      </c>
      <c r="F2196" s="1242">
        <v>0.83807523946262497</v>
      </c>
      <c r="G2196" s="1243">
        <v>0.48852218443075701</v>
      </c>
    </row>
    <row r="2197" spans="1:7" x14ac:dyDescent="0.3">
      <c r="A2197" s="11" t="s">
        <v>6269</v>
      </c>
      <c r="B2197" s="11" t="s">
        <v>6270</v>
      </c>
      <c r="C2197" s="1244">
        <v>17710</v>
      </c>
      <c r="D2197" s="1244">
        <v>9560011.8748211302</v>
      </c>
      <c r="E2197" s="1245">
        <v>3221.7348650039798</v>
      </c>
      <c r="F2197" s="1246">
        <v>93.589259909789604</v>
      </c>
      <c r="G2197" s="1247">
        <v>3.1539686936546497E-2</v>
      </c>
    </row>
    <row r="2198" spans="1:7" x14ac:dyDescent="0.3">
      <c r="A2198" s="6" t="s">
        <v>6269</v>
      </c>
      <c r="B2198" s="6" t="s">
        <v>6271</v>
      </c>
      <c r="C2198" s="1240">
        <v>18570</v>
      </c>
      <c r="D2198" s="1240">
        <v>10214860</v>
      </c>
      <c r="E2198" s="1241">
        <v>0</v>
      </c>
      <c r="F2198" s="1242">
        <v>100</v>
      </c>
      <c r="G2198" s="1243">
        <v>0</v>
      </c>
    </row>
    <row r="2199" spans="1:7" x14ac:dyDescent="0.3">
      <c r="A2199" s="3299" t="s">
        <v>945</v>
      </c>
      <c r="B2199" s="3298"/>
      <c r="C2199" s="3298"/>
      <c r="D2199" s="3298"/>
      <c r="E2199" s="3298"/>
      <c r="F2199" s="3298"/>
      <c r="G2199" s="3298"/>
    </row>
    <row r="2200" spans="1:7" x14ac:dyDescent="0.3">
      <c r="A2200" s="11" t="s">
        <v>6493</v>
      </c>
      <c r="B2200" s="11"/>
      <c r="C2200" s="1252">
        <v>42</v>
      </c>
      <c r="D2200" s="1252">
        <v>56571.115571799099</v>
      </c>
      <c r="E2200" s="1253">
        <v>16198.5107035086</v>
      </c>
      <c r="F2200" s="1254">
        <v>5.7781489261101298</v>
      </c>
      <c r="G2200" s="1255">
        <v>1.4454983410987701</v>
      </c>
    </row>
    <row r="2201" spans="1:7" x14ac:dyDescent="0.3">
      <c r="A2201" s="6" t="s">
        <v>6494</v>
      </c>
      <c r="B2201" s="6"/>
      <c r="C2201" s="1248">
        <v>34</v>
      </c>
      <c r="D2201" s="1248">
        <v>48543.980113794503</v>
      </c>
      <c r="E2201" s="1249">
        <v>16854.913648693699</v>
      </c>
      <c r="F2201" s="1250">
        <v>4.95826083202539</v>
      </c>
      <c r="G2201" s="1251">
        <v>1.69915358528016</v>
      </c>
    </row>
    <row r="2202" spans="1:7" x14ac:dyDescent="0.3">
      <c r="A2202" s="11" t="s">
        <v>6495</v>
      </c>
      <c r="B2202" s="11"/>
      <c r="C2202" s="1252">
        <v>23</v>
      </c>
      <c r="D2202" s="1252">
        <v>44069.382743765003</v>
      </c>
      <c r="E2202" s="1253">
        <v>10795.218248871101</v>
      </c>
      <c r="F2202" s="1254">
        <v>4.50122741970746</v>
      </c>
      <c r="G2202" s="1255">
        <v>0.98196052125639899</v>
      </c>
    </row>
    <row r="2203" spans="1:7" x14ac:dyDescent="0.3">
      <c r="A2203" s="6" t="s">
        <v>6496</v>
      </c>
      <c r="B2203" s="6"/>
      <c r="C2203" s="1248">
        <v>31</v>
      </c>
      <c r="D2203" s="1248">
        <v>39831.896031709497</v>
      </c>
      <c r="E2203" s="1249">
        <v>15934.7645063134</v>
      </c>
      <c r="F2203" s="1250">
        <v>4.0684123859718504</v>
      </c>
      <c r="G2203" s="1251">
        <v>1.54638572699406</v>
      </c>
    </row>
    <row r="2204" spans="1:7" x14ac:dyDescent="0.3">
      <c r="A2204" s="11" t="s">
        <v>6497</v>
      </c>
      <c r="B2204" s="11"/>
      <c r="C2204" s="1252">
        <v>40</v>
      </c>
      <c r="D2204" s="1252">
        <v>36145.944793085298</v>
      </c>
      <c r="E2204" s="1253">
        <v>10478.4267051263</v>
      </c>
      <c r="F2204" s="1254">
        <v>3.6919309435276002</v>
      </c>
      <c r="G2204" s="1255">
        <v>0.97611503843414604</v>
      </c>
    </row>
    <row r="2205" spans="1:7" x14ac:dyDescent="0.3">
      <c r="A2205" s="6" t="s">
        <v>6498</v>
      </c>
      <c r="B2205" s="6"/>
      <c r="C2205" s="1248">
        <v>34</v>
      </c>
      <c r="D2205" s="1248">
        <v>31071.944452794101</v>
      </c>
      <c r="E2205" s="1249">
        <v>13577.555839872601</v>
      </c>
      <c r="F2205" s="1250">
        <v>3.1736747747920702</v>
      </c>
      <c r="G2205" s="1251">
        <v>1.2727932712130401</v>
      </c>
    </row>
    <row r="2206" spans="1:7" x14ac:dyDescent="0.3">
      <c r="A2206" s="11" t="s">
        <v>6499</v>
      </c>
      <c r="B2206" s="11"/>
      <c r="C2206" s="1252">
        <v>30</v>
      </c>
      <c r="D2206" s="1252">
        <v>29199.550117752598</v>
      </c>
      <c r="E2206" s="1253">
        <v>12160.7411029293</v>
      </c>
      <c r="F2206" s="1254">
        <v>2.9824292388516702</v>
      </c>
      <c r="G2206" s="1255">
        <v>1.20823987327664</v>
      </c>
    </row>
    <row r="2207" spans="1:7" x14ac:dyDescent="0.3">
      <c r="A2207" s="6" t="s">
        <v>6500</v>
      </c>
      <c r="B2207" s="6"/>
      <c r="C2207" s="1248">
        <v>39</v>
      </c>
      <c r="D2207" s="1248">
        <v>27786.2546723499</v>
      </c>
      <c r="E2207" s="1249">
        <v>6544.6782183181504</v>
      </c>
      <c r="F2207" s="1250">
        <v>2.8380758620870701</v>
      </c>
      <c r="G2207" s="1251">
        <v>0.60839599646910802</v>
      </c>
    </row>
    <row r="2208" spans="1:7" x14ac:dyDescent="0.3">
      <c r="A2208" s="11" t="s">
        <v>6501</v>
      </c>
      <c r="B2208" s="11"/>
      <c r="C2208" s="1252">
        <v>25</v>
      </c>
      <c r="D2208" s="1252">
        <v>27389.162942257099</v>
      </c>
      <c r="E2208" s="1253">
        <v>8340.5349038951608</v>
      </c>
      <c r="F2208" s="1254">
        <v>2.79751708698406</v>
      </c>
      <c r="G2208" s="1255">
        <v>0.82142409848922004</v>
      </c>
    </row>
    <row r="2209" spans="1:7" x14ac:dyDescent="0.3">
      <c r="A2209" s="6" t="s">
        <v>6502</v>
      </c>
      <c r="B2209" s="6"/>
      <c r="C2209" s="1248">
        <v>24</v>
      </c>
      <c r="D2209" s="1248">
        <v>27344.441046247</v>
      </c>
      <c r="E2209" s="1249">
        <v>5053.5880844226804</v>
      </c>
      <c r="F2209" s="1250">
        <v>2.7929492121455999</v>
      </c>
      <c r="G2209" s="1251">
        <v>0.60097103452906098</v>
      </c>
    </row>
    <row r="2210" spans="1:7" x14ac:dyDescent="0.3">
      <c r="A2210" s="11" t="s">
        <v>6503</v>
      </c>
      <c r="B2210" s="11"/>
      <c r="C2210" s="1252">
        <v>30</v>
      </c>
      <c r="D2210" s="1252">
        <v>26994.240785281501</v>
      </c>
      <c r="E2210" s="1253">
        <v>9923.9107407048905</v>
      </c>
      <c r="F2210" s="1254">
        <v>2.7571799111274302</v>
      </c>
      <c r="G2210" s="1255">
        <v>1.0064833398516699</v>
      </c>
    </row>
    <row r="2211" spans="1:7" x14ac:dyDescent="0.3">
      <c r="A2211" s="6" t="s">
        <v>6504</v>
      </c>
      <c r="B2211" s="6"/>
      <c r="C2211" s="1248">
        <v>29</v>
      </c>
      <c r="D2211" s="1248">
        <v>24410.465564176699</v>
      </c>
      <c r="E2211" s="1249">
        <v>9191.3938572741899</v>
      </c>
      <c r="F2211" s="1250">
        <v>2.49327424357543</v>
      </c>
      <c r="G2211" s="1251">
        <v>0.90172821987782903</v>
      </c>
    </row>
    <row r="2212" spans="1:7" x14ac:dyDescent="0.3">
      <c r="A2212" s="11" t="s">
        <v>6505</v>
      </c>
      <c r="B2212" s="11"/>
      <c r="C2212" s="1252">
        <v>24</v>
      </c>
      <c r="D2212" s="1252">
        <v>22765.1480951755</v>
      </c>
      <c r="E2212" s="1253">
        <v>6181.9354087045704</v>
      </c>
      <c r="F2212" s="1254">
        <v>2.3252222391111799</v>
      </c>
      <c r="G2212" s="1255">
        <v>0.63975436090347904</v>
      </c>
    </row>
    <row r="2213" spans="1:7" x14ac:dyDescent="0.3">
      <c r="A2213" s="6" t="s">
        <v>6506</v>
      </c>
      <c r="B2213" s="6"/>
      <c r="C2213" s="1248">
        <v>33</v>
      </c>
      <c r="D2213" s="1248">
        <v>22422.449794931501</v>
      </c>
      <c r="E2213" s="1249">
        <v>4715.8183596993404</v>
      </c>
      <c r="F2213" s="1250">
        <v>2.2902191850699101</v>
      </c>
      <c r="G2213" s="1251">
        <v>0.55069758853246198</v>
      </c>
    </row>
    <row r="2214" spans="1:7" x14ac:dyDescent="0.3">
      <c r="A2214" s="11" t="s">
        <v>6507</v>
      </c>
      <c r="B2214" s="11"/>
      <c r="C2214" s="1252">
        <v>29</v>
      </c>
      <c r="D2214" s="1252">
        <v>21560.201893768</v>
      </c>
      <c r="E2214" s="1253">
        <v>9101.3121102518799</v>
      </c>
      <c r="F2214" s="1254">
        <v>2.2021495627230601</v>
      </c>
      <c r="G2214" s="1255">
        <v>0.85342520750322703</v>
      </c>
    </row>
    <row r="2215" spans="1:7" x14ac:dyDescent="0.3">
      <c r="A2215" s="6" t="s">
        <v>6508</v>
      </c>
      <c r="B2215" s="6"/>
      <c r="C2215" s="1248">
        <v>23</v>
      </c>
      <c r="D2215" s="1248">
        <v>21279.289168565101</v>
      </c>
      <c r="E2215" s="1249">
        <v>6817.2737594103401</v>
      </c>
      <c r="F2215" s="1250">
        <v>2.17345726021045</v>
      </c>
      <c r="G2215" s="1251">
        <v>0.68580830844836305</v>
      </c>
    </row>
    <row r="2216" spans="1:7" x14ac:dyDescent="0.3">
      <c r="A2216" s="11" t="s">
        <v>6509</v>
      </c>
      <c r="B2216" s="11"/>
      <c r="C2216" s="1252">
        <v>21</v>
      </c>
      <c r="D2216" s="1252">
        <v>20657.737822359199</v>
      </c>
      <c r="E2216" s="1253">
        <v>6833.9073689209699</v>
      </c>
      <c r="F2216" s="1254">
        <v>2.1099722783906398</v>
      </c>
      <c r="G2216" s="1255">
        <v>0.76252287107322803</v>
      </c>
    </row>
    <row r="2217" spans="1:7" x14ac:dyDescent="0.3">
      <c r="A2217" s="6" t="s">
        <v>6510</v>
      </c>
      <c r="B2217" s="6"/>
      <c r="C2217" s="1248">
        <v>35</v>
      </c>
      <c r="D2217" s="1248">
        <v>20598.026963638898</v>
      </c>
      <c r="E2217" s="1249">
        <v>6946.7565102853196</v>
      </c>
      <c r="F2217" s="1250">
        <v>2.1038734374767798</v>
      </c>
      <c r="G2217" s="1251">
        <v>0.69111766233960004</v>
      </c>
    </row>
    <row r="2218" spans="1:7" x14ac:dyDescent="0.3">
      <c r="A2218" s="11" t="s">
        <v>6511</v>
      </c>
      <c r="B2218" s="11"/>
      <c r="C2218" s="1252">
        <v>23</v>
      </c>
      <c r="D2218" s="1252">
        <v>20364.1436781224</v>
      </c>
      <c r="E2218" s="1253">
        <v>6018.7215033874099</v>
      </c>
      <c r="F2218" s="1254">
        <v>2.0799847013013899</v>
      </c>
      <c r="G2218" s="1255">
        <v>0.62154749451272395</v>
      </c>
    </row>
    <row r="2219" spans="1:7" x14ac:dyDescent="0.3">
      <c r="A2219" s="6" t="s">
        <v>6512</v>
      </c>
      <c r="B2219" s="6"/>
      <c r="C2219" s="1248">
        <v>32</v>
      </c>
      <c r="D2219" s="1248">
        <v>20349.0898942637</v>
      </c>
      <c r="E2219" s="1249">
        <v>5566.1550218697703</v>
      </c>
      <c r="F2219" s="1250">
        <v>2.07844711442233</v>
      </c>
      <c r="G2219" s="1251">
        <v>0.58758536713041898</v>
      </c>
    </row>
    <row r="2220" spans="1:7" x14ac:dyDescent="0.3">
      <c r="A2220" s="11" t="s">
        <v>6513</v>
      </c>
      <c r="B2220" s="11"/>
      <c r="C2220" s="1252">
        <v>29</v>
      </c>
      <c r="D2220" s="1252">
        <v>20202.951278386801</v>
      </c>
      <c r="E2220" s="1253">
        <v>5983.1255603572299</v>
      </c>
      <c r="F2220" s="1254">
        <v>2.0635205803093402</v>
      </c>
      <c r="G2220" s="1255">
        <v>0.60751805439458995</v>
      </c>
    </row>
    <row r="2221" spans="1:7" x14ac:dyDescent="0.3">
      <c r="A2221" s="6" t="s">
        <v>6514</v>
      </c>
      <c r="B2221" s="6"/>
      <c r="C2221" s="1248">
        <v>22</v>
      </c>
      <c r="D2221" s="1248">
        <v>18742.514742087998</v>
      </c>
      <c r="E2221" s="1249">
        <v>7712.89952107523</v>
      </c>
      <c r="F2221" s="1250">
        <v>1.91435223320194</v>
      </c>
      <c r="G2221" s="1251">
        <v>0.77594194790247994</v>
      </c>
    </row>
    <row r="2222" spans="1:7" x14ac:dyDescent="0.3">
      <c r="A2222" s="11" t="s">
        <v>6515</v>
      </c>
      <c r="B2222" s="11"/>
      <c r="C2222" s="1252">
        <v>26</v>
      </c>
      <c r="D2222" s="1252">
        <v>18390.200764344401</v>
      </c>
      <c r="E2222" s="1253">
        <v>9339.4286070509806</v>
      </c>
      <c r="F2222" s="1254">
        <v>1.87836703807937</v>
      </c>
      <c r="G2222" s="1255">
        <v>0.97901062051102095</v>
      </c>
    </row>
    <row r="2223" spans="1:7" x14ac:dyDescent="0.3">
      <c r="A2223" s="6" t="s">
        <v>6516</v>
      </c>
      <c r="B2223" s="6"/>
      <c r="C2223" s="1248">
        <v>33</v>
      </c>
      <c r="D2223" s="1248">
        <v>18030.6474138058</v>
      </c>
      <c r="E2223" s="1249">
        <v>5033.5702391908299</v>
      </c>
      <c r="F2223" s="1250">
        <v>1.8416424165955101</v>
      </c>
      <c r="G2223" s="1251">
        <v>0.52736712587180101</v>
      </c>
    </row>
    <row r="2224" spans="1:7" x14ac:dyDescent="0.3">
      <c r="A2224" s="11" t="s">
        <v>6517</v>
      </c>
      <c r="B2224" s="11"/>
      <c r="C2224" s="1252">
        <v>33</v>
      </c>
      <c r="D2224" s="1252">
        <v>17977.831921482899</v>
      </c>
      <c r="E2224" s="1253">
        <v>6525.03056473795</v>
      </c>
      <c r="F2224" s="1254">
        <v>1.83624786538041</v>
      </c>
      <c r="G2224" s="1255">
        <v>0.67511545554405406</v>
      </c>
    </row>
    <row r="2225" spans="1:7" x14ac:dyDescent="0.3">
      <c r="A2225" s="6" t="s">
        <v>6518</v>
      </c>
      <c r="B2225" s="6"/>
      <c r="C2225" s="1248">
        <v>19</v>
      </c>
      <c r="D2225" s="1248">
        <v>17487.163792531101</v>
      </c>
      <c r="E2225" s="1249">
        <v>5160.8466812562801</v>
      </c>
      <c r="F2225" s="1250">
        <v>1.78613123795097</v>
      </c>
      <c r="G2225" s="1251">
        <v>0.505481794599689</v>
      </c>
    </row>
    <row r="2226" spans="1:7" x14ac:dyDescent="0.3">
      <c r="A2226" s="11" t="s">
        <v>6519</v>
      </c>
      <c r="B2226" s="11"/>
      <c r="C2226" s="1252">
        <v>19</v>
      </c>
      <c r="D2226" s="1252">
        <v>16520.0224422301</v>
      </c>
      <c r="E2226" s="1253">
        <v>6667.4893272137597</v>
      </c>
      <c r="F2226" s="1254">
        <v>1.6873478447271699</v>
      </c>
      <c r="G2226" s="1255">
        <v>0.68084501319320101</v>
      </c>
    </row>
    <row r="2227" spans="1:7" x14ac:dyDescent="0.3">
      <c r="A2227" s="6" t="s">
        <v>6520</v>
      </c>
      <c r="B2227" s="6"/>
      <c r="C2227" s="1248">
        <v>26</v>
      </c>
      <c r="D2227" s="1248">
        <v>16039.503122017501</v>
      </c>
      <c r="E2227" s="1249">
        <v>3943.7788072018202</v>
      </c>
      <c r="F2227" s="1250">
        <v>1.6382678121699601</v>
      </c>
      <c r="G2227" s="1251">
        <v>0.40984056931500601</v>
      </c>
    </row>
    <row r="2228" spans="1:7" x14ac:dyDescent="0.3">
      <c r="A2228" s="11" t="s">
        <v>3247</v>
      </c>
      <c r="B2228" s="11"/>
      <c r="C2228" s="1252">
        <v>22</v>
      </c>
      <c r="D2228" s="1252">
        <v>14599.266004282999</v>
      </c>
      <c r="E2228" s="1253">
        <v>5206.8963941413404</v>
      </c>
      <c r="F2228" s="1254">
        <v>1.4911626248130001</v>
      </c>
      <c r="G2228" s="1255">
        <v>0.56215313181876103</v>
      </c>
    </row>
    <row r="2229" spans="1:7" x14ac:dyDescent="0.3">
      <c r="A2229" s="6" t="s">
        <v>6521</v>
      </c>
      <c r="B2229" s="6"/>
      <c r="C2229" s="1248">
        <v>25</v>
      </c>
      <c r="D2229" s="1248">
        <v>14241.575581904101</v>
      </c>
      <c r="E2229" s="1249">
        <v>8064.1715021857599</v>
      </c>
      <c r="F2229" s="1250">
        <v>1.4546282819940901</v>
      </c>
      <c r="G2229" s="1251">
        <v>0.82133391189484395</v>
      </c>
    </row>
    <row r="2230" spans="1:7" x14ac:dyDescent="0.3">
      <c r="A2230" s="11" t="s">
        <v>6522</v>
      </c>
      <c r="B2230" s="11"/>
      <c r="C2230" s="1252">
        <v>16</v>
      </c>
      <c r="D2230" s="1252">
        <v>13037.486270024499</v>
      </c>
      <c r="E2230" s="1253">
        <v>2782.81348288668</v>
      </c>
      <c r="F2230" s="1254">
        <v>1.33164312792642</v>
      </c>
      <c r="G2230" s="1255">
        <v>0.33287868816229399</v>
      </c>
    </row>
    <row r="2231" spans="1:7" x14ac:dyDescent="0.3">
      <c r="A2231" s="6" t="s">
        <v>6523</v>
      </c>
      <c r="B2231" s="6"/>
      <c r="C2231" s="1248">
        <v>14</v>
      </c>
      <c r="D2231" s="1248">
        <v>12829.023544474599</v>
      </c>
      <c r="E2231" s="1249">
        <v>5090.5688147560304</v>
      </c>
      <c r="F2231" s="1250">
        <v>1.31035083659373</v>
      </c>
      <c r="G2231" s="1251">
        <v>0.50425941182558498</v>
      </c>
    </row>
    <row r="2232" spans="1:7" x14ac:dyDescent="0.3">
      <c r="A2232" s="11" t="s">
        <v>6524</v>
      </c>
      <c r="B2232" s="11"/>
      <c r="C2232" s="1252">
        <v>17</v>
      </c>
      <c r="D2232" s="1252">
        <v>12823.6304109011</v>
      </c>
      <c r="E2232" s="1253">
        <v>6368.6181388614496</v>
      </c>
      <c r="F2232" s="1254">
        <v>1.30979998429656</v>
      </c>
      <c r="G2232" s="1255">
        <v>0.66867093789106402</v>
      </c>
    </row>
    <row r="2233" spans="1:7" x14ac:dyDescent="0.3">
      <c r="A2233" s="6" t="s">
        <v>6525</v>
      </c>
      <c r="B2233" s="6"/>
      <c r="C2233" s="1248">
        <v>24</v>
      </c>
      <c r="D2233" s="1248">
        <v>12469.420620458501</v>
      </c>
      <c r="E2233" s="1249">
        <v>4381.9074700199399</v>
      </c>
      <c r="F2233" s="1250">
        <v>1.27362115169662</v>
      </c>
      <c r="G2233" s="1251">
        <v>0.45871521502801699</v>
      </c>
    </row>
    <row r="2234" spans="1:7" x14ac:dyDescent="0.3">
      <c r="A2234" s="11" t="s">
        <v>6526</v>
      </c>
      <c r="B2234" s="11"/>
      <c r="C2234" s="1252">
        <v>22</v>
      </c>
      <c r="D2234" s="1252">
        <v>11737.5905064996</v>
      </c>
      <c r="E2234" s="1253">
        <v>5098.6548525471499</v>
      </c>
      <c r="F2234" s="1254">
        <v>1.1988723449190799</v>
      </c>
      <c r="G2234" s="1255">
        <v>0.53501600269044503</v>
      </c>
    </row>
    <row r="2235" spans="1:7" x14ac:dyDescent="0.3">
      <c r="A2235" s="6" t="s">
        <v>6527</v>
      </c>
      <c r="B2235" s="6"/>
      <c r="C2235" s="1248">
        <v>16</v>
      </c>
      <c r="D2235" s="1248">
        <v>11412.110407858399</v>
      </c>
      <c r="E2235" s="1249">
        <v>5805.6241992850501</v>
      </c>
      <c r="F2235" s="1250">
        <v>1.1656279504357001</v>
      </c>
      <c r="G2235" s="1251">
        <v>0.59028528479902698</v>
      </c>
    </row>
    <row r="2236" spans="1:7" x14ac:dyDescent="0.3">
      <c r="A2236" s="11" t="s">
        <v>6528</v>
      </c>
      <c r="B2236" s="11"/>
      <c r="C2236" s="1252">
        <v>20</v>
      </c>
      <c r="D2236" s="1252">
        <v>8896.3821464617995</v>
      </c>
      <c r="E2236" s="1253">
        <v>3699.4483186735501</v>
      </c>
      <c r="F2236" s="1254">
        <v>0.90867256949532205</v>
      </c>
      <c r="G2236" s="1255">
        <v>0.38540351265333</v>
      </c>
    </row>
    <row r="2237" spans="1:7" x14ac:dyDescent="0.3">
      <c r="A2237" s="6" t="s">
        <v>6529</v>
      </c>
      <c r="B2237" s="6"/>
      <c r="C2237" s="1248">
        <v>13</v>
      </c>
      <c r="D2237" s="1248">
        <v>8720.8395559156106</v>
      </c>
      <c r="E2237" s="1249">
        <v>3127.8476143130401</v>
      </c>
      <c r="F2237" s="1250">
        <v>0.89074272630947104</v>
      </c>
      <c r="G2237" s="1251">
        <v>0.322958031856172</v>
      </c>
    </row>
    <row r="2238" spans="1:7" x14ac:dyDescent="0.3">
      <c r="A2238" s="11" t="s">
        <v>6530</v>
      </c>
      <c r="B2238" s="11"/>
      <c r="C2238" s="1252">
        <v>16</v>
      </c>
      <c r="D2238" s="1252">
        <v>8694.6713856837396</v>
      </c>
      <c r="E2238" s="1253">
        <v>2231.7953085612298</v>
      </c>
      <c r="F2238" s="1254">
        <v>0.888069920882262</v>
      </c>
      <c r="G2238" s="1255">
        <v>0.22056260805646</v>
      </c>
    </row>
    <row r="2239" spans="1:7" x14ac:dyDescent="0.3">
      <c r="A2239" s="6" t="s">
        <v>6531</v>
      </c>
      <c r="B2239" s="6"/>
      <c r="C2239" s="1248">
        <v>16</v>
      </c>
      <c r="D2239" s="1248">
        <v>7802.8256174238704</v>
      </c>
      <c r="E2239" s="1249">
        <v>3104.6651421596498</v>
      </c>
      <c r="F2239" s="1250">
        <v>0.79697718537510598</v>
      </c>
      <c r="G2239" s="1251">
        <v>0.290737612472524</v>
      </c>
    </row>
    <row r="2240" spans="1:7" x14ac:dyDescent="0.3">
      <c r="A2240" s="11" t="s">
        <v>6532</v>
      </c>
      <c r="B2240" s="11"/>
      <c r="C2240" s="1252">
        <v>12</v>
      </c>
      <c r="D2240" s="1252">
        <v>7675.3844822461997</v>
      </c>
      <c r="E2240" s="1253">
        <v>3171.7935285426602</v>
      </c>
      <c r="F2240" s="1254">
        <v>0.78396040373793796</v>
      </c>
      <c r="G2240" s="1255">
        <v>0.28837646469370298</v>
      </c>
    </row>
    <row r="2241" spans="1:7" x14ac:dyDescent="0.3">
      <c r="A2241" s="6" t="s">
        <v>6533</v>
      </c>
      <c r="B2241" s="6"/>
      <c r="C2241" s="1248">
        <v>19</v>
      </c>
      <c r="D2241" s="1248">
        <v>7192.2091806539602</v>
      </c>
      <c r="E2241" s="1249">
        <v>3174.7400200906</v>
      </c>
      <c r="F2241" s="1250">
        <v>0.73460909040781996</v>
      </c>
      <c r="G2241" s="1251">
        <v>0.33207727402263898</v>
      </c>
    </row>
    <row r="2242" spans="1:7" x14ac:dyDescent="0.3">
      <c r="A2242" s="11" t="s">
        <v>6534</v>
      </c>
      <c r="B2242" s="11"/>
      <c r="C2242" s="1252">
        <v>19</v>
      </c>
      <c r="D2242" s="1252">
        <v>6750.1643828824199</v>
      </c>
      <c r="E2242" s="1253">
        <v>2274.3761058586601</v>
      </c>
      <c r="F2242" s="1254">
        <v>0.68945882869352904</v>
      </c>
      <c r="G2242" s="1255">
        <v>0.22386863889988401</v>
      </c>
    </row>
    <row r="2243" spans="1:7" x14ac:dyDescent="0.3">
      <c r="A2243" s="6" t="s">
        <v>6535</v>
      </c>
      <c r="B2243" s="6"/>
      <c r="C2243" s="1248">
        <v>10</v>
      </c>
      <c r="D2243" s="1248">
        <v>6294.55433332762</v>
      </c>
      <c r="E2243" s="1249">
        <v>2923.6977341884299</v>
      </c>
      <c r="F2243" s="1250">
        <v>0.64292301811332497</v>
      </c>
      <c r="G2243" s="1251">
        <v>0.29843888701018501</v>
      </c>
    </row>
    <row r="2244" spans="1:7" x14ac:dyDescent="0.3">
      <c r="A2244" s="11" t="s">
        <v>6536</v>
      </c>
      <c r="B2244" s="11"/>
      <c r="C2244" s="1252">
        <v>7</v>
      </c>
      <c r="D2244" s="1252">
        <v>6224.8492293691697</v>
      </c>
      <c r="E2244" s="1253">
        <v>2979.2307136784402</v>
      </c>
      <c r="F2244" s="1254">
        <v>0.63580336937543303</v>
      </c>
      <c r="G2244" s="1255">
        <v>0.30881464189943703</v>
      </c>
    </row>
    <row r="2245" spans="1:7" x14ac:dyDescent="0.3">
      <c r="A2245" s="6" t="s">
        <v>6537</v>
      </c>
      <c r="B2245" s="6"/>
      <c r="C2245" s="1248">
        <v>13</v>
      </c>
      <c r="D2245" s="1248">
        <v>6047.4038633942801</v>
      </c>
      <c r="E2245" s="1249">
        <v>3357.29852543987</v>
      </c>
      <c r="F2245" s="1250">
        <v>0.61767917754206303</v>
      </c>
      <c r="G2245" s="1251">
        <v>0.33542281385196199</v>
      </c>
    </row>
    <row r="2246" spans="1:7" x14ac:dyDescent="0.3">
      <c r="A2246" s="11" t="s">
        <v>6538</v>
      </c>
      <c r="B2246" s="11"/>
      <c r="C2246" s="1252">
        <v>12</v>
      </c>
      <c r="D2246" s="1252">
        <v>5640.8394706686404</v>
      </c>
      <c r="E2246" s="1253">
        <v>2482.9160418254301</v>
      </c>
      <c r="F2246" s="1254">
        <v>0.57615286883350103</v>
      </c>
      <c r="G2246" s="1255">
        <v>0.25654036478487202</v>
      </c>
    </row>
    <row r="2247" spans="1:7" x14ac:dyDescent="0.3">
      <c r="A2247" s="6" t="s">
        <v>6539</v>
      </c>
      <c r="B2247" s="6"/>
      <c r="C2247" s="1248">
        <v>13</v>
      </c>
      <c r="D2247" s="1248">
        <v>5633.3420627162704</v>
      </c>
      <c r="E2247" s="1249">
        <v>2444.6395490282198</v>
      </c>
      <c r="F2247" s="1250">
        <v>0.57538708687444495</v>
      </c>
      <c r="G2247" s="1251">
        <v>0.26520066807872</v>
      </c>
    </row>
    <row r="2248" spans="1:7" x14ac:dyDescent="0.3">
      <c r="A2248" s="11" t="s">
        <v>6540</v>
      </c>
      <c r="B2248" s="11"/>
      <c r="C2248" s="1252">
        <v>12</v>
      </c>
      <c r="D2248" s="1252">
        <v>5553.4870644095699</v>
      </c>
      <c r="E2248" s="1253">
        <v>1735.7272577465999</v>
      </c>
      <c r="F2248" s="1254">
        <v>0.56723073238069599</v>
      </c>
      <c r="G2248" s="1255">
        <v>0.19908223026827501</v>
      </c>
    </row>
    <row r="2249" spans="1:7" x14ac:dyDescent="0.3">
      <c r="A2249" s="6" t="s">
        <v>6541</v>
      </c>
      <c r="B2249" s="6"/>
      <c r="C2249" s="1248">
        <v>17</v>
      </c>
      <c r="D2249" s="1248">
        <v>5082.3651027860997</v>
      </c>
      <c r="E2249" s="1249">
        <v>1968.3784756662101</v>
      </c>
      <c r="F2249" s="1250">
        <v>0.51911054190705097</v>
      </c>
      <c r="G2249" s="1251">
        <v>0.19900356981609399</v>
      </c>
    </row>
    <row r="2250" spans="1:7" x14ac:dyDescent="0.3">
      <c r="A2250" s="11" t="s">
        <v>6542</v>
      </c>
      <c r="B2250" s="11"/>
      <c r="C2250" s="1252">
        <v>13</v>
      </c>
      <c r="D2250" s="1252">
        <v>4566.2615573582798</v>
      </c>
      <c r="E2250" s="1253">
        <v>1925.2988070999399</v>
      </c>
      <c r="F2250" s="1254">
        <v>0.46639595219756402</v>
      </c>
      <c r="G2250" s="1255">
        <v>0.19876002486237901</v>
      </c>
    </row>
    <row r="2251" spans="1:7" x14ac:dyDescent="0.3">
      <c r="A2251" s="6" t="s">
        <v>6543</v>
      </c>
      <c r="B2251" s="6"/>
      <c r="C2251" s="1248">
        <v>15</v>
      </c>
      <c r="D2251" s="1248">
        <v>4465.8713614548697</v>
      </c>
      <c r="E2251" s="1249">
        <v>2662.2415475896601</v>
      </c>
      <c r="F2251" s="1250">
        <v>0.45614214163031402</v>
      </c>
      <c r="G2251" s="1251">
        <v>0.26892319260658498</v>
      </c>
    </row>
    <row r="2252" spans="1:7" x14ac:dyDescent="0.3">
      <c r="A2252" s="11" t="s">
        <v>6544</v>
      </c>
      <c r="B2252" s="11"/>
      <c r="C2252" s="1252">
        <v>14</v>
      </c>
      <c r="D2252" s="1252">
        <v>4305.1622475638596</v>
      </c>
      <c r="E2252" s="1253">
        <v>2102.9959474833299</v>
      </c>
      <c r="F2252" s="1254">
        <v>0.43972738324240601</v>
      </c>
      <c r="G2252" s="1255">
        <v>0.21760065448847099</v>
      </c>
    </row>
    <row r="2253" spans="1:7" x14ac:dyDescent="0.3">
      <c r="A2253" s="6" t="s">
        <v>6545</v>
      </c>
      <c r="B2253" s="6"/>
      <c r="C2253" s="1248">
        <v>14</v>
      </c>
      <c r="D2253" s="1248">
        <v>4054.6251720780501</v>
      </c>
      <c r="E2253" s="1249">
        <v>1737.40826485048</v>
      </c>
      <c r="F2253" s="1250">
        <v>0.414137636265757</v>
      </c>
      <c r="G2253" s="1251">
        <v>0.172965199625775</v>
      </c>
    </row>
    <row r="2254" spans="1:7" x14ac:dyDescent="0.3">
      <c r="A2254" s="11" t="s">
        <v>6546</v>
      </c>
      <c r="B2254" s="11"/>
      <c r="C2254" s="1252">
        <v>16</v>
      </c>
      <c r="D2254" s="1252">
        <v>3699.5801953635901</v>
      </c>
      <c r="E2254" s="1253">
        <v>1047.89130419207</v>
      </c>
      <c r="F2254" s="1254">
        <v>0.37787349810642201</v>
      </c>
      <c r="G2254" s="1255">
        <v>0.111510865528247</v>
      </c>
    </row>
    <row r="2255" spans="1:7" x14ac:dyDescent="0.3">
      <c r="A2255" s="6" t="s">
        <v>6547</v>
      </c>
      <c r="B2255" s="6"/>
      <c r="C2255" s="1248">
        <v>9</v>
      </c>
      <c r="D2255" s="1248">
        <v>3603.1348687648101</v>
      </c>
      <c r="E2255" s="1249">
        <v>2710.2757057212698</v>
      </c>
      <c r="F2255" s="1250">
        <v>0.36802261475928699</v>
      </c>
      <c r="G2255" s="1251">
        <v>0.269979822560242</v>
      </c>
    </row>
    <row r="2256" spans="1:7" x14ac:dyDescent="0.3">
      <c r="A2256" s="11" t="s">
        <v>6548</v>
      </c>
      <c r="B2256" s="11"/>
      <c r="C2256" s="1252">
        <v>7</v>
      </c>
      <c r="D2256" s="1252">
        <v>3596.3624059762201</v>
      </c>
      <c r="E2256" s="1253">
        <v>1991.4356182091699</v>
      </c>
      <c r="F2256" s="1254">
        <v>0.36733087838121697</v>
      </c>
      <c r="G2256" s="1255">
        <v>0.20812233640181699</v>
      </c>
    </row>
    <row r="2257" spans="1:7" x14ac:dyDescent="0.3">
      <c r="A2257" s="6" t="s">
        <v>6549</v>
      </c>
      <c r="B2257" s="6"/>
      <c r="C2257" s="1248">
        <v>7</v>
      </c>
      <c r="D2257" s="1248">
        <v>2857.1441104625301</v>
      </c>
      <c r="E2257" s="1249">
        <v>1704.3994328030001</v>
      </c>
      <c r="F2257" s="1250">
        <v>0.29182744598094401</v>
      </c>
      <c r="G2257" s="1251">
        <v>0.17433823278197999</v>
      </c>
    </row>
    <row r="2258" spans="1:7" x14ac:dyDescent="0.3">
      <c r="A2258" s="11" t="s">
        <v>6550</v>
      </c>
      <c r="B2258" s="11"/>
      <c r="C2258" s="1252">
        <v>6</v>
      </c>
      <c r="D2258" s="1252">
        <v>2854.6054641638998</v>
      </c>
      <c r="E2258" s="1253">
        <v>2881.37105768837</v>
      </c>
      <c r="F2258" s="1254">
        <v>0.29156814976173501</v>
      </c>
      <c r="G2258" s="1255">
        <v>0.29640065281354799</v>
      </c>
    </row>
    <row r="2259" spans="1:7" x14ac:dyDescent="0.3">
      <c r="A2259" s="6" t="s">
        <v>6551</v>
      </c>
      <c r="B2259" s="6"/>
      <c r="C2259" s="1248">
        <v>7</v>
      </c>
      <c r="D2259" s="1248">
        <v>2251.3671821571802</v>
      </c>
      <c r="E2259" s="1249">
        <v>2011.8341588702899</v>
      </c>
      <c r="F2259" s="1250">
        <v>0.22995365628508099</v>
      </c>
      <c r="G2259" s="1251">
        <v>0.20468058194920499</v>
      </c>
    </row>
    <row r="2260" spans="1:7" x14ac:dyDescent="0.3">
      <c r="A2260" s="11" t="s">
        <v>6552</v>
      </c>
      <c r="B2260" s="11"/>
      <c r="C2260" s="1252">
        <v>7</v>
      </c>
      <c r="D2260" s="1252">
        <v>1843.6163946921499</v>
      </c>
      <c r="E2260" s="1253">
        <v>704.85768449387604</v>
      </c>
      <c r="F2260" s="1254">
        <v>0.18830616973832301</v>
      </c>
      <c r="G2260" s="1255">
        <v>7.8972195950640006E-2</v>
      </c>
    </row>
    <row r="2261" spans="1:7" x14ac:dyDescent="0.3">
      <c r="A2261" s="6" t="s">
        <v>6553</v>
      </c>
      <c r="B2261" s="6"/>
      <c r="C2261" s="1248">
        <v>9</v>
      </c>
      <c r="D2261" s="1248">
        <v>1707.01902916006</v>
      </c>
      <c r="E2261" s="1249">
        <v>909.25509012676901</v>
      </c>
      <c r="F2261" s="1250">
        <v>0.174354174749697</v>
      </c>
      <c r="G2261" s="1251">
        <v>9.2899726880123407E-2</v>
      </c>
    </row>
    <row r="2262" spans="1:7" x14ac:dyDescent="0.3">
      <c r="A2262" s="11" t="s">
        <v>6554</v>
      </c>
      <c r="B2262" s="11"/>
      <c r="C2262" s="1252">
        <v>8</v>
      </c>
      <c r="D2262" s="1252">
        <v>1408.77005426802</v>
      </c>
      <c r="E2262" s="1253">
        <v>867.71211273726999</v>
      </c>
      <c r="F2262" s="1254">
        <v>0.14389115529945001</v>
      </c>
      <c r="G2262" s="1255">
        <v>8.5300166325990703E-2</v>
      </c>
    </row>
    <row r="2263" spans="1:7" x14ac:dyDescent="0.3">
      <c r="A2263" s="6" t="s">
        <v>6555</v>
      </c>
      <c r="B2263" s="6"/>
      <c r="C2263" s="1248">
        <v>6</v>
      </c>
      <c r="D2263" s="1248">
        <v>1322.0854012049799</v>
      </c>
      <c r="E2263" s="1249">
        <v>684.88844407208603</v>
      </c>
      <c r="F2263" s="1250">
        <v>0.135037222865136</v>
      </c>
      <c r="G2263" s="1251">
        <v>6.9241254771230595E-2</v>
      </c>
    </row>
    <row r="2264" spans="1:7" x14ac:dyDescent="0.3">
      <c r="A2264" s="11" t="s">
        <v>6556</v>
      </c>
      <c r="B2264" s="11"/>
      <c r="C2264" s="1252">
        <v>8</v>
      </c>
      <c r="D2264" s="1252">
        <v>1031.24917031881</v>
      </c>
      <c r="E2264" s="1253">
        <v>508.47514566504998</v>
      </c>
      <c r="F2264" s="1254">
        <v>0.10533133783559299</v>
      </c>
      <c r="G2264" s="1255">
        <v>5.2036672836529498E-2</v>
      </c>
    </row>
    <row r="2265" spans="1:7" x14ac:dyDescent="0.3">
      <c r="A2265" s="6" t="s">
        <v>6557</v>
      </c>
      <c r="B2265" s="6"/>
      <c r="C2265" s="1248">
        <v>2</v>
      </c>
      <c r="D2265" s="1248">
        <v>847.96316306352799</v>
      </c>
      <c r="E2265" s="1249">
        <v>866.433040248525</v>
      </c>
      <c r="F2265" s="1250">
        <v>8.6610585464200501E-2</v>
      </c>
      <c r="G2265" s="1251">
        <v>8.9993873764596805E-2</v>
      </c>
    </row>
    <row r="2266" spans="1:7" x14ac:dyDescent="0.3">
      <c r="A2266" s="11" t="s">
        <v>6558</v>
      </c>
      <c r="B2266" s="11"/>
      <c r="C2266" s="1252">
        <v>4</v>
      </c>
      <c r="D2266" s="1252">
        <v>812.49912875500797</v>
      </c>
      <c r="E2266" s="1253">
        <v>415.806095412861</v>
      </c>
      <c r="F2266" s="1254">
        <v>8.2988304558404405E-2</v>
      </c>
      <c r="G2266" s="1255">
        <v>4.5250538005957498E-2</v>
      </c>
    </row>
    <row r="2267" spans="1:7" x14ac:dyDescent="0.3">
      <c r="A2267" s="6" t="s">
        <v>6559</v>
      </c>
      <c r="B2267" s="6"/>
      <c r="C2267" s="1248">
        <v>3</v>
      </c>
      <c r="D2267" s="1248">
        <v>754.12334208465302</v>
      </c>
      <c r="E2267" s="1249">
        <v>600.64835723572298</v>
      </c>
      <c r="F2267" s="1250">
        <v>7.7025827318017603E-2</v>
      </c>
      <c r="G2267" s="1251">
        <v>6.1538619945162E-2</v>
      </c>
    </row>
    <row r="2268" spans="1:7" x14ac:dyDescent="0.3">
      <c r="A2268" s="11" t="s">
        <v>6560</v>
      </c>
      <c r="B2268" s="11"/>
      <c r="C2268" s="1252">
        <v>1</v>
      </c>
      <c r="D2268" s="1252">
        <v>405.80785524830299</v>
      </c>
      <c r="E2268" s="1253">
        <v>412.58453093910703</v>
      </c>
      <c r="F2268" s="1254">
        <v>4.1449036302528497E-2</v>
      </c>
      <c r="G2268" s="1255">
        <v>4.2288283438340998E-2</v>
      </c>
    </row>
    <row r="2269" spans="1:7" x14ac:dyDescent="0.3">
      <c r="A2269" s="6" t="s">
        <v>6561</v>
      </c>
      <c r="B2269" s="6"/>
      <c r="C2269" s="1248">
        <v>2</v>
      </c>
      <c r="D2269" s="1248">
        <v>152.60740394698399</v>
      </c>
      <c r="E2269" s="1249">
        <v>100.097201514742</v>
      </c>
      <c r="F2269" s="1250">
        <v>1.5587253288536799E-2</v>
      </c>
      <c r="G2269" s="1251">
        <v>1.06628699032456E-2</v>
      </c>
    </row>
    <row r="2270" spans="1:7" x14ac:dyDescent="0.3">
      <c r="A2270" s="11" t="s">
        <v>6562</v>
      </c>
      <c r="B2270" s="11"/>
      <c r="C2270" s="1252">
        <v>1</v>
      </c>
      <c r="D2270" s="1252">
        <v>121.053397784735</v>
      </c>
      <c r="E2270" s="1253">
        <v>123.16650820473799</v>
      </c>
      <c r="F2270" s="1254">
        <v>1.23643409422269E-2</v>
      </c>
      <c r="G2270" s="1255">
        <v>1.26393391236334E-2</v>
      </c>
    </row>
    <row r="2271" spans="1:7" x14ac:dyDescent="0.3">
      <c r="A2271" s="6" t="s">
        <v>6563</v>
      </c>
      <c r="B2271" s="6"/>
      <c r="C2271" s="1248">
        <v>1</v>
      </c>
      <c r="D2271" s="1248">
        <v>102.681534196451</v>
      </c>
      <c r="E2271" s="1249">
        <v>102.675705372735</v>
      </c>
      <c r="F2271" s="1250">
        <v>1.0487846855265701E-2</v>
      </c>
      <c r="G2271" s="1251">
        <v>1.0529241692075E-2</v>
      </c>
    </row>
    <row r="2272" spans="1:7" x14ac:dyDescent="0.3">
      <c r="A2272" s="11" t="s">
        <v>6564</v>
      </c>
      <c r="B2272" s="11"/>
      <c r="C2272" s="1252">
        <v>2</v>
      </c>
      <c r="D2272" s="1252">
        <v>69.619232675841502</v>
      </c>
      <c r="E2272" s="1253">
        <v>69.2828244316309</v>
      </c>
      <c r="F2272" s="1254">
        <v>7.1108778827592596E-3</v>
      </c>
      <c r="G2272" s="1255">
        <v>7.08218997388399E-3</v>
      </c>
    </row>
    <row r="2273" spans="1:7" x14ac:dyDescent="0.3">
      <c r="A2273" s="6" t="s">
        <v>6565</v>
      </c>
      <c r="B2273" s="6"/>
      <c r="C2273" s="1248">
        <v>1</v>
      </c>
      <c r="D2273" s="1248">
        <v>57.321573594098602</v>
      </c>
      <c r="E2273" s="1249">
        <v>57.649635610934801</v>
      </c>
      <c r="F2273" s="1250">
        <v>5.8548003792732997E-3</v>
      </c>
      <c r="G2273" s="1251">
        <v>5.9177716350140002E-3</v>
      </c>
    </row>
    <row r="2274" spans="1:7" x14ac:dyDescent="0.3">
      <c r="A2274" s="11" t="s">
        <v>6566</v>
      </c>
      <c r="B2274" s="11"/>
      <c r="C2274" s="1252">
        <v>3</v>
      </c>
      <c r="D2274" s="1252">
        <v>57.316119304156899</v>
      </c>
      <c r="E2274" s="1253">
        <v>57.293477463011399</v>
      </c>
      <c r="F2274" s="1254">
        <v>5.8542432804915201E-3</v>
      </c>
      <c r="G2274" s="1255">
        <v>5.7996186054258703E-3</v>
      </c>
    </row>
    <row r="2275" spans="1:7" x14ac:dyDescent="0.3">
      <c r="A2275" s="6" t="s">
        <v>960</v>
      </c>
      <c r="B2275" s="6" t="s">
        <v>961</v>
      </c>
      <c r="C2275" s="1248">
        <v>17216</v>
      </c>
      <c r="D2275" s="1248">
        <v>9212676.4310578592</v>
      </c>
      <c r="E2275" s="1249">
        <v>74524.107226356893</v>
      </c>
      <c r="F2275" s="1250">
        <v>99.749550876788305</v>
      </c>
      <c r="G2275" s="1251">
        <v>5.1983992697277499E-2</v>
      </c>
    </row>
    <row r="2276" spans="1:7" x14ac:dyDescent="0.3">
      <c r="A2276" s="11" t="s">
        <v>956</v>
      </c>
      <c r="B2276" s="11" t="s">
        <v>957</v>
      </c>
      <c r="C2276" s="1252">
        <v>16</v>
      </c>
      <c r="D2276" s="1252">
        <v>14545.924852763501</v>
      </c>
      <c r="E2276" s="1253">
        <v>6273.1133744405297</v>
      </c>
      <c r="F2276" s="1254">
        <v>0.15749489108932799</v>
      </c>
      <c r="G2276" s="1255">
        <v>6.7887401781156195E-2</v>
      </c>
    </row>
    <row r="2277" spans="1:7" x14ac:dyDescent="0.3">
      <c r="A2277" s="6" t="s">
        <v>958</v>
      </c>
      <c r="B2277" s="6" t="s">
        <v>959</v>
      </c>
      <c r="C2277" s="1248">
        <v>8</v>
      </c>
      <c r="D2277" s="1248">
        <v>8585.0738766620107</v>
      </c>
      <c r="E2277" s="1249">
        <v>4303.2243889249803</v>
      </c>
      <c r="F2277" s="1250">
        <v>9.2954232122396396E-2</v>
      </c>
      <c r="G2277" s="1251">
        <v>4.7011961818408499E-2</v>
      </c>
    </row>
    <row r="2278" spans="1:7" x14ac:dyDescent="0.3">
      <c r="A2278" s="11" t="s">
        <v>6269</v>
      </c>
      <c r="B2278" s="11" t="s">
        <v>6270</v>
      </c>
      <c r="C2278" s="1252">
        <v>1329</v>
      </c>
      <c r="D2278" s="1252">
        <v>979052.57021270704</v>
      </c>
      <c r="E2278" s="1253">
        <v>71619.333797718704</v>
      </c>
      <c r="F2278" s="1254">
        <v>9.5845911761170299</v>
      </c>
      <c r="G2278" s="1255">
        <v>0.70112888280135</v>
      </c>
    </row>
    <row r="2279" spans="1:7" x14ac:dyDescent="0.3">
      <c r="A2279" s="6" t="s">
        <v>6269</v>
      </c>
      <c r="B2279" s="6" t="s">
        <v>6271</v>
      </c>
      <c r="C2279" s="1248">
        <v>18569</v>
      </c>
      <c r="D2279" s="1248">
        <v>10214860</v>
      </c>
      <c r="E2279" s="1249">
        <v>0</v>
      </c>
      <c r="F2279" s="1250">
        <v>100</v>
      </c>
      <c r="G2279" s="1251">
        <v>0</v>
      </c>
    </row>
    <row r="2280" spans="1:7" x14ac:dyDescent="0.3">
      <c r="A2280" s="3299" t="s">
        <v>948</v>
      </c>
      <c r="B2280" s="3298"/>
      <c r="C2280" s="3298"/>
      <c r="D2280" s="3298"/>
      <c r="E2280" s="3298"/>
      <c r="F2280" s="3298"/>
      <c r="G2280" s="3298"/>
    </row>
    <row r="2281" spans="1:7" x14ac:dyDescent="0.3">
      <c r="A2281" s="11" t="s">
        <v>966</v>
      </c>
      <c r="B2281" s="11" t="s">
        <v>6169</v>
      </c>
      <c r="C2281" s="1260">
        <v>14</v>
      </c>
      <c r="D2281" s="1260">
        <v>9456.6099398255592</v>
      </c>
      <c r="E2281" s="1261">
        <v>5310.4145191937496</v>
      </c>
      <c r="F2281" s="1262">
        <v>65.012091259559398</v>
      </c>
      <c r="G2281" s="1263">
        <v>37.964812008464101</v>
      </c>
    </row>
    <row r="2282" spans="1:7" x14ac:dyDescent="0.3">
      <c r="A2282" s="6" t="s">
        <v>964</v>
      </c>
      <c r="B2282" s="6" t="s">
        <v>6168</v>
      </c>
      <c r="C2282" s="1256">
        <v>2</v>
      </c>
      <c r="D2282" s="1256">
        <v>5089.3149129379699</v>
      </c>
      <c r="E2282" s="1257">
        <v>5070.2793435927997</v>
      </c>
      <c r="F2282" s="1258">
        <v>34.987908740440602</v>
      </c>
      <c r="G2282" s="1259">
        <v>37.964812008464101</v>
      </c>
    </row>
    <row r="2283" spans="1:7" x14ac:dyDescent="0.3">
      <c r="A2283" s="11" t="s">
        <v>960</v>
      </c>
      <c r="B2283" s="11" t="s">
        <v>961</v>
      </c>
      <c r="C2283" s="1260">
        <v>18554</v>
      </c>
      <c r="D2283" s="1260">
        <v>10200314.075147299</v>
      </c>
      <c r="E2283" s="1261">
        <v>6273.1133744498802</v>
      </c>
      <c r="F2283" s="1262">
        <v>100</v>
      </c>
      <c r="G2283" s="1263">
        <v>0</v>
      </c>
    </row>
    <row r="2284" spans="1:7" x14ac:dyDescent="0.3">
      <c r="A2284" s="6" t="s">
        <v>6269</v>
      </c>
      <c r="B2284" s="6" t="s">
        <v>6270</v>
      </c>
      <c r="C2284" s="1256">
        <v>16</v>
      </c>
      <c r="D2284" s="1256">
        <v>14545.924852763501</v>
      </c>
      <c r="E2284" s="1257">
        <v>6273.1133744405297</v>
      </c>
      <c r="F2284" s="1258">
        <v>0.14239964965514501</v>
      </c>
      <c r="G2284" s="1259">
        <v>6.1411643179059901E-2</v>
      </c>
    </row>
    <row r="2285" spans="1:7" x14ac:dyDescent="0.3">
      <c r="A2285" s="11" t="s">
        <v>6269</v>
      </c>
      <c r="B2285" s="11" t="s">
        <v>6271</v>
      </c>
      <c r="C2285" s="1260">
        <v>18570</v>
      </c>
      <c r="D2285" s="1260">
        <v>10214860</v>
      </c>
      <c r="E2285" s="1261">
        <v>0</v>
      </c>
      <c r="F2285" s="1262">
        <v>100</v>
      </c>
      <c r="G2285" s="1263">
        <v>0</v>
      </c>
    </row>
    <row r="2286" spans="1:7" x14ac:dyDescent="0.3">
      <c r="A2286" s="3299" t="s">
        <v>940</v>
      </c>
      <c r="B2286" s="3298"/>
      <c r="C2286" s="3298"/>
      <c r="D2286" s="3298"/>
      <c r="E2286" s="3298"/>
      <c r="F2286" s="3298"/>
      <c r="G2286" s="3298"/>
    </row>
    <row r="2287" spans="1:7" x14ac:dyDescent="0.3">
      <c r="A2287" s="11" t="s">
        <v>960</v>
      </c>
      <c r="B2287" s="11" t="s">
        <v>961</v>
      </c>
      <c r="C2287" s="1268">
        <v>4244</v>
      </c>
      <c r="D2287" s="1268">
        <v>3182795.8635047302</v>
      </c>
      <c r="E2287" s="1269">
        <v>42208.430941947903</v>
      </c>
      <c r="F2287" s="1270">
        <v>57.145000334453101</v>
      </c>
      <c r="G2287" s="1271">
        <v>1.0339899749035399</v>
      </c>
    </row>
    <row r="2288" spans="1:7" x14ac:dyDescent="0.3">
      <c r="A2288" s="6" t="s">
        <v>1146</v>
      </c>
      <c r="B2288" s="6" t="s">
        <v>957</v>
      </c>
      <c r="C2288" s="1264">
        <v>3945</v>
      </c>
      <c r="D2288" s="1264">
        <v>2208759.0855419701</v>
      </c>
      <c r="E2288" s="1265">
        <v>81005.398342625107</v>
      </c>
      <c r="F2288" s="1266">
        <v>39.656812467713799</v>
      </c>
      <c r="G2288" s="1267">
        <v>1.22510207597997</v>
      </c>
    </row>
    <row r="2289" spans="1:7" x14ac:dyDescent="0.3">
      <c r="A2289" s="11" t="s">
        <v>1147</v>
      </c>
      <c r="B2289" s="11" t="s">
        <v>1019</v>
      </c>
      <c r="C2289" s="1268">
        <v>297</v>
      </c>
      <c r="D2289" s="1268">
        <v>173735.586091267</v>
      </c>
      <c r="E2289" s="1269">
        <v>24716.1811365434</v>
      </c>
      <c r="F2289" s="1270">
        <v>3.11930785104123</v>
      </c>
      <c r="G2289" s="1271">
        <v>0.44365289230169103</v>
      </c>
    </row>
    <row r="2290" spans="1:7" x14ac:dyDescent="0.3">
      <c r="A2290" s="6" t="s">
        <v>956</v>
      </c>
      <c r="B2290" s="6" t="s">
        <v>1025</v>
      </c>
      <c r="C2290" s="1264">
        <v>4</v>
      </c>
      <c r="D2290" s="1264">
        <v>1785.61363435205</v>
      </c>
      <c r="E2290" s="1265">
        <v>1088.7318578199599</v>
      </c>
      <c r="F2290" s="1266">
        <v>3.2059515001345899E-2</v>
      </c>
      <c r="G2290" s="1267">
        <v>1.96733784995499E-2</v>
      </c>
    </row>
    <row r="2291" spans="1:7" x14ac:dyDescent="0.3">
      <c r="A2291" s="11" t="s">
        <v>974</v>
      </c>
      <c r="B2291" s="11" t="s">
        <v>975</v>
      </c>
      <c r="C2291" s="1268">
        <v>10</v>
      </c>
      <c r="D2291" s="1268">
        <v>1429.67277276766</v>
      </c>
      <c r="E2291" s="1269">
        <v>1069.61915289841</v>
      </c>
      <c r="F2291" s="1270">
        <v>2.5668831612720499E-2</v>
      </c>
      <c r="G2291" s="1271">
        <v>1.91970522637296E-2</v>
      </c>
    </row>
    <row r="2292" spans="1:7" x14ac:dyDescent="0.3">
      <c r="A2292" s="6" t="s">
        <v>958</v>
      </c>
      <c r="B2292" s="6" t="s">
        <v>1019</v>
      </c>
      <c r="C2292" s="1264">
        <v>3</v>
      </c>
      <c r="D2292" s="1264">
        <v>1178.0438442744701</v>
      </c>
      <c r="E2292" s="1265">
        <v>1199.9508567374501</v>
      </c>
      <c r="F2292" s="1266">
        <v>2.1151000177855098E-2</v>
      </c>
      <c r="G2292" s="1267">
        <v>2.1523641206109102E-2</v>
      </c>
    </row>
    <row r="2293" spans="1:7" x14ac:dyDescent="0.3">
      <c r="A2293" s="11" t="s">
        <v>6269</v>
      </c>
      <c r="B2293" s="11" t="s">
        <v>6270</v>
      </c>
      <c r="C2293" s="1268">
        <v>10027</v>
      </c>
      <c r="D2293" s="1268">
        <v>4645176.1346106501</v>
      </c>
      <c r="E2293" s="1269">
        <v>46253.208621076097</v>
      </c>
      <c r="F2293" s="1270">
        <v>45.474692111400898</v>
      </c>
      <c r="G2293" s="1271">
        <v>0.45280315756724399</v>
      </c>
    </row>
    <row r="2294" spans="1:7" x14ac:dyDescent="0.3">
      <c r="A2294" s="6" t="s">
        <v>6269</v>
      </c>
      <c r="B2294" s="6" t="s">
        <v>6271</v>
      </c>
      <c r="C2294" s="1264">
        <v>18530</v>
      </c>
      <c r="D2294" s="1264">
        <v>10214860</v>
      </c>
      <c r="E2294" s="1265">
        <v>0</v>
      </c>
      <c r="F2294" s="1266">
        <v>100</v>
      </c>
      <c r="G2294" s="1267">
        <v>0</v>
      </c>
    </row>
    <row r="2295" spans="1:7" x14ac:dyDescent="0.3">
      <c r="A2295" s="3299" t="s">
        <v>815</v>
      </c>
      <c r="B2295" s="3298"/>
      <c r="C2295" s="3298"/>
      <c r="D2295" s="3298"/>
      <c r="E2295" s="3298"/>
      <c r="F2295" s="3298"/>
      <c r="G2295" s="3298"/>
    </row>
    <row r="2296" spans="1:7" x14ac:dyDescent="0.3">
      <c r="A2296" s="11" t="s">
        <v>962</v>
      </c>
      <c r="B2296" s="11" t="s">
        <v>1039</v>
      </c>
      <c r="C2296" s="1276">
        <v>1707</v>
      </c>
      <c r="D2296" s="1276">
        <v>868057.29244739399</v>
      </c>
      <c r="E2296" s="1277">
        <v>45901.675027877602</v>
      </c>
      <c r="F2296" s="1278">
        <v>99.169122012126095</v>
      </c>
      <c r="G2296" s="1279">
        <v>0.41077066516720201</v>
      </c>
    </row>
    <row r="2297" spans="1:7" x14ac:dyDescent="0.3">
      <c r="A2297" s="6" t="s">
        <v>964</v>
      </c>
      <c r="B2297" s="6" t="s">
        <v>1040</v>
      </c>
      <c r="C2297" s="1272">
        <v>18</v>
      </c>
      <c r="D2297" s="1272">
        <v>7272.9261071784804</v>
      </c>
      <c r="E2297" s="1273">
        <v>3759.39391355815</v>
      </c>
      <c r="F2297" s="1274">
        <v>0.83087798787390399</v>
      </c>
      <c r="G2297" s="1275">
        <v>0.410770665167208</v>
      </c>
    </row>
    <row r="2298" spans="1:7" x14ac:dyDescent="0.3">
      <c r="A2298" s="11" t="s">
        <v>960</v>
      </c>
      <c r="B2298" s="11" t="s">
        <v>961</v>
      </c>
      <c r="C2298" s="1276">
        <v>16845</v>
      </c>
      <c r="D2298" s="1276">
        <v>9339529.7814454399</v>
      </c>
      <c r="E2298" s="1277">
        <v>47769.164631687898</v>
      </c>
      <c r="F2298" s="1278">
        <v>100</v>
      </c>
      <c r="G2298" s="1279">
        <v>0</v>
      </c>
    </row>
    <row r="2299" spans="1:7" x14ac:dyDescent="0.3">
      <c r="A2299" s="6" t="s">
        <v>6269</v>
      </c>
      <c r="B2299" s="6" t="s">
        <v>6270</v>
      </c>
      <c r="C2299" s="1272">
        <v>1725</v>
      </c>
      <c r="D2299" s="1272">
        <v>875330.21855457302</v>
      </c>
      <c r="E2299" s="1273">
        <v>47769.164631693297</v>
      </c>
      <c r="F2299" s="1274">
        <v>8.5691846834373795</v>
      </c>
      <c r="G2299" s="1275">
        <v>0.46764385054413599</v>
      </c>
    </row>
    <row r="2300" spans="1:7" x14ac:dyDescent="0.3">
      <c r="A2300" s="11" t="s">
        <v>6269</v>
      </c>
      <c r="B2300" s="11" t="s">
        <v>6271</v>
      </c>
      <c r="C2300" s="1276">
        <v>18570</v>
      </c>
      <c r="D2300" s="1276">
        <v>10214860</v>
      </c>
      <c r="E2300" s="1277">
        <v>0</v>
      </c>
      <c r="F2300" s="1278">
        <v>100</v>
      </c>
      <c r="G2300" s="1279">
        <v>0</v>
      </c>
    </row>
    <row r="2301" spans="1:7" x14ac:dyDescent="0.3">
      <c r="A2301" s="3299" t="s">
        <v>938</v>
      </c>
      <c r="B2301" s="3298"/>
      <c r="C2301" s="3298"/>
      <c r="D2301" s="3298"/>
      <c r="E2301" s="3298"/>
      <c r="F2301" s="3298"/>
      <c r="G2301" s="3298"/>
    </row>
    <row r="2302" spans="1:7" x14ac:dyDescent="0.3">
      <c r="A2302" s="11" t="s">
        <v>962</v>
      </c>
      <c r="B2302" s="11" t="s">
        <v>1141</v>
      </c>
      <c r="C2302" s="1284">
        <v>1743</v>
      </c>
      <c r="D2302" s="1284">
        <v>940035.42756761995</v>
      </c>
      <c r="E2302" s="1285">
        <v>54568.648361315201</v>
      </c>
      <c r="F2302" s="1286">
        <v>40.320035281737397</v>
      </c>
      <c r="G2302" s="1287">
        <v>1.6590658055630201</v>
      </c>
    </row>
    <row r="2303" spans="1:7" x14ac:dyDescent="0.3">
      <c r="A2303" s="6" t="s">
        <v>964</v>
      </c>
      <c r="B2303" s="6" t="s">
        <v>1142</v>
      </c>
      <c r="C2303" s="1280">
        <v>1061</v>
      </c>
      <c r="D2303" s="1280">
        <v>579046.61789011594</v>
      </c>
      <c r="E2303" s="1281">
        <v>32474.335134575598</v>
      </c>
      <c r="F2303" s="1282">
        <v>24.836489539029401</v>
      </c>
      <c r="G2303" s="1283">
        <v>1.0848748260590899</v>
      </c>
    </row>
    <row r="2304" spans="1:7" x14ac:dyDescent="0.3">
      <c r="A2304" s="11" t="s">
        <v>966</v>
      </c>
      <c r="B2304" s="11" t="s">
        <v>1143</v>
      </c>
      <c r="C2304" s="1284">
        <v>727</v>
      </c>
      <c r="D2304" s="1284">
        <v>394922.43456224003</v>
      </c>
      <c r="E2304" s="1285">
        <v>19041.184494670099</v>
      </c>
      <c r="F2304" s="1286">
        <v>16.939028070783799</v>
      </c>
      <c r="G2304" s="1287">
        <v>1.0114177991725899</v>
      </c>
    </row>
    <row r="2305" spans="1:7" x14ac:dyDescent="0.3">
      <c r="A2305" s="6" t="s">
        <v>970</v>
      </c>
      <c r="B2305" s="6" t="s">
        <v>6109</v>
      </c>
      <c r="C2305" s="1280">
        <v>295</v>
      </c>
      <c r="D2305" s="1280">
        <v>217926.982041749</v>
      </c>
      <c r="E2305" s="1281">
        <v>30804.723995517499</v>
      </c>
      <c r="F2305" s="1282">
        <v>9.3473323952291008</v>
      </c>
      <c r="G2305" s="1283">
        <v>1.1526365507766601</v>
      </c>
    </row>
    <row r="2306" spans="1:7" x14ac:dyDescent="0.3">
      <c r="A2306" s="11" t="s">
        <v>968</v>
      </c>
      <c r="B2306" s="11" t="s">
        <v>1144</v>
      </c>
      <c r="C2306" s="1284">
        <v>324</v>
      </c>
      <c r="D2306" s="1284">
        <v>199503.570172487</v>
      </c>
      <c r="E2306" s="1285">
        <v>23921.424642881899</v>
      </c>
      <c r="F2306" s="1286">
        <v>8.5571147132203595</v>
      </c>
      <c r="G2306" s="1287">
        <v>1.1094990571533401</v>
      </c>
    </row>
    <row r="2307" spans="1:7" x14ac:dyDescent="0.3">
      <c r="A2307" s="6" t="s">
        <v>960</v>
      </c>
      <c r="B2307" s="6" t="s">
        <v>961</v>
      </c>
      <c r="C2307" s="1280">
        <v>14321</v>
      </c>
      <c r="D2307" s="1280">
        <v>7829401.6708881296</v>
      </c>
      <c r="E2307" s="1281">
        <v>73396.868043418595</v>
      </c>
      <c r="F2307" s="1282">
        <v>99.314723015712801</v>
      </c>
      <c r="G2307" s="1283">
        <v>0.200515198795538</v>
      </c>
    </row>
    <row r="2308" spans="1:7" x14ac:dyDescent="0.3">
      <c r="A2308" s="11" t="s">
        <v>956</v>
      </c>
      <c r="B2308" s="11" t="s">
        <v>957</v>
      </c>
      <c r="C2308" s="1284">
        <v>68</v>
      </c>
      <c r="D2308" s="1284">
        <v>31634.680677104901</v>
      </c>
      <c r="E2308" s="1285">
        <v>8633.7589641200593</v>
      </c>
      <c r="F2308" s="1286">
        <v>0.40128092556794398</v>
      </c>
      <c r="G2308" s="1287">
        <v>0.109024311079485</v>
      </c>
    </row>
    <row r="2309" spans="1:7" x14ac:dyDescent="0.3">
      <c r="A2309" s="6" t="s">
        <v>958</v>
      </c>
      <c r="B2309" s="6" t="s">
        <v>959</v>
      </c>
      <c r="C2309" s="1280">
        <v>31</v>
      </c>
      <c r="D2309" s="1280">
        <v>22388.6162005441</v>
      </c>
      <c r="E2309" s="1281">
        <v>7912.4680968005996</v>
      </c>
      <c r="F2309" s="1282">
        <v>0.28399605871924899</v>
      </c>
      <c r="G2309" s="1283">
        <v>9.9974203896807404E-2</v>
      </c>
    </row>
    <row r="2310" spans="1:7" x14ac:dyDescent="0.3">
      <c r="A2310" s="11" t="s">
        <v>6269</v>
      </c>
      <c r="B2310" s="11" t="s">
        <v>6270</v>
      </c>
      <c r="C2310" s="1284">
        <v>4150</v>
      </c>
      <c r="D2310" s="1284">
        <v>2331435.0322342101</v>
      </c>
      <c r="E2310" s="1285">
        <v>74820.171278213704</v>
      </c>
      <c r="F2310" s="1286">
        <v>22.823954828888599</v>
      </c>
      <c r="G2310" s="1287">
        <v>0.73246399146163799</v>
      </c>
    </row>
    <row r="2311" spans="1:7" x14ac:dyDescent="0.3">
      <c r="A2311" s="6" t="s">
        <v>6269</v>
      </c>
      <c r="B2311" s="6" t="s">
        <v>6271</v>
      </c>
      <c r="C2311" s="1280">
        <v>18570</v>
      </c>
      <c r="D2311" s="1280">
        <v>10214860</v>
      </c>
      <c r="E2311" s="1281">
        <v>0</v>
      </c>
      <c r="F2311" s="1282">
        <v>100</v>
      </c>
      <c r="G2311" s="1283">
        <v>0</v>
      </c>
    </row>
    <row r="2312" spans="1:7" x14ac:dyDescent="0.3">
      <c r="A2312" s="3299" t="s">
        <v>461</v>
      </c>
      <c r="B2312" s="3298"/>
      <c r="C2312" s="3298"/>
      <c r="D2312" s="3298"/>
      <c r="E2312" s="3298"/>
      <c r="F2312" s="3298"/>
      <c r="G2312" s="3298"/>
    </row>
    <row r="2313" spans="1:7" x14ac:dyDescent="0.3">
      <c r="A2313" s="11" t="s">
        <v>962</v>
      </c>
      <c r="B2313" s="11" t="s">
        <v>5972</v>
      </c>
      <c r="C2313" s="1292">
        <v>12315</v>
      </c>
      <c r="D2313" s="1292">
        <v>6100767.8761604</v>
      </c>
      <c r="E2313" s="1293">
        <v>47281.910042882999</v>
      </c>
      <c r="F2313" s="1294">
        <v>59.724439455464001</v>
      </c>
      <c r="G2313" s="1295">
        <v>0.46287379408922502</v>
      </c>
    </row>
    <row r="2314" spans="1:7" x14ac:dyDescent="0.3">
      <c r="A2314" s="6" t="s">
        <v>964</v>
      </c>
      <c r="B2314" s="6" t="s">
        <v>5973</v>
      </c>
      <c r="C2314" s="1288">
        <v>6255</v>
      </c>
      <c r="D2314" s="1288">
        <v>4114092.1238395902</v>
      </c>
      <c r="E2314" s="1289">
        <v>47281.910042915901</v>
      </c>
      <c r="F2314" s="1290">
        <v>40.275560544536098</v>
      </c>
      <c r="G2314" s="1291">
        <v>0.46287379408922702</v>
      </c>
    </row>
    <row r="2315" spans="1:7" x14ac:dyDescent="0.3">
      <c r="A2315" s="11" t="s">
        <v>6269</v>
      </c>
      <c r="B2315" s="11" t="s">
        <v>6270</v>
      </c>
      <c r="C2315" s="1292">
        <v>18570</v>
      </c>
      <c r="D2315" s="1292">
        <v>10214860</v>
      </c>
      <c r="E2315" s="1293">
        <v>1.5090874657429101E-7</v>
      </c>
      <c r="F2315" s="1294">
        <v>100</v>
      </c>
      <c r="G2315" s="1295">
        <v>2.5177491625509499E-14</v>
      </c>
    </row>
    <row r="2316" spans="1:7" x14ac:dyDescent="0.3">
      <c r="A2316" s="6" t="s">
        <v>6269</v>
      </c>
      <c r="B2316" s="6" t="s">
        <v>6271</v>
      </c>
      <c r="C2316" s="1288">
        <v>18570</v>
      </c>
      <c r="D2316" s="1288">
        <v>10214860</v>
      </c>
      <c r="E2316" s="1289">
        <v>0</v>
      </c>
      <c r="F2316" s="1290">
        <v>100</v>
      </c>
      <c r="G2316" s="1291">
        <v>0</v>
      </c>
    </row>
    <row r="2317" spans="1:7" x14ac:dyDescent="0.3">
      <c r="A2317" s="3299" t="s">
        <v>869</v>
      </c>
      <c r="B2317" s="3298"/>
      <c r="C2317" s="3298"/>
      <c r="D2317" s="3298"/>
      <c r="E2317" s="3298"/>
      <c r="F2317" s="3298"/>
      <c r="G2317" s="3298"/>
    </row>
    <row r="2318" spans="1:7" x14ac:dyDescent="0.3">
      <c r="A2318" s="11" t="s">
        <v>962</v>
      </c>
      <c r="B2318" s="11"/>
      <c r="C2318" s="1300">
        <v>13959</v>
      </c>
      <c r="D2318" s="1300">
        <v>7407218.5577157801</v>
      </c>
      <c r="E2318" s="1301">
        <v>45562.528292484203</v>
      </c>
      <c r="F2318" s="1302">
        <v>72.514146622819993</v>
      </c>
      <c r="G2318" s="1303">
        <v>0.446041632410827</v>
      </c>
    </row>
    <row r="2319" spans="1:7" x14ac:dyDescent="0.3">
      <c r="A2319" s="6" t="s">
        <v>964</v>
      </c>
      <c r="B2319" s="6"/>
      <c r="C2319" s="1296">
        <v>3639</v>
      </c>
      <c r="D2319" s="1296">
        <v>1900494.2554651599</v>
      </c>
      <c r="E2319" s="1297">
        <v>44488.100096299298</v>
      </c>
      <c r="F2319" s="1298">
        <v>18.605191411973902</v>
      </c>
      <c r="G2319" s="1299">
        <v>0.43552334634341899</v>
      </c>
    </row>
    <row r="2320" spans="1:7" x14ac:dyDescent="0.3">
      <c r="A2320" s="11" t="s">
        <v>966</v>
      </c>
      <c r="B2320" s="11"/>
      <c r="C2320" s="1300">
        <v>690</v>
      </c>
      <c r="D2320" s="1300">
        <v>606098.91546274698</v>
      </c>
      <c r="E2320" s="1301">
        <v>15840.995767255499</v>
      </c>
      <c r="F2320" s="1302">
        <v>5.9335019321140798</v>
      </c>
      <c r="G2320" s="1303">
        <v>0.155077952779162</v>
      </c>
    </row>
    <row r="2321" spans="1:7" x14ac:dyDescent="0.3">
      <c r="A2321" s="6" t="s">
        <v>968</v>
      </c>
      <c r="B2321" s="6"/>
      <c r="C2321" s="1296">
        <v>208</v>
      </c>
      <c r="D2321" s="1296">
        <v>225494.44523970701</v>
      </c>
      <c r="E2321" s="1297">
        <v>18315.528527253598</v>
      </c>
      <c r="F2321" s="1298">
        <v>2.2075138106612</v>
      </c>
      <c r="G2321" s="1299">
        <v>0.17930278562069199</v>
      </c>
    </row>
    <row r="2322" spans="1:7" x14ac:dyDescent="0.3">
      <c r="A2322" s="11" t="s">
        <v>970</v>
      </c>
      <c r="B2322" s="11"/>
      <c r="C2322" s="1300">
        <v>47</v>
      </c>
      <c r="D2322" s="1300">
        <v>45290.357576987801</v>
      </c>
      <c r="E2322" s="1301">
        <v>8847.1713850365904</v>
      </c>
      <c r="F2322" s="1302">
        <v>0.44337717381332498</v>
      </c>
      <c r="G2322" s="1303">
        <v>8.6610794323531304E-2</v>
      </c>
    </row>
    <row r="2323" spans="1:7" x14ac:dyDescent="0.3">
      <c r="A2323" s="6" t="s">
        <v>972</v>
      </c>
      <c r="B2323" s="6"/>
      <c r="C2323" s="1296">
        <v>13</v>
      </c>
      <c r="D2323" s="1296">
        <v>18859.5974680744</v>
      </c>
      <c r="E2323" s="1297">
        <v>5345.3630019019902</v>
      </c>
      <c r="F2323" s="1298">
        <v>0.18462903522979701</v>
      </c>
      <c r="G2323" s="1299">
        <v>5.2329283043546899E-2</v>
      </c>
    </row>
    <row r="2324" spans="1:7" x14ac:dyDescent="0.3">
      <c r="A2324" s="11" t="s">
        <v>981</v>
      </c>
      <c r="B2324" s="11"/>
      <c r="C2324" s="1300">
        <v>11</v>
      </c>
      <c r="D2324" s="1300">
        <v>9131.30762916409</v>
      </c>
      <c r="E2324" s="1301">
        <v>5139.5181806005903</v>
      </c>
      <c r="F2324" s="1302">
        <v>8.9392391370651303E-2</v>
      </c>
      <c r="G2324" s="1303">
        <v>5.0314132358158702E-2</v>
      </c>
    </row>
    <row r="2325" spans="1:7" x14ac:dyDescent="0.3">
      <c r="A2325" s="6" t="s">
        <v>991</v>
      </c>
      <c r="B2325" s="6"/>
      <c r="C2325" s="1296">
        <v>3</v>
      </c>
      <c r="D2325" s="1296">
        <v>2272.5634423656002</v>
      </c>
      <c r="E2325" s="1297">
        <v>1685.45906328718</v>
      </c>
      <c r="F2325" s="1298">
        <v>2.22476220169988E-2</v>
      </c>
      <c r="G2325" s="1299">
        <v>1.6500070126141499E-2</v>
      </c>
    </row>
    <row r="2326" spans="1:7" x14ac:dyDescent="0.3">
      <c r="A2326" s="11" t="s">
        <v>6269</v>
      </c>
      <c r="B2326" s="11" t="s">
        <v>6270</v>
      </c>
      <c r="C2326" s="1300">
        <v>18570</v>
      </c>
      <c r="D2326" s="1300">
        <v>10214860</v>
      </c>
      <c r="E2326" s="1301">
        <v>1.3112810184656099E-7</v>
      </c>
      <c r="F2326" s="1302">
        <v>100</v>
      </c>
      <c r="G2326" s="1303">
        <v>3.0836003742847398E-14</v>
      </c>
    </row>
    <row r="2327" spans="1:7" x14ac:dyDescent="0.3">
      <c r="A2327" s="6" t="s">
        <v>6269</v>
      </c>
      <c r="B2327" s="6" t="s">
        <v>6271</v>
      </c>
      <c r="C2327" s="1296">
        <v>18570</v>
      </c>
      <c r="D2327" s="1296">
        <v>10214860</v>
      </c>
      <c r="E2327" s="1297">
        <v>0</v>
      </c>
      <c r="F2327" s="1298">
        <v>100</v>
      </c>
      <c r="G2327" s="1299">
        <v>0</v>
      </c>
    </row>
    <row r="2328" spans="1:7" x14ac:dyDescent="0.3">
      <c r="A2328" s="3299" t="s">
        <v>781</v>
      </c>
      <c r="B2328" s="3298"/>
      <c r="C2328" s="3298"/>
      <c r="D2328" s="3298"/>
      <c r="E2328" s="3298"/>
      <c r="F2328" s="3298"/>
      <c r="G2328" s="3298"/>
    </row>
    <row r="2329" spans="1:7" x14ac:dyDescent="0.3">
      <c r="A2329" s="11" t="s">
        <v>964</v>
      </c>
      <c r="B2329" s="11" t="s">
        <v>1131</v>
      </c>
      <c r="C2329" s="1308">
        <v>16801</v>
      </c>
      <c r="D2329" s="1308">
        <v>8784429.1825291701</v>
      </c>
      <c r="E2329" s="1309">
        <v>56329.593259475798</v>
      </c>
      <c r="F2329" s="1310">
        <v>91.878668216984096</v>
      </c>
      <c r="G2329" s="1311">
        <v>0.58634389134133702</v>
      </c>
    </row>
    <row r="2330" spans="1:7" x14ac:dyDescent="0.3">
      <c r="A2330" s="6" t="s">
        <v>962</v>
      </c>
      <c r="B2330" s="6" t="s">
        <v>1039</v>
      </c>
      <c r="C2330" s="1304">
        <v>910</v>
      </c>
      <c r="D2330" s="1304">
        <v>776472.55124817602</v>
      </c>
      <c r="E2330" s="1305">
        <v>56036.418436957902</v>
      </c>
      <c r="F2330" s="1306">
        <v>8.1213317830158793</v>
      </c>
      <c r="G2330" s="1307">
        <v>0.58634389134133802</v>
      </c>
    </row>
    <row r="2331" spans="1:7" x14ac:dyDescent="0.3">
      <c r="A2331" s="11" t="s">
        <v>960</v>
      </c>
      <c r="B2331" s="11"/>
      <c r="C2331" s="1308">
        <v>851</v>
      </c>
      <c r="D2331" s="1308">
        <v>649360.005185658</v>
      </c>
      <c r="E2331" s="1309">
        <v>7.74581865908651E-3</v>
      </c>
      <c r="F2331" s="1310">
        <v>99.296857112373999</v>
      </c>
      <c r="G2331" s="1311">
        <v>0.31556797478031501</v>
      </c>
    </row>
    <row r="2332" spans="1:7" x14ac:dyDescent="0.3">
      <c r="A2332" s="6" t="s">
        <v>956</v>
      </c>
      <c r="B2332" s="6" t="s">
        <v>1025</v>
      </c>
      <c r="C2332" s="1304">
        <v>5</v>
      </c>
      <c r="D2332" s="1304">
        <v>3169.5924894786899</v>
      </c>
      <c r="E2332" s="1305">
        <v>2014.2224818658899</v>
      </c>
      <c r="F2332" s="1306">
        <v>0.48467809846440302</v>
      </c>
      <c r="G2332" s="1307">
        <v>0.30724603321642902</v>
      </c>
    </row>
    <row r="2333" spans="1:7" x14ac:dyDescent="0.3">
      <c r="A2333" s="11" t="s">
        <v>958</v>
      </c>
      <c r="B2333" s="11" t="s">
        <v>1019</v>
      </c>
      <c r="C2333" s="1308">
        <v>3</v>
      </c>
      <c r="D2333" s="1308">
        <v>1428.6685475080101</v>
      </c>
      <c r="E2333" s="1309">
        <v>1100.5125037969201</v>
      </c>
      <c r="F2333" s="1310">
        <v>0.21846478916157799</v>
      </c>
      <c r="G2333" s="1311">
        <v>0.16817696795328299</v>
      </c>
    </row>
    <row r="2334" spans="1:7" x14ac:dyDescent="0.3">
      <c r="A2334" s="6" t="s">
        <v>6269</v>
      </c>
      <c r="B2334" s="6" t="s">
        <v>6270</v>
      </c>
      <c r="C2334" s="1304">
        <v>17711</v>
      </c>
      <c r="D2334" s="1304">
        <v>9560901.7337773498</v>
      </c>
      <c r="E2334" s="1305">
        <v>2075.7157020284899</v>
      </c>
      <c r="F2334" s="1306">
        <v>93.597971325865998</v>
      </c>
      <c r="G2334" s="1307">
        <v>2.0320549689953501E-2</v>
      </c>
    </row>
    <row r="2335" spans="1:7" x14ac:dyDescent="0.3">
      <c r="A2335" s="11" t="s">
        <v>6269</v>
      </c>
      <c r="B2335" s="11" t="s">
        <v>6271</v>
      </c>
      <c r="C2335" s="1308">
        <v>18570</v>
      </c>
      <c r="D2335" s="1308">
        <v>10214860</v>
      </c>
      <c r="E2335" s="1309">
        <v>0</v>
      </c>
      <c r="F2335" s="1310">
        <v>100</v>
      </c>
      <c r="G2335" s="1311">
        <v>0</v>
      </c>
    </row>
    <row r="2336" spans="1:7" x14ac:dyDescent="0.3">
      <c r="A2336" s="3299" t="s">
        <v>779</v>
      </c>
      <c r="B2336" s="3298"/>
      <c r="C2336" s="3298"/>
      <c r="D2336" s="3298"/>
      <c r="E2336" s="3298"/>
      <c r="F2336" s="3298"/>
      <c r="G2336" s="3298"/>
    </row>
    <row r="2337" spans="1:7" x14ac:dyDescent="0.3">
      <c r="A2337" s="11" t="s">
        <v>964</v>
      </c>
      <c r="B2337" s="11" t="s">
        <v>1131</v>
      </c>
      <c r="C2337" s="1316">
        <v>18321</v>
      </c>
      <c r="D2337" s="1316">
        <v>9972273.5229518209</v>
      </c>
      <c r="E2337" s="1317">
        <v>40007.451761501201</v>
      </c>
      <c r="F2337" s="1318">
        <v>97.625161019845606</v>
      </c>
      <c r="G2337" s="1319">
        <v>0.39165932535003001</v>
      </c>
    </row>
    <row r="2338" spans="1:7" x14ac:dyDescent="0.3">
      <c r="A2338" s="6" t="s">
        <v>962</v>
      </c>
      <c r="B2338" s="6" t="s">
        <v>1039</v>
      </c>
      <c r="C2338" s="1312">
        <v>249</v>
      </c>
      <c r="D2338" s="1312">
        <v>242586.47704820099</v>
      </c>
      <c r="E2338" s="1313">
        <v>40007.451761449098</v>
      </c>
      <c r="F2338" s="1314">
        <v>2.3748389801544101</v>
      </c>
      <c r="G2338" s="1315">
        <v>0.39165932535003201</v>
      </c>
    </row>
    <row r="2339" spans="1:7" x14ac:dyDescent="0.3">
      <c r="A2339" s="11" t="s">
        <v>6269</v>
      </c>
      <c r="B2339" s="11" t="s">
        <v>6270</v>
      </c>
      <c r="C2339" s="1316">
        <v>18570</v>
      </c>
      <c r="D2339" s="1316">
        <v>10214860</v>
      </c>
      <c r="E2339" s="1317">
        <v>2.02322805635608E-7</v>
      </c>
      <c r="F2339" s="1318">
        <v>100</v>
      </c>
      <c r="G2339" s="1319">
        <v>9.96553828182772E-14</v>
      </c>
    </row>
    <row r="2340" spans="1:7" x14ac:dyDescent="0.3">
      <c r="A2340" s="6" t="s">
        <v>6269</v>
      </c>
      <c r="B2340" s="6" t="s">
        <v>6271</v>
      </c>
      <c r="C2340" s="1312">
        <v>18570</v>
      </c>
      <c r="D2340" s="1312">
        <v>10214860</v>
      </c>
      <c r="E2340" s="1313">
        <v>0</v>
      </c>
      <c r="F2340" s="1314">
        <v>100</v>
      </c>
      <c r="G2340" s="1315">
        <v>0</v>
      </c>
    </row>
    <row r="2341" spans="1:7" x14ac:dyDescent="0.3">
      <c r="A2341" s="3299" t="s">
        <v>540</v>
      </c>
      <c r="B2341" s="3298"/>
      <c r="C2341" s="3298"/>
      <c r="D2341" s="3298"/>
      <c r="E2341" s="3298"/>
      <c r="F2341" s="3298"/>
      <c r="G2341" s="3298"/>
    </row>
    <row r="2342" spans="1:7" x14ac:dyDescent="0.3">
      <c r="A2342" s="11" t="s">
        <v>983</v>
      </c>
      <c r="B2342" s="11" t="s">
        <v>1015</v>
      </c>
      <c r="C2342" s="1324">
        <v>692</v>
      </c>
      <c r="D2342" s="1324">
        <v>335324.26406929002</v>
      </c>
      <c r="E2342" s="1325">
        <v>31168.5210803224</v>
      </c>
      <c r="F2342" s="1326">
        <v>21.8728401966437</v>
      </c>
      <c r="G2342" s="1327">
        <v>1.93672972047643</v>
      </c>
    </row>
    <row r="2343" spans="1:7" x14ac:dyDescent="0.3">
      <c r="A2343" s="6" t="s">
        <v>964</v>
      </c>
      <c r="B2343" s="6" t="s">
        <v>5993</v>
      </c>
      <c r="C2343" s="1320">
        <v>443</v>
      </c>
      <c r="D2343" s="1320">
        <v>272205.96860189101</v>
      </c>
      <c r="E2343" s="1321">
        <v>47799.1202564911</v>
      </c>
      <c r="F2343" s="1322">
        <v>17.7557018378231</v>
      </c>
      <c r="G2343" s="1323">
        <v>2.74119261665202</v>
      </c>
    </row>
    <row r="2344" spans="1:7" x14ac:dyDescent="0.3">
      <c r="A2344" s="11" t="s">
        <v>981</v>
      </c>
      <c r="B2344" s="11" t="s">
        <v>5998</v>
      </c>
      <c r="C2344" s="1324">
        <v>498</v>
      </c>
      <c r="D2344" s="1324">
        <v>179577.35476693901</v>
      </c>
      <c r="E2344" s="1325">
        <v>18990.382366563499</v>
      </c>
      <c r="F2344" s="1326">
        <v>11.7136372300861</v>
      </c>
      <c r="G2344" s="1327">
        <v>1.3950574403942499</v>
      </c>
    </row>
    <row r="2345" spans="1:7" x14ac:dyDescent="0.3">
      <c r="A2345" s="6" t="s">
        <v>962</v>
      </c>
      <c r="B2345" s="6" t="s">
        <v>5992</v>
      </c>
      <c r="C2345" s="1320">
        <v>329</v>
      </c>
      <c r="D2345" s="1320">
        <v>179523.801850936</v>
      </c>
      <c r="E2345" s="1321">
        <v>13170.249799876699</v>
      </c>
      <c r="F2345" s="1322">
        <v>11.7101440311163</v>
      </c>
      <c r="G2345" s="1323">
        <v>0.68651241152320297</v>
      </c>
    </row>
    <row r="2346" spans="1:7" x14ac:dyDescent="0.3">
      <c r="A2346" s="11" t="s">
        <v>968</v>
      </c>
      <c r="B2346" s="11" t="s">
        <v>5995</v>
      </c>
      <c r="C2346" s="1324">
        <v>300</v>
      </c>
      <c r="D2346" s="1324">
        <v>150297.38573942101</v>
      </c>
      <c r="E2346" s="1325">
        <v>18120.8314516174</v>
      </c>
      <c r="F2346" s="1326">
        <v>9.8037364202561204</v>
      </c>
      <c r="G2346" s="1327">
        <v>1.2289050643008901</v>
      </c>
    </row>
    <row r="2347" spans="1:7" x14ac:dyDescent="0.3">
      <c r="A2347" s="6" t="s">
        <v>972</v>
      </c>
      <c r="B2347" s="6" t="s">
        <v>5997</v>
      </c>
      <c r="C2347" s="1320">
        <v>224</v>
      </c>
      <c r="D2347" s="1320">
        <v>125663.709590485</v>
      </c>
      <c r="E2347" s="1321">
        <v>14219.1097837138</v>
      </c>
      <c r="F2347" s="1322">
        <v>8.1969082852356898</v>
      </c>
      <c r="G2347" s="1323">
        <v>1.1032150442051301</v>
      </c>
    </row>
    <row r="2348" spans="1:7" x14ac:dyDescent="0.3">
      <c r="A2348" s="11" t="s">
        <v>970</v>
      </c>
      <c r="B2348" s="11" t="s">
        <v>5996</v>
      </c>
      <c r="C2348" s="1324">
        <v>140</v>
      </c>
      <c r="D2348" s="1324">
        <v>87554.745077341795</v>
      </c>
      <c r="E2348" s="1325">
        <v>9755.3209317042092</v>
      </c>
      <c r="F2348" s="1326">
        <v>5.7111016193533004</v>
      </c>
      <c r="G2348" s="1327">
        <v>0.69026995737360497</v>
      </c>
    </row>
    <row r="2349" spans="1:7" x14ac:dyDescent="0.3">
      <c r="A2349" s="6" t="s">
        <v>991</v>
      </c>
      <c r="B2349" s="6" t="s">
        <v>5999</v>
      </c>
      <c r="C2349" s="1320">
        <v>172</v>
      </c>
      <c r="D2349" s="1320">
        <v>67404.024658409995</v>
      </c>
      <c r="E2349" s="1321">
        <v>16569.893918792499</v>
      </c>
      <c r="F2349" s="1322">
        <v>4.3966918530517898</v>
      </c>
      <c r="G2349" s="1323">
        <v>1.0203211109516499</v>
      </c>
    </row>
    <row r="2350" spans="1:7" x14ac:dyDescent="0.3">
      <c r="A2350" s="11" t="s">
        <v>995</v>
      </c>
      <c r="B2350" s="11" t="s">
        <v>6001</v>
      </c>
      <c r="C2350" s="1324">
        <v>95</v>
      </c>
      <c r="D2350" s="1324">
        <v>61312.3818342452</v>
      </c>
      <c r="E2350" s="1325">
        <v>11723.9485572147</v>
      </c>
      <c r="F2350" s="1326">
        <v>3.9993405596766798</v>
      </c>
      <c r="G2350" s="1327">
        <v>0.70917020677322395</v>
      </c>
    </row>
    <row r="2351" spans="1:7" x14ac:dyDescent="0.3">
      <c r="A2351" s="6" t="s">
        <v>966</v>
      </c>
      <c r="B2351" s="6" t="s">
        <v>5994</v>
      </c>
      <c r="C2351" s="1320">
        <v>109</v>
      </c>
      <c r="D2351" s="1320">
        <v>53116.799920924401</v>
      </c>
      <c r="E2351" s="1321">
        <v>7027.1420234298002</v>
      </c>
      <c r="F2351" s="1322">
        <v>3.4647515879954498</v>
      </c>
      <c r="G2351" s="1323">
        <v>0.472898497550509</v>
      </c>
    </row>
    <row r="2352" spans="1:7" x14ac:dyDescent="0.3">
      <c r="A2352" s="11" t="s">
        <v>993</v>
      </c>
      <c r="B2352" s="11" t="s">
        <v>6000</v>
      </c>
      <c r="C2352" s="1324">
        <v>58</v>
      </c>
      <c r="D2352" s="1324">
        <v>21081.850518734998</v>
      </c>
      <c r="E2352" s="1325">
        <v>4363.8953294866496</v>
      </c>
      <c r="F2352" s="1326">
        <v>1.37514637876171</v>
      </c>
      <c r="G2352" s="1327">
        <v>0.30503827440284698</v>
      </c>
    </row>
    <row r="2353" spans="1:7" x14ac:dyDescent="0.3">
      <c r="A2353" s="6" t="s">
        <v>960</v>
      </c>
      <c r="B2353" s="6" t="s">
        <v>961</v>
      </c>
      <c r="C2353" s="1320">
        <v>15498</v>
      </c>
      <c r="D2353" s="1320">
        <v>8677700.6685551405</v>
      </c>
      <c r="E2353" s="1321">
        <v>51383.704192488098</v>
      </c>
      <c r="F2353" s="1322">
        <v>99.952808796616395</v>
      </c>
      <c r="G2353" s="1323">
        <v>2.5943754471767898E-2</v>
      </c>
    </row>
    <row r="2354" spans="1:7" x14ac:dyDescent="0.3">
      <c r="A2354" s="11" t="s">
        <v>956</v>
      </c>
      <c r="B2354" s="11" t="s">
        <v>957</v>
      </c>
      <c r="C2354" s="1324">
        <v>4</v>
      </c>
      <c r="D2354" s="1324">
        <v>2172.23518298509</v>
      </c>
      <c r="E2354" s="1325">
        <v>1807.1086018272299</v>
      </c>
      <c r="F2354" s="1326">
        <v>2.5020568950132101E-2</v>
      </c>
      <c r="G2354" s="1327">
        <v>2.0817754837499501E-2</v>
      </c>
    </row>
    <row r="2355" spans="1:7" x14ac:dyDescent="0.3">
      <c r="A2355" s="6" t="s">
        <v>958</v>
      </c>
      <c r="B2355" s="6" t="s">
        <v>959</v>
      </c>
      <c r="C2355" s="1320">
        <v>8</v>
      </c>
      <c r="D2355" s="1320">
        <v>1924.80963328503</v>
      </c>
      <c r="E2355" s="1321">
        <v>1099.0051856842699</v>
      </c>
      <c r="F2355" s="1322">
        <v>2.2170634433471101E-2</v>
      </c>
      <c r="G2355" s="1323">
        <v>1.26126540413948E-2</v>
      </c>
    </row>
    <row r="2356" spans="1:7" x14ac:dyDescent="0.3">
      <c r="A2356" s="11" t="s">
        <v>6269</v>
      </c>
      <c r="B2356" s="11" t="s">
        <v>6270</v>
      </c>
      <c r="C2356" s="1324">
        <v>3060</v>
      </c>
      <c r="D2356" s="1324">
        <v>1533062.28662862</v>
      </c>
      <c r="E2356" s="1325">
        <v>52014.904804751903</v>
      </c>
      <c r="F2356" s="1326">
        <v>15.0081575922589</v>
      </c>
      <c r="G2356" s="1327">
        <v>0.50920820064838501</v>
      </c>
    </row>
    <row r="2357" spans="1:7" x14ac:dyDescent="0.3">
      <c r="A2357" s="6" t="s">
        <v>6269</v>
      </c>
      <c r="B2357" s="6" t="s">
        <v>6271</v>
      </c>
      <c r="C2357" s="1320">
        <v>18570</v>
      </c>
      <c r="D2357" s="1320">
        <v>10214860</v>
      </c>
      <c r="E2357" s="1321">
        <v>0</v>
      </c>
      <c r="F2357" s="1322">
        <v>100</v>
      </c>
      <c r="G2357" s="1323">
        <v>0</v>
      </c>
    </row>
    <row r="2358" spans="1:7" x14ac:dyDescent="0.3">
      <c r="A2358" s="3299" t="s">
        <v>543</v>
      </c>
      <c r="B2358" s="3298"/>
      <c r="C2358" s="3298"/>
      <c r="D2358" s="3298"/>
      <c r="E2358" s="3298"/>
      <c r="F2358" s="3298"/>
      <c r="G2358" s="3298"/>
    </row>
    <row r="2359" spans="1:7" x14ac:dyDescent="0.3">
      <c r="A2359" s="11" t="s">
        <v>6567</v>
      </c>
      <c r="B2359" s="11"/>
      <c r="C2359" s="1332">
        <v>555</v>
      </c>
      <c r="D2359" s="1332">
        <v>259247.19435674301</v>
      </c>
      <c r="E2359" s="1333">
        <v>26061.6519912521</v>
      </c>
      <c r="F2359" s="1334">
        <v>77.312387481501503</v>
      </c>
      <c r="G2359" s="1335">
        <v>3.0532269838674102</v>
      </c>
    </row>
    <row r="2360" spans="1:7" x14ac:dyDescent="0.3">
      <c r="A2360" s="6" t="s">
        <v>6568</v>
      </c>
      <c r="B2360" s="6"/>
      <c r="C2360" s="1328">
        <v>14</v>
      </c>
      <c r="D2360" s="1328">
        <v>16970.125268817199</v>
      </c>
      <c r="E2360" s="1329">
        <v>7616.2020306794302</v>
      </c>
      <c r="F2360" s="1330">
        <v>5.06081041165291</v>
      </c>
      <c r="G2360" s="1331">
        <v>2.3028650666891499</v>
      </c>
    </row>
    <row r="2361" spans="1:7" x14ac:dyDescent="0.3">
      <c r="A2361" s="11" t="s">
        <v>6569</v>
      </c>
      <c r="B2361" s="11"/>
      <c r="C2361" s="1332">
        <v>22</v>
      </c>
      <c r="D2361" s="1332">
        <v>12153.925991894201</v>
      </c>
      <c r="E2361" s="1333">
        <v>7116.2905635777697</v>
      </c>
      <c r="F2361" s="1334">
        <v>3.62452923758085</v>
      </c>
      <c r="G2361" s="1335">
        <v>2.1551988547921801</v>
      </c>
    </row>
    <row r="2362" spans="1:7" x14ac:dyDescent="0.3">
      <c r="A2362" s="6" t="s">
        <v>6570</v>
      </c>
      <c r="B2362" s="6"/>
      <c r="C2362" s="1328">
        <v>9</v>
      </c>
      <c r="D2362" s="1328">
        <v>9336.4337843791509</v>
      </c>
      <c r="E2362" s="1329">
        <v>4362.2670109811997</v>
      </c>
      <c r="F2362" s="1330">
        <v>2.7843000894351899</v>
      </c>
      <c r="G2362" s="1331">
        <v>1.2476284698111599</v>
      </c>
    </row>
    <row r="2363" spans="1:7" x14ac:dyDescent="0.3">
      <c r="A2363" s="11" t="s">
        <v>6571</v>
      </c>
      <c r="B2363" s="11"/>
      <c r="C2363" s="1332">
        <v>17</v>
      </c>
      <c r="D2363" s="1332">
        <v>9210.9995295095996</v>
      </c>
      <c r="E2363" s="1333">
        <v>3088.0529168670701</v>
      </c>
      <c r="F2363" s="1334">
        <v>2.74689323633504</v>
      </c>
      <c r="G2363" s="1335">
        <v>0.84560445630521297</v>
      </c>
    </row>
    <row r="2364" spans="1:7" x14ac:dyDescent="0.3">
      <c r="A2364" s="6" t="s">
        <v>6572</v>
      </c>
      <c r="B2364" s="6"/>
      <c r="C2364" s="1328">
        <v>30</v>
      </c>
      <c r="D2364" s="1328">
        <v>7298.0527269031199</v>
      </c>
      <c r="E2364" s="1329">
        <v>1769.9342390541899</v>
      </c>
      <c r="F2364" s="1330">
        <v>2.17641653435347</v>
      </c>
      <c r="G2364" s="1331">
        <v>0.63699472947443503</v>
      </c>
    </row>
    <row r="2365" spans="1:7" x14ac:dyDescent="0.3">
      <c r="A2365" s="11" t="s">
        <v>6573</v>
      </c>
      <c r="B2365" s="11"/>
      <c r="C2365" s="1332">
        <v>5</v>
      </c>
      <c r="D2365" s="1332">
        <v>5929.2974311710304</v>
      </c>
      <c r="E2365" s="1333">
        <v>4271.7160158053002</v>
      </c>
      <c r="F2365" s="1334">
        <v>1.7682279711037601</v>
      </c>
      <c r="G2365" s="1335">
        <v>1.2027053508852401</v>
      </c>
    </row>
    <row r="2366" spans="1:7" x14ac:dyDescent="0.3">
      <c r="A2366" s="6" t="s">
        <v>6574</v>
      </c>
      <c r="B2366" s="6"/>
      <c r="C2366" s="1328">
        <v>8</v>
      </c>
      <c r="D2366" s="1328">
        <v>5162.9660421917697</v>
      </c>
      <c r="E2366" s="1329">
        <v>2818.6632219498601</v>
      </c>
      <c r="F2366" s="1330">
        <v>1.5396935430610299</v>
      </c>
      <c r="G2366" s="1331">
        <v>0.859197339263438</v>
      </c>
    </row>
    <row r="2367" spans="1:7" x14ac:dyDescent="0.3">
      <c r="A2367" s="11" t="s">
        <v>6575</v>
      </c>
      <c r="B2367" s="11"/>
      <c r="C2367" s="1332">
        <v>8</v>
      </c>
      <c r="D2367" s="1332">
        <v>4484.15671337804</v>
      </c>
      <c r="E2367" s="1333">
        <v>1582.81651286745</v>
      </c>
      <c r="F2367" s="1334">
        <v>1.33725983886792</v>
      </c>
      <c r="G2367" s="1335">
        <v>0.51268293399152598</v>
      </c>
    </row>
    <row r="2368" spans="1:7" x14ac:dyDescent="0.3">
      <c r="A2368" s="6" t="s">
        <v>6576</v>
      </c>
      <c r="B2368" s="6"/>
      <c r="C2368" s="1328">
        <v>7</v>
      </c>
      <c r="D2368" s="1328">
        <v>1898.4248451521501</v>
      </c>
      <c r="E2368" s="1329">
        <v>1025.77808608483</v>
      </c>
      <c r="F2368" s="1330">
        <v>0.56614598124037396</v>
      </c>
      <c r="G2368" s="1331">
        <v>0.33550555586977399</v>
      </c>
    </row>
    <row r="2369" spans="1:7" x14ac:dyDescent="0.3">
      <c r="A2369" s="11" t="s">
        <v>6577</v>
      </c>
      <c r="B2369" s="11"/>
      <c r="C2369" s="1332">
        <v>7</v>
      </c>
      <c r="D2369" s="1332">
        <v>1873.95697825347</v>
      </c>
      <c r="E2369" s="1333">
        <v>1067.1528388949801</v>
      </c>
      <c r="F2369" s="1334">
        <v>0.55884920330914101</v>
      </c>
      <c r="G2369" s="1335">
        <v>0.301217405802019</v>
      </c>
    </row>
    <row r="2370" spans="1:7" x14ac:dyDescent="0.3">
      <c r="A2370" s="6" t="s">
        <v>6578</v>
      </c>
      <c r="B2370" s="6"/>
      <c r="C2370" s="1328">
        <v>2</v>
      </c>
      <c r="D2370" s="1328">
        <v>1758.73040089764</v>
      </c>
      <c r="E2370" s="1329">
        <v>1098.1853948902699</v>
      </c>
      <c r="F2370" s="1330">
        <v>0.52448647155883299</v>
      </c>
      <c r="G2370" s="1331">
        <v>0.34075932251636298</v>
      </c>
    </row>
    <row r="2371" spans="1:7" x14ac:dyDescent="0.3">
      <c r="A2371" s="11" t="s">
        <v>960</v>
      </c>
      <c r="B2371" s="11" t="s">
        <v>961</v>
      </c>
      <c r="C2371" s="1332">
        <v>17878</v>
      </c>
      <c r="D2371" s="1332">
        <v>9879535.7359307203</v>
      </c>
      <c r="E2371" s="1333">
        <v>31168.521080323801</v>
      </c>
      <c r="F2371" s="1334">
        <v>100</v>
      </c>
      <c r="G2371" s="1335">
        <v>0</v>
      </c>
    </row>
    <row r="2372" spans="1:7" x14ac:dyDescent="0.3">
      <c r="A2372" s="6" t="s">
        <v>6269</v>
      </c>
      <c r="B2372" s="6" t="s">
        <v>6270</v>
      </c>
      <c r="C2372" s="1328">
        <v>684</v>
      </c>
      <c r="D2372" s="1328">
        <v>335324.26406929101</v>
      </c>
      <c r="E2372" s="1329">
        <v>31168.521080322502</v>
      </c>
      <c r="F2372" s="1330">
        <v>3.2827103266152502</v>
      </c>
      <c r="G2372" s="1331">
        <v>0.30512920471080801</v>
      </c>
    </row>
    <row r="2373" spans="1:7" x14ac:dyDescent="0.3">
      <c r="A2373" s="11" t="s">
        <v>6269</v>
      </c>
      <c r="B2373" s="11" t="s">
        <v>6271</v>
      </c>
      <c r="C2373" s="1332">
        <v>18562</v>
      </c>
      <c r="D2373" s="1332">
        <v>10214860</v>
      </c>
      <c r="E2373" s="1333">
        <v>0</v>
      </c>
      <c r="F2373" s="1334">
        <v>100</v>
      </c>
      <c r="G2373" s="1335">
        <v>0</v>
      </c>
    </row>
    <row r="2374" spans="1:7" x14ac:dyDescent="0.3">
      <c r="A2374" s="3299" t="s">
        <v>486</v>
      </c>
      <c r="B2374" s="3298"/>
      <c r="C2374" s="3298"/>
      <c r="D2374" s="3298"/>
      <c r="E2374" s="3298"/>
      <c r="F2374" s="3298"/>
      <c r="G2374" s="3298"/>
    </row>
    <row r="2375" spans="1:7" x14ac:dyDescent="0.3">
      <c r="A2375" s="11" t="s">
        <v>962</v>
      </c>
      <c r="B2375" s="11" t="s">
        <v>2989</v>
      </c>
      <c r="C2375" s="1340">
        <v>13580</v>
      </c>
      <c r="D2375" s="1340">
        <v>6295599.3535447503</v>
      </c>
      <c r="E2375" s="1341">
        <v>43928.379259233101</v>
      </c>
      <c r="F2375" s="1342">
        <v>100</v>
      </c>
      <c r="G2375" s="1343">
        <v>0</v>
      </c>
    </row>
    <row r="2376" spans="1:7" x14ac:dyDescent="0.3">
      <c r="A2376" s="6" t="s">
        <v>960</v>
      </c>
      <c r="B2376" s="6" t="s">
        <v>961</v>
      </c>
      <c r="C2376" s="1336">
        <v>4990</v>
      </c>
      <c r="D2376" s="1336">
        <v>3919260.6464552302</v>
      </c>
      <c r="E2376" s="1337">
        <v>43928.3792592428</v>
      </c>
      <c r="F2376" s="1338">
        <v>100</v>
      </c>
      <c r="G2376" s="1339">
        <v>0</v>
      </c>
    </row>
    <row r="2377" spans="1:7" x14ac:dyDescent="0.3">
      <c r="A2377" s="11" t="s">
        <v>6269</v>
      </c>
      <c r="B2377" s="11" t="s">
        <v>6270</v>
      </c>
      <c r="C2377" s="1340">
        <v>13580</v>
      </c>
      <c r="D2377" s="1340">
        <v>6295599.3535447503</v>
      </c>
      <c r="E2377" s="1341">
        <v>43928.379259233101</v>
      </c>
      <c r="F2377" s="1342">
        <v>61.6317732552845</v>
      </c>
      <c r="G2377" s="1343">
        <v>0.43004387000153899</v>
      </c>
    </row>
    <row r="2378" spans="1:7" x14ac:dyDescent="0.3">
      <c r="A2378" s="6" t="s">
        <v>6269</v>
      </c>
      <c r="B2378" s="6" t="s">
        <v>6271</v>
      </c>
      <c r="C2378" s="1336">
        <v>18570</v>
      </c>
      <c r="D2378" s="1336">
        <v>10214860</v>
      </c>
      <c r="E2378" s="1337">
        <v>0</v>
      </c>
      <c r="F2378" s="1338">
        <v>100</v>
      </c>
      <c r="G2378" s="1339">
        <v>0</v>
      </c>
    </row>
    <row r="2379" spans="1:7" x14ac:dyDescent="0.3">
      <c r="A2379" s="3299" t="s">
        <v>489</v>
      </c>
      <c r="B2379" s="3298"/>
      <c r="C2379" s="3298"/>
      <c r="D2379" s="3298"/>
      <c r="E2379" s="3298"/>
      <c r="F2379" s="3298"/>
      <c r="G2379" s="3298"/>
    </row>
    <row r="2380" spans="1:7" x14ac:dyDescent="0.3">
      <c r="A2380" s="11" t="s">
        <v>964</v>
      </c>
      <c r="B2380" s="11" t="s">
        <v>2990</v>
      </c>
      <c r="C2380" s="1348">
        <v>4277</v>
      </c>
      <c r="D2380" s="1348">
        <v>3352527.99017582</v>
      </c>
      <c r="E2380" s="1349">
        <v>38020.475386775703</v>
      </c>
      <c r="F2380" s="1350">
        <v>100</v>
      </c>
      <c r="G2380" s="1351">
        <v>0</v>
      </c>
    </row>
    <row r="2381" spans="1:7" x14ac:dyDescent="0.3">
      <c r="A2381" s="6" t="s">
        <v>960</v>
      </c>
      <c r="B2381" s="6" t="s">
        <v>961</v>
      </c>
      <c r="C2381" s="1344">
        <v>14293</v>
      </c>
      <c r="D2381" s="1344">
        <v>6862332.0098241698</v>
      </c>
      <c r="E2381" s="1345">
        <v>38020.475386791499</v>
      </c>
      <c r="F2381" s="1346">
        <v>100</v>
      </c>
      <c r="G2381" s="1347">
        <v>0</v>
      </c>
    </row>
    <row r="2382" spans="1:7" x14ac:dyDescent="0.3">
      <c r="A2382" s="11" t="s">
        <v>6269</v>
      </c>
      <c r="B2382" s="11" t="s">
        <v>6270</v>
      </c>
      <c r="C2382" s="1348">
        <v>4277</v>
      </c>
      <c r="D2382" s="1348">
        <v>3352527.99017582</v>
      </c>
      <c r="E2382" s="1349">
        <v>38020.475386775703</v>
      </c>
      <c r="F2382" s="1350">
        <v>32.8201070810155</v>
      </c>
      <c r="G2382" s="1351">
        <v>0.37220750344871001</v>
      </c>
    </row>
    <row r="2383" spans="1:7" x14ac:dyDescent="0.3">
      <c r="A2383" s="6" t="s">
        <v>6269</v>
      </c>
      <c r="B2383" s="6" t="s">
        <v>6271</v>
      </c>
      <c r="C2383" s="1344">
        <v>18570</v>
      </c>
      <c r="D2383" s="1344">
        <v>10214860</v>
      </c>
      <c r="E2383" s="1345">
        <v>0</v>
      </c>
      <c r="F2383" s="1346">
        <v>100</v>
      </c>
      <c r="G2383" s="1347">
        <v>0</v>
      </c>
    </row>
    <row r="2384" spans="1:7" x14ac:dyDescent="0.3">
      <c r="A2384" s="3299" t="s">
        <v>491</v>
      </c>
      <c r="B2384" s="3298"/>
      <c r="C2384" s="3298"/>
      <c r="D2384" s="3298"/>
      <c r="E2384" s="3298"/>
      <c r="F2384" s="3298"/>
      <c r="G2384" s="3298"/>
    </row>
    <row r="2385" spans="1:7" x14ac:dyDescent="0.3">
      <c r="A2385" s="11" t="s">
        <v>966</v>
      </c>
      <c r="B2385" s="11" t="s">
        <v>2991</v>
      </c>
      <c r="C2385" s="1356">
        <v>662</v>
      </c>
      <c r="D2385" s="1356">
        <v>473511.60969928699</v>
      </c>
      <c r="E2385" s="1357">
        <v>31472.5309608752</v>
      </c>
      <c r="F2385" s="1358">
        <v>100</v>
      </c>
      <c r="G2385" s="1359">
        <v>0</v>
      </c>
    </row>
    <row r="2386" spans="1:7" x14ac:dyDescent="0.3">
      <c r="A2386" s="6" t="s">
        <v>960</v>
      </c>
      <c r="B2386" s="6" t="s">
        <v>961</v>
      </c>
      <c r="C2386" s="1352">
        <v>17908</v>
      </c>
      <c r="D2386" s="1352">
        <v>9741348.3903007302</v>
      </c>
      <c r="E2386" s="1353">
        <v>31472.530960939301</v>
      </c>
      <c r="F2386" s="1354">
        <v>100</v>
      </c>
      <c r="G2386" s="1355">
        <v>0</v>
      </c>
    </row>
    <row r="2387" spans="1:7" x14ac:dyDescent="0.3">
      <c r="A2387" s="11" t="s">
        <v>6269</v>
      </c>
      <c r="B2387" s="11" t="s">
        <v>6270</v>
      </c>
      <c r="C2387" s="1356">
        <v>662</v>
      </c>
      <c r="D2387" s="1356">
        <v>473511.60969928699</v>
      </c>
      <c r="E2387" s="1357">
        <v>31472.5309608752</v>
      </c>
      <c r="F2387" s="1358">
        <v>4.63551737076462</v>
      </c>
      <c r="G2387" s="1359">
        <v>0.30810535788917398</v>
      </c>
    </row>
    <row r="2388" spans="1:7" x14ac:dyDescent="0.3">
      <c r="A2388" s="6" t="s">
        <v>6269</v>
      </c>
      <c r="B2388" s="6" t="s">
        <v>6271</v>
      </c>
      <c r="C2388" s="1352">
        <v>18570</v>
      </c>
      <c r="D2388" s="1352">
        <v>10214860</v>
      </c>
      <c r="E2388" s="1353">
        <v>0</v>
      </c>
      <c r="F2388" s="1354">
        <v>100</v>
      </c>
      <c r="G2388" s="1355">
        <v>0</v>
      </c>
    </row>
    <row r="2389" spans="1:7" x14ac:dyDescent="0.3">
      <c r="A2389" s="3299" t="s">
        <v>493</v>
      </c>
      <c r="B2389" s="3298"/>
      <c r="C2389" s="3298"/>
      <c r="D2389" s="3298"/>
      <c r="E2389" s="3298"/>
      <c r="F2389" s="3298"/>
      <c r="G2389" s="3298"/>
    </row>
    <row r="2390" spans="1:7" x14ac:dyDescent="0.3">
      <c r="A2390" s="11" t="s">
        <v>968</v>
      </c>
      <c r="B2390" s="11" t="s">
        <v>5974</v>
      </c>
      <c r="C2390" s="1364">
        <v>299</v>
      </c>
      <c r="D2390" s="1364">
        <v>164392.042118763</v>
      </c>
      <c r="E2390" s="1365">
        <v>21491.148006062602</v>
      </c>
      <c r="F2390" s="1366">
        <v>100</v>
      </c>
      <c r="G2390" s="1367">
        <v>0</v>
      </c>
    </row>
    <row r="2391" spans="1:7" x14ac:dyDescent="0.3">
      <c r="A2391" s="6" t="s">
        <v>960</v>
      </c>
      <c r="B2391" s="6" t="s">
        <v>961</v>
      </c>
      <c r="C2391" s="1360">
        <v>18271</v>
      </c>
      <c r="D2391" s="1360">
        <v>10050467.9578813</v>
      </c>
      <c r="E2391" s="1361">
        <v>21491.1480060596</v>
      </c>
      <c r="F2391" s="1362">
        <v>100</v>
      </c>
      <c r="G2391" s="1363">
        <v>0</v>
      </c>
    </row>
    <row r="2392" spans="1:7" x14ac:dyDescent="0.3">
      <c r="A2392" s="11" t="s">
        <v>6269</v>
      </c>
      <c r="B2392" s="11" t="s">
        <v>6270</v>
      </c>
      <c r="C2392" s="1364">
        <v>299</v>
      </c>
      <c r="D2392" s="1364">
        <v>164392.042118763</v>
      </c>
      <c r="E2392" s="1365">
        <v>21491.148006062602</v>
      </c>
      <c r="F2392" s="1366">
        <v>1.60934209689376</v>
      </c>
      <c r="G2392" s="1367">
        <v>0.21039101863425</v>
      </c>
    </row>
    <row r="2393" spans="1:7" x14ac:dyDescent="0.3">
      <c r="A2393" s="6" t="s">
        <v>6269</v>
      </c>
      <c r="B2393" s="6" t="s">
        <v>6271</v>
      </c>
      <c r="C2393" s="1360">
        <v>18570</v>
      </c>
      <c r="D2393" s="1360">
        <v>10214860</v>
      </c>
      <c r="E2393" s="1361">
        <v>0</v>
      </c>
      <c r="F2393" s="1362">
        <v>100</v>
      </c>
      <c r="G2393" s="1363">
        <v>0</v>
      </c>
    </row>
    <row r="2394" spans="1:7" x14ac:dyDescent="0.3">
      <c r="A2394" s="3299" t="s">
        <v>495</v>
      </c>
      <c r="B2394" s="3298"/>
      <c r="C2394" s="3298"/>
      <c r="D2394" s="3298"/>
      <c r="E2394" s="3298"/>
      <c r="F2394" s="3298"/>
      <c r="G2394" s="3298"/>
    </row>
    <row r="2395" spans="1:7" x14ac:dyDescent="0.3">
      <c r="A2395" s="11" t="s">
        <v>970</v>
      </c>
      <c r="B2395" s="11" t="s">
        <v>5975</v>
      </c>
      <c r="C2395" s="1372">
        <v>58</v>
      </c>
      <c r="D2395" s="1372">
        <v>38082.373214161002</v>
      </c>
      <c r="E2395" s="1373">
        <v>9853.2802208523408</v>
      </c>
      <c r="F2395" s="1374">
        <v>100</v>
      </c>
      <c r="G2395" s="1375">
        <v>0</v>
      </c>
    </row>
    <row r="2396" spans="1:7" x14ac:dyDescent="0.3">
      <c r="A2396" s="6" t="s">
        <v>960</v>
      </c>
      <c r="B2396" s="6" t="s">
        <v>961</v>
      </c>
      <c r="C2396" s="1368">
        <v>18512</v>
      </c>
      <c r="D2396" s="1368">
        <v>10176777.6267859</v>
      </c>
      <c r="E2396" s="1369">
        <v>9853.2802208186804</v>
      </c>
      <c r="F2396" s="1370">
        <v>100</v>
      </c>
      <c r="G2396" s="1371">
        <v>0</v>
      </c>
    </row>
    <row r="2397" spans="1:7" x14ac:dyDescent="0.3">
      <c r="A2397" s="11" t="s">
        <v>6269</v>
      </c>
      <c r="B2397" s="11" t="s">
        <v>6270</v>
      </c>
      <c r="C2397" s="1372">
        <v>58</v>
      </c>
      <c r="D2397" s="1372">
        <v>38082.373214161002</v>
      </c>
      <c r="E2397" s="1373">
        <v>9853.2802208523408</v>
      </c>
      <c r="F2397" s="1374">
        <v>0.37281346209503502</v>
      </c>
      <c r="G2397" s="1375">
        <v>9.6460257123956797E-2</v>
      </c>
    </row>
    <row r="2398" spans="1:7" x14ac:dyDescent="0.3">
      <c r="A2398" s="6" t="s">
        <v>6269</v>
      </c>
      <c r="B2398" s="6" t="s">
        <v>6271</v>
      </c>
      <c r="C2398" s="1368">
        <v>18570</v>
      </c>
      <c r="D2398" s="1368">
        <v>10214860</v>
      </c>
      <c r="E2398" s="1369">
        <v>0</v>
      </c>
      <c r="F2398" s="1370">
        <v>100</v>
      </c>
      <c r="G2398" s="1371">
        <v>0</v>
      </c>
    </row>
    <row r="2399" spans="1:7" x14ac:dyDescent="0.3">
      <c r="A2399" s="3299" t="s">
        <v>497</v>
      </c>
      <c r="B2399" s="3298"/>
      <c r="C2399" s="3298"/>
      <c r="D2399" s="3298"/>
      <c r="E2399" s="3298"/>
      <c r="F2399" s="3298"/>
      <c r="G2399" s="3298"/>
    </row>
    <row r="2400" spans="1:7" x14ac:dyDescent="0.3">
      <c r="A2400" s="11" t="s">
        <v>960</v>
      </c>
      <c r="B2400" s="11" t="s">
        <v>961</v>
      </c>
      <c r="C2400" s="1380">
        <v>18561</v>
      </c>
      <c r="D2400" s="1380">
        <v>10201359.211979</v>
      </c>
      <c r="E2400" s="1381">
        <v>12218.5724999911</v>
      </c>
      <c r="F2400" s="1382">
        <v>99.8678318839317</v>
      </c>
      <c r="G2400" s="1383">
        <v>0.119615662867464</v>
      </c>
    </row>
    <row r="2401" spans="1:7" x14ac:dyDescent="0.3">
      <c r="A2401" s="6" t="s">
        <v>956</v>
      </c>
      <c r="B2401" s="6" t="s">
        <v>957</v>
      </c>
      <c r="C2401" s="1376">
        <v>9</v>
      </c>
      <c r="D2401" s="1376">
        <v>13500.7880210116</v>
      </c>
      <c r="E2401" s="1377">
        <v>12218.5724999827</v>
      </c>
      <c r="F2401" s="1378">
        <v>0.132168116068273</v>
      </c>
      <c r="G2401" s="1379">
        <v>0.11961566286745701</v>
      </c>
    </row>
    <row r="2402" spans="1:7" x14ac:dyDescent="0.3">
      <c r="A2402" s="11" t="s">
        <v>6269</v>
      </c>
      <c r="B2402" s="11" t="s">
        <v>6270</v>
      </c>
      <c r="C2402" s="1380">
        <v>0</v>
      </c>
      <c r="D2402" s="1380">
        <v>0</v>
      </c>
      <c r="E2402" s="1381">
        <v>0</v>
      </c>
      <c r="F2402" s="1382">
        <v>0</v>
      </c>
      <c r="G2402" s="1383">
        <v>0</v>
      </c>
    </row>
    <row r="2403" spans="1:7" x14ac:dyDescent="0.3">
      <c r="A2403" s="6" t="s">
        <v>6269</v>
      </c>
      <c r="B2403" s="6" t="s">
        <v>6271</v>
      </c>
      <c r="C2403" s="1376">
        <v>18570</v>
      </c>
      <c r="D2403" s="1376">
        <v>10214860</v>
      </c>
      <c r="E2403" s="1377">
        <v>0</v>
      </c>
      <c r="F2403" s="1378">
        <v>100</v>
      </c>
      <c r="G2403" s="1379">
        <v>0</v>
      </c>
    </row>
    <row r="2404" spans="1:7" x14ac:dyDescent="0.3">
      <c r="A2404" s="3299" t="s">
        <v>502</v>
      </c>
      <c r="B2404" s="3298"/>
      <c r="C2404" s="3298"/>
      <c r="D2404" s="3298"/>
      <c r="E2404" s="3298"/>
      <c r="F2404" s="3298"/>
      <c r="G2404" s="3298"/>
    </row>
    <row r="2405" spans="1:7" x14ac:dyDescent="0.3">
      <c r="A2405" s="11" t="s">
        <v>960</v>
      </c>
      <c r="B2405" s="11" t="s">
        <v>961</v>
      </c>
      <c r="C2405" s="1388">
        <v>18509</v>
      </c>
      <c r="D2405" s="1388">
        <v>10180360.246161399</v>
      </c>
      <c r="E2405" s="1389">
        <v>5531.2143596258202</v>
      </c>
      <c r="F2405" s="1390">
        <v>99.662259161274903</v>
      </c>
      <c r="G2405" s="1391">
        <v>5.4148704530624703E-2</v>
      </c>
    </row>
    <row r="2406" spans="1:7" x14ac:dyDescent="0.3">
      <c r="A2406" s="6" t="s">
        <v>958</v>
      </c>
      <c r="B2406" s="6" t="s">
        <v>959</v>
      </c>
      <c r="C2406" s="1384">
        <v>61</v>
      </c>
      <c r="D2406" s="1384">
        <v>34499.753838596698</v>
      </c>
      <c r="E2406" s="1385">
        <v>5531.2143596159603</v>
      </c>
      <c r="F2406" s="1386">
        <v>0.33774083872511801</v>
      </c>
      <c r="G2406" s="1387">
        <v>5.4148704530615099E-2</v>
      </c>
    </row>
    <row r="2407" spans="1:7" x14ac:dyDescent="0.3">
      <c r="A2407" s="11" t="s">
        <v>6269</v>
      </c>
      <c r="B2407" s="11" t="s">
        <v>6270</v>
      </c>
      <c r="C2407" s="1388">
        <v>0</v>
      </c>
      <c r="D2407" s="1388">
        <v>0</v>
      </c>
      <c r="E2407" s="1389">
        <v>0</v>
      </c>
      <c r="F2407" s="1390">
        <v>0</v>
      </c>
      <c r="G2407" s="1391">
        <v>0</v>
      </c>
    </row>
    <row r="2408" spans="1:7" x14ac:dyDescent="0.3">
      <c r="A2408" s="6" t="s">
        <v>6269</v>
      </c>
      <c r="B2408" s="6" t="s">
        <v>6271</v>
      </c>
      <c r="C2408" s="1384">
        <v>18570</v>
      </c>
      <c r="D2408" s="1384">
        <v>10214860</v>
      </c>
      <c r="E2408" s="1385">
        <v>0</v>
      </c>
      <c r="F2408" s="1386">
        <v>100</v>
      </c>
      <c r="G2408" s="1387">
        <v>0</v>
      </c>
    </row>
    <row r="2409" spans="1:7" x14ac:dyDescent="0.3">
      <c r="A2409" s="3299" t="s">
        <v>504</v>
      </c>
      <c r="B2409" s="3298"/>
      <c r="C2409" s="3298"/>
      <c r="D2409" s="3298"/>
      <c r="E2409" s="3298"/>
      <c r="F2409" s="3298"/>
      <c r="G2409" s="3298"/>
    </row>
    <row r="2410" spans="1:7" x14ac:dyDescent="0.3">
      <c r="A2410" s="11" t="s">
        <v>983</v>
      </c>
      <c r="B2410" s="11" t="s">
        <v>2995</v>
      </c>
      <c r="C2410" s="1396">
        <v>265</v>
      </c>
      <c r="D2410" s="1396">
        <v>262000.281445603</v>
      </c>
      <c r="E2410" s="1397">
        <v>31431.2659791683</v>
      </c>
      <c r="F2410" s="1398">
        <v>100</v>
      </c>
      <c r="G2410" s="1399">
        <v>0</v>
      </c>
    </row>
    <row r="2411" spans="1:7" x14ac:dyDescent="0.3">
      <c r="A2411" s="6" t="s">
        <v>960</v>
      </c>
      <c r="B2411" s="6" t="s">
        <v>961</v>
      </c>
      <c r="C2411" s="1392">
        <v>18305</v>
      </c>
      <c r="D2411" s="1392">
        <v>9952859.7185544204</v>
      </c>
      <c r="E2411" s="1393">
        <v>31431.265979229898</v>
      </c>
      <c r="F2411" s="1394">
        <v>100</v>
      </c>
      <c r="G2411" s="1395">
        <v>0</v>
      </c>
    </row>
    <row r="2412" spans="1:7" x14ac:dyDescent="0.3">
      <c r="A2412" s="11" t="s">
        <v>6269</v>
      </c>
      <c r="B2412" s="11" t="s">
        <v>6270</v>
      </c>
      <c r="C2412" s="1396">
        <v>265</v>
      </c>
      <c r="D2412" s="1396">
        <v>262000.281445603</v>
      </c>
      <c r="E2412" s="1397">
        <v>31431.2659791683</v>
      </c>
      <c r="F2412" s="1398">
        <v>2.56489351244758</v>
      </c>
      <c r="G2412" s="1399">
        <v>0.30770138777398798</v>
      </c>
    </row>
    <row r="2413" spans="1:7" x14ac:dyDescent="0.3">
      <c r="A2413" s="6" t="s">
        <v>6269</v>
      </c>
      <c r="B2413" s="6" t="s">
        <v>6271</v>
      </c>
      <c r="C2413" s="1392">
        <v>18570</v>
      </c>
      <c r="D2413" s="1392">
        <v>10214860</v>
      </c>
      <c r="E2413" s="1393">
        <v>0</v>
      </c>
      <c r="F2413" s="1394">
        <v>100</v>
      </c>
      <c r="G2413" s="1395">
        <v>0</v>
      </c>
    </row>
    <row r="2414" spans="1:7" x14ac:dyDescent="0.3">
      <c r="A2414" s="3299" t="s">
        <v>499</v>
      </c>
      <c r="B2414" s="3298"/>
      <c r="C2414" s="3298"/>
      <c r="D2414" s="3298"/>
      <c r="E2414" s="3298"/>
      <c r="F2414" s="3298"/>
      <c r="G2414" s="3298"/>
    </row>
    <row r="2415" spans="1:7" x14ac:dyDescent="0.3">
      <c r="A2415" s="11" t="s">
        <v>6579</v>
      </c>
      <c r="B2415" s="11"/>
      <c r="C2415" s="1404">
        <v>71</v>
      </c>
      <c r="D2415" s="1404">
        <v>81238.696323743396</v>
      </c>
      <c r="E2415" s="1405">
        <v>18246.1924747267</v>
      </c>
      <c r="F2415" s="1406">
        <v>31.007102692983299</v>
      </c>
      <c r="G2415" s="1407">
        <v>5.2699658677766799</v>
      </c>
    </row>
    <row r="2416" spans="1:7" x14ac:dyDescent="0.3">
      <c r="A2416" s="6" t="s">
        <v>6580</v>
      </c>
      <c r="B2416" s="6"/>
      <c r="C2416" s="1400">
        <v>21</v>
      </c>
      <c r="D2416" s="1400">
        <v>36505.634457055399</v>
      </c>
      <c r="E2416" s="1401">
        <v>8187.3129531127697</v>
      </c>
      <c r="F2416" s="1402">
        <v>13.9334332984809</v>
      </c>
      <c r="G2416" s="1403">
        <v>2.3138058960415502</v>
      </c>
    </row>
    <row r="2417" spans="1:7" x14ac:dyDescent="0.3">
      <c r="A2417" s="11" t="s">
        <v>6581</v>
      </c>
      <c r="B2417" s="11"/>
      <c r="C2417" s="1404">
        <v>32</v>
      </c>
      <c r="D2417" s="1404">
        <v>35393.386837547499</v>
      </c>
      <c r="E2417" s="1405">
        <v>10702.3646419053</v>
      </c>
      <c r="F2417" s="1406">
        <v>13.508911762331801</v>
      </c>
      <c r="G2417" s="1407">
        <v>4.5286908068330902</v>
      </c>
    </row>
    <row r="2418" spans="1:7" x14ac:dyDescent="0.3">
      <c r="A2418" s="6" t="s">
        <v>6582</v>
      </c>
      <c r="B2418" s="6"/>
      <c r="C2418" s="1400">
        <v>23</v>
      </c>
      <c r="D2418" s="1400">
        <v>25840.601222178899</v>
      </c>
      <c r="E2418" s="1401">
        <v>14969.004297130001</v>
      </c>
      <c r="F2418" s="1402">
        <v>9.8628142991304095</v>
      </c>
      <c r="G2418" s="1403">
        <v>5.4593290605730704</v>
      </c>
    </row>
    <row r="2419" spans="1:7" x14ac:dyDescent="0.3">
      <c r="A2419" s="11" t="s">
        <v>6583</v>
      </c>
      <c r="B2419" s="11"/>
      <c r="C2419" s="1404">
        <v>3</v>
      </c>
      <c r="D2419" s="1404">
        <v>8743.0039888883402</v>
      </c>
      <c r="E2419" s="1405">
        <v>8185.9503011945299</v>
      </c>
      <c r="F2419" s="1406">
        <v>3.33702083854577</v>
      </c>
      <c r="G2419" s="1407">
        <v>3.1573043567040102</v>
      </c>
    </row>
    <row r="2420" spans="1:7" x14ac:dyDescent="0.3">
      <c r="A2420" s="6" t="s">
        <v>6584</v>
      </c>
      <c r="B2420" s="6"/>
      <c r="C2420" s="1400">
        <v>3</v>
      </c>
      <c r="D2420" s="1400">
        <v>7121.0377569009297</v>
      </c>
      <c r="E2420" s="1401">
        <v>4576.4270776011199</v>
      </c>
      <c r="F2420" s="1402">
        <v>2.7179504226522799</v>
      </c>
      <c r="G2420" s="1403">
        <v>1.6893039806814401</v>
      </c>
    </row>
    <row r="2421" spans="1:7" x14ac:dyDescent="0.3">
      <c r="A2421" s="11" t="s">
        <v>6585</v>
      </c>
      <c r="B2421" s="11"/>
      <c r="C2421" s="1404">
        <v>7</v>
      </c>
      <c r="D2421" s="1404">
        <v>6553.2662465086896</v>
      </c>
      <c r="E2421" s="1405">
        <v>4239.3318129057498</v>
      </c>
      <c r="F2421" s="1406">
        <v>2.5012439720868298</v>
      </c>
      <c r="G2421" s="1407">
        <v>1.77332171373736</v>
      </c>
    </row>
    <row r="2422" spans="1:7" x14ac:dyDescent="0.3">
      <c r="A2422" s="6" t="s">
        <v>6586</v>
      </c>
      <c r="B2422" s="6"/>
      <c r="C2422" s="1400">
        <v>7</v>
      </c>
      <c r="D2422" s="1400">
        <v>6222.1525206387896</v>
      </c>
      <c r="E2422" s="1401">
        <v>4678.2177713764404</v>
      </c>
      <c r="F2422" s="1402">
        <v>2.3748648231626599</v>
      </c>
      <c r="G2422" s="1403">
        <v>1.8277633740249</v>
      </c>
    </row>
    <row r="2423" spans="1:7" x14ac:dyDescent="0.3">
      <c r="A2423" s="11" t="s">
        <v>6587</v>
      </c>
      <c r="B2423" s="11"/>
      <c r="C2423" s="1404">
        <v>4</v>
      </c>
      <c r="D2423" s="1404">
        <v>5837.41923683806</v>
      </c>
      <c r="E2423" s="1405">
        <v>5987.5246532014398</v>
      </c>
      <c r="F2423" s="1406">
        <v>2.2280202160966098</v>
      </c>
      <c r="G2423" s="1407">
        <v>2.2729556298856499</v>
      </c>
    </row>
    <row r="2424" spans="1:7" x14ac:dyDescent="0.3">
      <c r="A2424" s="6" t="s">
        <v>6588</v>
      </c>
      <c r="B2424" s="6"/>
      <c r="C2424" s="1400">
        <v>3</v>
      </c>
      <c r="D2424" s="1400">
        <v>5036.6167843140702</v>
      </c>
      <c r="E2424" s="1401">
        <v>5031.3459776359095</v>
      </c>
      <c r="F2424" s="1402">
        <v>1.9223707533916401</v>
      </c>
      <c r="G2424" s="1403">
        <v>1.9537058448056099</v>
      </c>
    </row>
    <row r="2425" spans="1:7" x14ac:dyDescent="0.3">
      <c r="A2425" s="11" t="s">
        <v>6589</v>
      </c>
      <c r="B2425" s="11"/>
      <c r="C2425" s="1404">
        <v>2</v>
      </c>
      <c r="D2425" s="1404">
        <v>4265.4916799979501</v>
      </c>
      <c r="E2425" s="1405">
        <v>3019.1485567346699</v>
      </c>
      <c r="F2425" s="1406">
        <v>1.62804851065916</v>
      </c>
      <c r="G2425" s="1407">
        <v>1.15393073012544</v>
      </c>
    </row>
    <row r="2426" spans="1:7" x14ac:dyDescent="0.3">
      <c r="A2426" s="6" t="s">
        <v>6590</v>
      </c>
      <c r="B2426" s="6"/>
      <c r="C2426" s="1400">
        <v>3</v>
      </c>
      <c r="D2426" s="1400">
        <v>3795.4997782558398</v>
      </c>
      <c r="E2426" s="1401">
        <v>2841.60901310801</v>
      </c>
      <c r="F2426" s="1402">
        <v>1.44866248132022</v>
      </c>
      <c r="G2426" s="1403">
        <v>1.03023007652869</v>
      </c>
    </row>
    <row r="2427" spans="1:7" x14ac:dyDescent="0.3">
      <c r="A2427" s="11" t="s">
        <v>6591</v>
      </c>
      <c r="B2427" s="11"/>
      <c r="C2427" s="1404">
        <v>3</v>
      </c>
      <c r="D2427" s="1404">
        <v>3016.1950841038602</v>
      </c>
      <c r="E2427" s="1405">
        <v>3150.8557716623</v>
      </c>
      <c r="F2427" s="1406">
        <v>1.1512182610880499</v>
      </c>
      <c r="G2427" s="1407">
        <v>1.1805827720256801</v>
      </c>
    </row>
    <row r="2428" spans="1:7" x14ac:dyDescent="0.3">
      <c r="A2428" s="6" t="s">
        <v>6592</v>
      </c>
      <c r="B2428" s="6"/>
      <c r="C2428" s="1400">
        <v>1</v>
      </c>
      <c r="D2428" s="1400">
        <v>2915.7672274133201</v>
      </c>
      <c r="E2428" s="1401">
        <v>2879.3072885001802</v>
      </c>
      <c r="F2428" s="1402">
        <v>1.11288705925253</v>
      </c>
      <c r="G2428" s="1403">
        <v>1.08141706333576</v>
      </c>
    </row>
    <row r="2429" spans="1:7" x14ac:dyDescent="0.3">
      <c r="A2429" s="11" t="s">
        <v>6593</v>
      </c>
      <c r="B2429" s="11"/>
      <c r="C2429" s="1404">
        <v>2</v>
      </c>
      <c r="D2429" s="1404">
        <v>2892.1552182928099</v>
      </c>
      <c r="E2429" s="1405">
        <v>2936.1167468925801</v>
      </c>
      <c r="F2429" s="1406">
        <v>1.10387485171205</v>
      </c>
      <c r="G2429" s="1407">
        <v>1.1213665203377099</v>
      </c>
    </row>
    <row r="2430" spans="1:7" x14ac:dyDescent="0.3">
      <c r="A2430" s="6" t="s">
        <v>6594</v>
      </c>
      <c r="B2430" s="6"/>
      <c r="C2430" s="1400">
        <v>2</v>
      </c>
      <c r="D2430" s="1400">
        <v>2346.96890270821</v>
      </c>
      <c r="E2430" s="1401">
        <v>2383.9642570659198</v>
      </c>
      <c r="F2430" s="1402">
        <v>0.89578869524821103</v>
      </c>
      <c r="G2430" s="1403">
        <v>0.91073053372422197</v>
      </c>
    </row>
    <row r="2431" spans="1:7" x14ac:dyDescent="0.3">
      <c r="A2431" s="11" t="s">
        <v>6595</v>
      </c>
      <c r="B2431" s="11"/>
      <c r="C2431" s="1404">
        <v>2</v>
      </c>
      <c r="D2431" s="1404">
        <v>2209.6445733077699</v>
      </c>
      <c r="E2431" s="1405">
        <v>2261.6708998312602</v>
      </c>
      <c r="F2431" s="1406">
        <v>0.84337488536879301</v>
      </c>
      <c r="G2431" s="1407">
        <v>0.85579004407405301</v>
      </c>
    </row>
    <row r="2432" spans="1:7" x14ac:dyDescent="0.3">
      <c r="A2432" s="6" t="s">
        <v>6596</v>
      </c>
      <c r="B2432" s="6"/>
      <c r="C2432" s="1400">
        <v>4</v>
      </c>
      <c r="D2432" s="1400">
        <v>2158.7362697874801</v>
      </c>
      <c r="E2432" s="1401">
        <v>1309.0017385711201</v>
      </c>
      <c r="F2432" s="1402">
        <v>0.82394425604297705</v>
      </c>
      <c r="G2432" s="1403">
        <v>0.47484695168026703</v>
      </c>
    </row>
    <row r="2433" spans="1:7" x14ac:dyDescent="0.3">
      <c r="A2433" s="11" t="s">
        <v>6597</v>
      </c>
      <c r="B2433" s="11"/>
      <c r="C2433" s="1404">
        <v>2</v>
      </c>
      <c r="D2433" s="1404">
        <v>1971.09614134053</v>
      </c>
      <c r="E2433" s="1405">
        <v>1976.5822774800899</v>
      </c>
      <c r="F2433" s="1406">
        <v>0.75232596334052804</v>
      </c>
      <c r="G2433" s="1407">
        <v>0.75390544067128196</v>
      </c>
    </row>
    <row r="2434" spans="1:7" x14ac:dyDescent="0.3">
      <c r="A2434" s="6" t="s">
        <v>6598</v>
      </c>
      <c r="B2434" s="6"/>
      <c r="C2434" s="1400">
        <v>6</v>
      </c>
      <c r="D2434" s="1400">
        <v>1668.5221428111199</v>
      </c>
      <c r="E2434" s="1401">
        <v>1263.95750764898</v>
      </c>
      <c r="F2434" s="1402">
        <v>0.63683982841733899</v>
      </c>
      <c r="G2434" s="1403">
        <v>0.49254087549012598</v>
      </c>
    </row>
    <row r="2435" spans="1:7" x14ac:dyDescent="0.3">
      <c r="A2435" s="11" t="s">
        <v>6599</v>
      </c>
      <c r="B2435" s="11"/>
      <c r="C2435" s="1404">
        <v>2</v>
      </c>
      <c r="D2435" s="1404">
        <v>1537.2835172209</v>
      </c>
      <c r="E2435" s="1405">
        <v>1575.7312557595101</v>
      </c>
      <c r="F2435" s="1406">
        <v>0.58674880375656102</v>
      </c>
      <c r="G2435" s="1407">
        <v>0.59855461041259295</v>
      </c>
    </row>
    <row r="2436" spans="1:7" x14ac:dyDescent="0.3">
      <c r="A2436" s="6" t="s">
        <v>6600</v>
      </c>
      <c r="B2436" s="6"/>
      <c r="C2436" s="1400">
        <v>1</v>
      </c>
      <c r="D2436" s="1400">
        <v>1244.7392782617701</v>
      </c>
      <c r="E2436" s="1401">
        <v>1311.66018287568</v>
      </c>
      <c r="F2436" s="1402">
        <v>0.475090817228837</v>
      </c>
      <c r="G2436" s="1403">
        <v>0.49441760105584298</v>
      </c>
    </row>
    <row r="2437" spans="1:7" x14ac:dyDescent="0.3">
      <c r="A2437" s="11" t="s">
        <v>6601</v>
      </c>
      <c r="B2437" s="11"/>
      <c r="C2437" s="1404">
        <v>1</v>
      </c>
      <c r="D2437" s="1404">
        <v>1142.75053753254</v>
      </c>
      <c r="E2437" s="1405">
        <v>1148.5256527475999</v>
      </c>
      <c r="F2437" s="1406">
        <v>0.43616385876661701</v>
      </c>
      <c r="G2437" s="1407">
        <v>0.43577773920884</v>
      </c>
    </row>
    <row r="2438" spans="1:7" x14ac:dyDescent="0.3">
      <c r="A2438" s="6" t="s">
        <v>6602</v>
      </c>
      <c r="B2438" s="6"/>
      <c r="C2438" s="1400">
        <v>3</v>
      </c>
      <c r="D2438" s="1400">
        <v>1042.4219706663</v>
      </c>
      <c r="E2438" s="1401">
        <v>1044.8212773294799</v>
      </c>
      <c r="F2438" s="1402">
        <v>0.397870553769893</v>
      </c>
      <c r="G2438" s="1403">
        <v>0.39359182377635799</v>
      </c>
    </row>
    <row r="2439" spans="1:7" x14ac:dyDescent="0.3">
      <c r="A2439" s="11" t="s">
        <v>6603</v>
      </c>
      <c r="B2439" s="11"/>
      <c r="C2439" s="1404">
        <v>2</v>
      </c>
      <c r="D2439" s="1404">
        <v>1033.8023136376</v>
      </c>
      <c r="E2439" s="1405">
        <v>1047.41310298499</v>
      </c>
      <c r="F2439" s="1406">
        <v>0.39458061187321303</v>
      </c>
      <c r="G2439" s="1407">
        <v>0.39960603592261901</v>
      </c>
    </row>
    <row r="2440" spans="1:7" x14ac:dyDescent="0.3">
      <c r="A2440" s="6" t="s">
        <v>6604</v>
      </c>
      <c r="B2440" s="6"/>
      <c r="C2440" s="1400">
        <v>1</v>
      </c>
      <c r="D2440" s="1400">
        <v>918.84847840071598</v>
      </c>
      <c r="E2440" s="1401">
        <v>917.54420590790198</v>
      </c>
      <c r="F2440" s="1402">
        <v>0.35070514937270703</v>
      </c>
      <c r="G2440" s="1403">
        <v>0.35164797230365202</v>
      </c>
    </row>
    <row r="2441" spans="1:7" x14ac:dyDescent="0.3">
      <c r="A2441" s="11" t="s">
        <v>6605</v>
      </c>
      <c r="B2441" s="11"/>
      <c r="C2441" s="1404">
        <v>2</v>
      </c>
      <c r="D2441" s="1404">
        <v>789.41286560015101</v>
      </c>
      <c r="E2441" s="1405">
        <v>559.90775996331399</v>
      </c>
      <c r="F2441" s="1406">
        <v>0.30130229679316201</v>
      </c>
      <c r="G2441" s="1407">
        <v>0.19948259326003601</v>
      </c>
    </row>
    <row r="2442" spans="1:7" x14ac:dyDescent="0.3">
      <c r="A2442" s="6" t="s">
        <v>6606</v>
      </c>
      <c r="B2442" s="6"/>
      <c r="C2442" s="1400">
        <v>2</v>
      </c>
      <c r="D2442" s="1400">
        <v>769.20371357516103</v>
      </c>
      <c r="E2442" s="1401">
        <v>532.24019308729203</v>
      </c>
      <c r="F2442" s="1402">
        <v>0.29358888827562701</v>
      </c>
      <c r="G2442" s="1403">
        <v>0.200885638512248</v>
      </c>
    </row>
    <row r="2443" spans="1:7" x14ac:dyDescent="0.3">
      <c r="A2443" s="11" t="s">
        <v>6607</v>
      </c>
      <c r="B2443" s="11"/>
      <c r="C2443" s="1404">
        <v>2</v>
      </c>
      <c r="D2443" s="1404">
        <v>634.81124588002501</v>
      </c>
      <c r="E2443" s="1405">
        <v>641.50885260095595</v>
      </c>
      <c r="F2443" s="1406">
        <v>0.242294108379355</v>
      </c>
      <c r="G2443" s="1407">
        <v>0.25106710190461801</v>
      </c>
    </row>
    <row r="2444" spans="1:7" x14ac:dyDescent="0.3">
      <c r="A2444" s="6" t="s">
        <v>6608</v>
      </c>
      <c r="B2444" s="6"/>
      <c r="C2444" s="1400">
        <v>1</v>
      </c>
      <c r="D2444" s="1400">
        <v>549.53705553353302</v>
      </c>
      <c r="E2444" s="1401">
        <v>553.55188410963399</v>
      </c>
      <c r="F2444" s="1402">
        <v>0.20974674244677399</v>
      </c>
      <c r="G2444" s="1403">
        <v>0.213719456696389</v>
      </c>
    </row>
    <row r="2445" spans="1:7" x14ac:dyDescent="0.3">
      <c r="A2445" s="11" t="s">
        <v>6609</v>
      </c>
      <c r="B2445" s="11"/>
      <c r="C2445" s="1404">
        <v>1</v>
      </c>
      <c r="D2445" s="1404">
        <v>532.38219247469999</v>
      </c>
      <c r="E2445" s="1405">
        <v>537.88268095433398</v>
      </c>
      <c r="F2445" s="1406">
        <v>0.20319909182434701</v>
      </c>
      <c r="G2445" s="1407">
        <v>0.20794610079793399</v>
      </c>
    </row>
    <row r="2446" spans="1:7" x14ac:dyDescent="0.3">
      <c r="A2446" s="6" t="s">
        <v>6610</v>
      </c>
      <c r="B2446" s="6"/>
      <c r="C2446" s="1400">
        <v>5</v>
      </c>
      <c r="D2446" s="1400">
        <v>507.54616044834597</v>
      </c>
      <c r="E2446" s="1401">
        <v>358.70483579059203</v>
      </c>
      <c r="F2446" s="1402">
        <v>0.193719700470522</v>
      </c>
      <c r="G2446" s="1403">
        <v>0.138118816329659</v>
      </c>
    </row>
    <row r="2447" spans="1:7" x14ac:dyDescent="0.3">
      <c r="A2447" s="11" t="s">
        <v>6611</v>
      </c>
      <c r="B2447" s="11"/>
      <c r="C2447" s="1404">
        <v>1</v>
      </c>
      <c r="D2447" s="1404">
        <v>503.87206843715501</v>
      </c>
      <c r="E2447" s="1405">
        <v>509.96045702516</v>
      </c>
      <c r="F2447" s="1406">
        <v>0.19231737678181399</v>
      </c>
      <c r="G2447" s="1407">
        <v>0.19478667811427799</v>
      </c>
    </row>
    <row r="2448" spans="1:7" x14ac:dyDescent="0.3">
      <c r="A2448" s="6" t="s">
        <v>6612</v>
      </c>
      <c r="B2448" s="6"/>
      <c r="C2448" s="1400">
        <v>3</v>
      </c>
      <c r="D2448" s="1400">
        <v>490.61163222872699</v>
      </c>
      <c r="E2448" s="1401">
        <v>392.87341829449502</v>
      </c>
      <c r="F2448" s="1402">
        <v>0.187256147024631</v>
      </c>
      <c r="G2448" s="1403">
        <v>0.14998659345553</v>
      </c>
    </row>
    <row r="2449" spans="1:7" x14ac:dyDescent="0.3">
      <c r="A2449" s="11" t="s">
        <v>6613</v>
      </c>
      <c r="B2449" s="11"/>
      <c r="C2449" s="1404">
        <v>1</v>
      </c>
      <c r="D2449" s="1404">
        <v>423.38380375735801</v>
      </c>
      <c r="E2449" s="1405">
        <v>422.02598986397101</v>
      </c>
      <c r="F2449" s="1406">
        <v>0.161596698072731</v>
      </c>
      <c r="G2449" s="1407">
        <v>0.16195281719107299</v>
      </c>
    </row>
    <row r="2450" spans="1:7" x14ac:dyDescent="0.3">
      <c r="A2450" s="6" t="s">
        <v>6614</v>
      </c>
      <c r="B2450" s="6"/>
      <c r="C2450" s="1400">
        <v>2</v>
      </c>
      <c r="D2450" s="1400">
        <v>402.79787150636997</v>
      </c>
      <c r="E2450" s="1401">
        <v>312.86914226772399</v>
      </c>
      <c r="F2450" s="1402">
        <v>0.153739480463115</v>
      </c>
      <c r="G2450" s="1403">
        <v>0.11998338664585501</v>
      </c>
    </row>
    <row r="2451" spans="1:7" x14ac:dyDescent="0.3">
      <c r="A2451" s="11" t="s">
        <v>6615</v>
      </c>
      <c r="B2451" s="11"/>
      <c r="C2451" s="1404">
        <v>1</v>
      </c>
      <c r="D2451" s="1404">
        <v>402.312896213621</v>
      </c>
      <c r="E2451" s="1405">
        <v>400.69357839175399</v>
      </c>
      <c r="F2451" s="1406">
        <v>0.15355437558839</v>
      </c>
      <c r="G2451" s="1407">
        <v>0.1533298056422</v>
      </c>
    </row>
    <row r="2452" spans="1:7" x14ac:dyDescent="0.3">
      <c r="A2452" s="6" t="s">
        <v>6616</v>
      </c>
      <c r="B2452" s="6"/>
      <c r="C2452" s="1400">
        <v>1</v>
      </c>
      <c r="D2452" s="1400">
        <v>394.62495342041598</v>
      </c>
      <c r="E2452" s="1401">
        <v>399.87887634482502</v>
      </c>
      <c r="F2452" s="1402">
        <v>0.150620049430118</v>
      </c>
      <c r="G2452" s="1403">
        <v>0.154373342472331</v>
      </c>
    </row>
    <row r="2453" spans="1:7" x14ac:dyDescent="0.3">
      <c r="A2453" s="11" t="s">
        <v>6617</v>
      </c>
      <c r="B2453" s="11"/>
      <c r="C2453" s="1404">
        <v>1</v>
      </c>
      <c r="D2453" s="1404">
        <v>378.52617971260298</v>
      </c>
      <c r="E2453" s="1405">
        <v>383.223756994891</v>
      </c>
      <c r="F2453" s="1406">
        <v>0.144475485913244</v>
      </c>
      <c r="G2453" s="1407">
        <v>0.14980062742272399</v>
      </c>
    </row>
    <row r="2454" spans="1:7" x14ac:dyDescent="0.3">
      <c r="A2454" s="6" t="s">
        <v>6618</v>
      </c>
      <c r="B2454" s="6"/>
      <c r="C2454" s="1400">
        <v>1</v>
      </c>
      <c r="D2454" s="1400">
        <v>303.72565712694598</v>
      </c>
      <c r="E2454" s="1401">
        <v>305.47200648427099</v>
      </c>
      <c r="F2454" s="1402">
        <v>0.115925698801208</v>
      </c>
      <c r="G2454" s="1403">
        <v>0.119374429989207</v>
      </c>
    </row>
    <row r="2455" spans="1:7" x14ac:dyDescent="0.3">
      <c r="A2455" s="11" t="s">
        <v>6619</v>
      </c>
      <c r="B2455" s="11"/>
      <c r="C2455" s="1404">
        <v>1</v>
      </c>
      <c r="D2455" s="1404">
        <v>273.09126535827198</v>
      </c>
      <c r="E2455" s="1405">
        <v>271.927545741475</v>
      </c>
      <c r="F2455" s="1406">
        <v>0.104233195419285</v>
      </c>
      <c r="G2455" s="1407">
        <v>0.104879965240773</v>
      </c>
    </row>
    <row r="2456" spans="1:7" x14ac:dyDescent="0.3">
      <c r="A2456" s="6" t="s">
        <v>6620</v>
      </c>
      <c r="B2456" s="6"/>
      <c r="C2456" s="1400">
        <v>4</v>
      </c>
      <c r="D2456" s="1400">
        <v>259.19311844545098</v>
      </c>
      <c r="E2456" s="1401">
        <v>260.33628383453498</v>
      </c>
      <c r="F2456" s="1402">
        <v>9.8928564891356804E-2</v>
      </c>
      <c r="G2456" s="1403">
        <v>0.101513094718929</v>
      </c>
    </row>
    <row r="2457" spans="1:7" x14ac:dyDescent="0.3">
      <c r="A2457" s="11" t="s">
        <v>6621</v>
      </c>
      <c r="B2457" s="11"/>
      <c r="C2457" s="1404">
        <v>2</v>
      </c>
      <c r="D2457" s="1404">
        <v>248.81845321052</v>
      </c>
      <c r="E2457" s="1405">
        <v>162.905372087903</v>
      </c>
      <c r="F2457" s="1406">
        <v>9.4968773253848601E-2</v>
      </c>
      <c r="G2457" s="1407">
        <v>6.2259412475603397E-2</v>
      </c>
    </row>
    <row r="2458" spans="1:7" x14ac:dyDescent="0.3">
      <c r="A2458" s="6" t="s">
        <v>6622</v>
      </c>
      <c r="B2458" s="6"/>
      <c r="C2458" s="1400">
        <v>3</v>
      </c>
      <c r="D2458" s="1400">
        <v>242.80809448826699</v>
      </c>
      <c r="E2458" s="1401">
        <v>245.59531347848699</v>
      </c>
      <c r="F2458" s="1402">
        <v>9.2674745671477099E-2</v>
      </c>
      <c r="G2458" s="1403">
        <v>9.3229211573753301E-2</v>
      </c>
    </row>
    <row r="2459" spans="1:7" x14ac:dyDescent="0.3">
      <c r="A2459" s="11" t="s">
        <v>6623</v>
      </c>
      <c r="B2459" s="11"/>
      <c r="C2459" s="1404">
        <v>1</v>
      </c>
      <c r="D2459" s="1404">
        <v>240.19037489437099</v>
      </c>
      <c r="E2459" s="1405">
        <v>242.343678466998</v>
      </c>
      <c r="F2459" s="1406">
        <v>9.1675617128769996E-2</v>
      </c>
      <c r="G2459" s="1407">
        <v>9.2755444355450897E-2</v>
      </c>
    </row>
    <row r="2460" spans="1:7" x14ac:dyDescent="0.3">
      <c r="A2460" s="6" t="s">
        <v>6624</v>
      </c>
      <c r="B2460" s="6"/>
      <c r="C2460" s="1400">
        <v>2</v>
      </c>
      <c r="D2460" s="1400">
        <v>210.01643827817799</v>
      </c>
      <c r="E2460" s="1401">
        <v>211.279152203785</v>
      </c>
      <c r="F2460" s="1402">
        <v>8.0158859799462398E-2</v>
      </c>
      <c r="G2460" s="1403">
        <v>8.1058840576485394E-2</v>
      </c>
    </row>
    <row r="2461" spans="1:7" x14ac:dyDescent="0.3">
      <c r="A2461" s="11" t="s">
        <v>6625</v>
      </c>
      <c r="B2461" s="11"/>
      <c r="C2461" s="1404">
        <v>1</v>
      </c>
      <c r="D2461" s="1404">
        <v>196.18877114941901</v>
      </c>
      <c r="E2461" s="1405">
        <v>200.91169362364101</v>
      </c>
      <c r="F2461" s="1406">
        <v>7.4881129923576803E-2</v>
      </c>
      <c r="G2461" s="1407">
        <v>7.7573033546169096E-2</v>
      </c>
    </row>
    <row r="2462" spans="1:7" x14ac:dyDescent="0.3">
      <c r="A2462" s="6" t="s">
        <v>6626</v>
      </c>
      <c r="B2462" s="6"/>
      <c r="C2462" s="1400">
        <v>1</v>
      </c>
      <c r="D2462" s="1400">
        <v>185.68752913883699</v>
      </c>
      <c r="E2462" s="1401">
        <v>186.167159388116</v>
      </c>
      <c r="F2462" s="1402">
        <v>7.0873026591534299E-2</v>
      </c>
      <c r="G2462" s="1403">
        <v>7.1824890424312907E-2</v>
      </c>
    </row>
    <row r="2463" spans="1:7" x14ac:dyDescent="0.3">
      <c r="A2463" s="11" t="s">
        <v>6627</v>
      </c>
      <c r="B2463" s="11"/>
      <c r="C2463" s="1404">
        <v>1</v>
      </c>
      <c r="D2463" s="1404">
        <v>139.49593190674</v>
      </c>
      <c r="E2463" s="1405">
        <v>139.81922294693399</v>
      </c>
      <c r="F2463" s="1406">
        <v>5.3242664907481099E-2</v>
      </c>
      <c r="G2463" s="1407">
        <v>5.3368611211993398E-2</v>
      </c>
    </row>
    <row r="2464" spans="1:7" x14ac:dyDescent="0.3">
      <c r="A2464" s="6" t="s">
        <v>6628</v>
      </c>
      <c r="B2464" s="6"/>
      <c r="C2464" s="1400">
        <v>1</v>
      </c>
      <c r="D2464" s="1400">
        <v>137.20046002746901</v>
      </c>
      <c r="E2464" s="1401">
        <v>138.50580272830101</v>
      </c>
      <c r="F2464" s="1402">
        <v>5.2366531543575699E-2</v>
      </c>
      <c r="G2464" s="1403">
        <v>5.2974977784096301E-2</v>
      </c>
    </row>
    <row r="2465" spans="1:7" x14ac:dyDescent="0.3">
      <c r="A2465" s="11" t="s">
        <v>6629</v>
      </c>
      <c r="B2465" s="11"/>
      <c r="C2465" s="1404">
        <v>1</v>
      </c>
      <c r="D2465" s="1404">
        <v>133.10422443781201</v>
      </c>
      <c r="E2465" s="1405">
        <v>135.55420683052901</v>
      </c>
      <c r="F2465" s="1406">
        <v>5.0803084524719197E-2</v>
      </c>
      <c r="G2465" s="1407">
        <v>5.2415695557405897E-2</v>
      </c>
    </row>
    <row r="2466" spans="1:7" x14ac:dyDescent="0.3">
      <c r="A2466" s="6" t="s">
        <v>960</v>
      </c>
      <c r="B2466" s="6" t="s">
        <v>961</v>
      </c>
      <c r="C2466" s="1400">
        <v>18305</v>
      </c>
      <c r="D2466" s="1400">
        <v>9952859.7185544204</v>
      </c>
      <c r="E2466" s="1401">
        <v>31431.265979229898</v>
      </c>
      <c r="F2466" s="1402">
        <v>100</v>
      </c>
      <c r="G2466" s="1403">
        <v>0</v>
      </c>
    </row>
    <row r="2467" spans="1:7" x14ac:dyDescent="0.3">
      <c r="A2467" s="11" t="s">
        <v>6269</v>
      </c>
      <c r="B2467" s="11" t="s">
        <v>6270</v>
      </c>
      <c r="C2467" s="1404">
        <v>253</v>
      </c>
      <c r="D2467" s="1404">
        <v>262000.281445603</v>
      </c>
      <c r="E2467" s="1405">
        <v>31431.265979168398</v>
      </c>
      <c r="F2467" s="1406">
        <v>2.56489351244758</v>
      </c>
      <c r="G2467" s="1407">
        <v>0.30770138777398798</v>
      </c>
    </row>
    <row r="2468" spans="1:7" x14ac:dyDescent="0.3">
      <c r="A2468" s="6" t="s">
        <v>6269</v>
      </c>
      <c r="B2468" s="6" t="s">
        <v>6271</v>
      </c>
      <c r="C2468" s="1400">
        <v>18558</v>
      </c>
      <c r="D2468" s="1400">
        <v>10214860</v>
      </c>
      <c r="E2468" s="1401">
        <v>0</v>
      </c>
      <c r="F2468" s="1402">
        <v>100</v>
      </c>
      <c r="G2468" s="1403">
        <v>0</v>
      </c>
    </row>
    <row r="2469" spans="1:7" x14ac:dyDescent="0.3">
      <c r="A2469" s="3299" t="s">
        <v>16</v>
      </c>
      <c r="B2469" s="3298"/>
      <c r="C2469" s="3298"/>
      <c r="D2469" s="3298"/>
      <c r="E2469" s="3298"/>
      <c r="F2469" s="3298"/>
      <c r="G2469" s="3298"/>
    </row>
    <row r="2470" spans="1:7" x14ac:dyDescent="0.3">
      <c r="A2470" s="11" t="s">
        <v>962</v>
      </c>
      <c r="B2470" s="11" t="s">
        <v>976</v>
      </c>
      <c r="C2470" s="1412">
        <v>2274</v>
      </c>
      <c r="D2470" s="1412">
        <v>1198225.6784628599</v>
      </c>
      <c r="E2470" s="1413">
        <v>39692.903256119098</v>
      </c>
      <c r="F2470" s="1414">
        <v>100</v>
      </c>
      <c r="G2470" s="1415">
        <v>0</v>
      </c>
    </row>
    <row r="2471" spans="1:7" x14ac:dyDescent="0.3">
      <c r="A2471" s="6" t="s">
        <v>960</v>
      </c>
      <c r="B2471" s="6" t="s">
        <v>961</v>
      </c>
      <c r="C2471" s="1408">
        <v>16272</v>
      </c>
      <c r="D2471" s="1408">
        <v>9004297.6676813606</v>
      </c>
      <c r="E2471" s="1409">
        <v>42059.999964099203</v>
      </c>
      <c r="F2471" s="1410">
        <v>99.8631789488648</v>
      </c>
      <c r="G2471" s="1411">
        <v>5.5508471713000301E-2</v>
      </c>
    </row>
    <row r="2472" spans="1:7" x14ac:dyDescent="0.3">
      <c r="A2472" s="11" t="s">
        <v>974</v>
      </c>
      <c r="B2472" s="11" t="s">
        <v>975</v>
      </c>
      <c r="C2472" s="1412">
        <v>24</v>
      </c>
      <c r="D2472" s="1412">
        <v>12336.653855741301</v>
      </c>
      <c r="E2472" s="1413">
        <v>4987.3305107425904</v>
      </c>
      <c r="F2472" s="1414">
        <v>0.13682105113516699</v>
      </c>
      <c r="G2472" s="1415">
        <v>5.5508471713003098E-2</v>
      </c>
    </row>
    <row r="2473" spans="1:7" x14ac:dyDescent="0.3">
      <c r="A2473" s="6" t="s">
        <v>6269</v>
      </c>
      <c r="B2473" s="6" t="s">
        <v>6270</v>
      </c>
      <c r="C2473" s="1408">
        <v>2274</v>
      </c>
      <c r="D2473" s="1408">
        <v>1198225.6784628599</v>
      </c>
      <c r="E2473" s="1409">
        <v>39692.903256119098</v>
      </c>
      <c r="F2473" s="1410">
        <v>11.730221250833299</v>
      </c>
      <c r="G2473" s="1411">
        <v>0.38858000262471798</v>
      </c>
    </row>
    <row r="2474" spans="1:7" x14ac:dyDescent="0.3">
      <c r="A2474" s="11" t="s">
        <v>6269</v>
      </c>
      <c r="B2474" s="11" t="s">
        <v>6271</v>
      </c>
      <c r="C2474" s="1412">
        <v>18570</v>
      </c>
      <c r="D2474" s="1412">
        <v>10214860</v>
      </c>
      <c r="E2474" s="1413">
        <v>0</v>
      </c>
      <c r="F2474" s="1414">
        <v>100</v>
      </c>
      <c r="G2474" s="1415">
        <v>0</v>
      </c>
    </row>
    <row r="2475" spans="1:7" x14ac:dyDescent="0.3">
      <c r="A2475" s="3299" t="s">
        <v>19</v>
      </c>
      <c r="B2475" s="3298"/>
      <c r="C2475" s="3298"/>
      <c r="D2475" s="3298"/>
      <c r="E2475" s="3298"/>
      <c r="F2475" s="3298"/>
      <c r="G2475" s="3298"/>
    </row>
    <row r="2476" spans="1:7" x14ac:dyDescent="0.3">
      <c r="A2476" s="11" t="s">
        <v>964</v>
      </c>
      <c r="B2476" s="11" t="s">
        <v>977</v>
      </c>
      <c r="C2476" s="1420">
        <v>7595</v>
      </c>
      <c r="D2476" s="1420">
        <v>3403282.4300715802</v>
      </c>
      <c r="E2476" s="1421">
        <v>62405.701162681202</v>
      </c>
      <c r="F2476" s="1422">
        <v>100</v>
      </c>
      <c r="G2476" s="1423">
        <v>0</v>
      </c>
    </row>
    <row r="2477" spans="1:7" x14ac:dyDescent="0.3">
      <c r="A2477" s="6" t="s">
        <v>960</v>
      </c>
      <c r="B2477" s="6" t="s">
        <v>961</v>
      </c>
      <c r="C2477" s="1416">
        <v>10951</v>
      </c>
      <c r="D2477" s="1416">
        <v>6799240.9160726797</v>
      </c>
      <c r="E2477" s="1417">
        <v>66468.875342465093</v>
      </c>
      <c r="F2477" s="1418">
        <v>99.818886979864899</v>
      </c>
      <c r="G2477" s="1419">
        <v>7.4252859152977094E-2</v>
      </c>
    </row>
    <row r="2478" spans="1:7" x14ac:dyDescent="0.3">
      <c r="A2478" s="11" t="s">
        <v>974</v>
      </c>
      <c r="B2478" s="11" t="s">
        <v>975</v>
      </c>
      <c r="C2478" s="1420">
        <v>24</v>
      </c>
      <c r="D2478" s="1420">
        <v>12336.653855741301</v>
      </c>
      <c r="E2478" s="1421">
        <v>4987.3305107425904</v>
      </c>
      <c r="F2478" s="1422">
        <v>0.18111302013508401</v>
      </c>
      <c r="G2478" s="1423">
        <v>7.4252859152980896E-2</v>
      </c>
    </row>
    <row r="2479" spans="1:7" x14ac:dyDescent="0.3">
      <c r="A2479" s="6" t="s">
        <v>6269</v>
      </c>
      <c r="B2479" s="6" t="s">
        <v>6270</v>
      </c>
      <c r="C2479" s="1416">
        <v>7595</v>
      </c>
      <c r="D2479" s="1416">
        <v>3403282.4300715802</v>
      </c>
      <c r="E2479" s="1417">
        <v>62405.701162681202</v>
      </c>
      <c r="F2479" s="1418">
        <v>33.316975759546203</v>
      </c>
      <c r="G2479" s="1419">
        <v>0.61093055766485704</v>
      </c>
    </row>
    <row r="2480" spans="1:7" x14ac:dyDescent="0.3">
      <c r="A2480" s="11" t="s">
        <v>6269</v>
      </c>
      <c r="B2480" s="11" t="s">
        <v>6271</v>
      </c>
      <c r="C2480" s="1420">
        <v>18570</v>
      </c>
      <c r="D2480" s="1420">
        <v>10214860</v>
      </c>
      <c r="E2480" s="1421">
        <v>0</v>
      </c>
      <c r="F2480" s="1422">
        <v>100</v>
      </c>
      <c r="G2480" s="1423">
        <v>0</v>
      </c>
    </row>
    <row r="2481" spans="1:7" x14ac:dyDescent="0.3">
      <c r="A2481" s="3299" t="s">
        <v>21</v>
      </c>
      <c r="B2481" s="3298"/>
      <c r="C2481" s="3298"/>
      <c r="D2481" s="3298"/>
      <c r="E2481" s="3298"/>
      <c r="F2481" s="3298"/>
      <c r="G2481" s="3298"/>
    </row>
    <row r="2482" spans="1:7" x14ac:dyDescent="0.3">
      <c r="A2482" s="11" t="s">
        <v>966</v>
      </c>
      <c r="B2482" s="11" t="s">
        <v>978</v>
      </c>
      <c r="C2482" s="1428">
        <v>3269</v>
      </c>
      <c r="D2482" s="1428">
        <v>1452837.1667170001</v>
      </c>
      <c r="E2482" s="1429">
        <v>27777.6108577216</v>
      </c>
      <c r="F2482" s="1430">
        <v>100</v>
      </c>
      <c r="G2482" s="1431">
        <v>0</v>
      </c>
    </row>
    <row r="2483" spans="1:7" x14ac:dyDescent="0.3">
      <c r="A2483" s="6" t="s">
        <v>960</v>
      </c>
      <c r="B2483" s="6" t="s">
        <v>961</v>
      </c>
      <c r="C2483" s="1424">
        <v>15277</v>
      </c>
      <c r="D2483" s="1424">
        <v>8749686.17942724</v>
      </c>
      <c r="E2483" s="1425">
        <v>29160.9337178854</v>
      </c>
      <c r="F2483" s="1426">
        <v>99.859203130481703</v>
      </c>
      <c r="G2483" s="1427">
        <v>5.7018216414880397E-2</v>
      </c>
    </row>
    <row r="2484" spans="1:7" x14ac:dyDescent="0.3">
      <c r="A2484" s="11" t="s">
        <v>974</v>
      </c>
      <c r="B2484" s="11" t="s">
        <v>975</v>
      </c>
      <c r="C2484" s="1428">
        <v>24</v>
      </c>
      <c r="D2484" s="1428">
        <v>12336.653855741301</v>
      </c>
      <c r="E2484" s="1429">
        <v>4987.3305107425904</v>
      </c>
      <c r="F2484" s="1430">
        <v>0.140796869518302</v>
      </c>
      <c r="G2484" s="1431">
        <v>5.7018216414886101E-2</v>
      </c>
    </row>
    <row r="2485" spans="1:7" x14ac:dyDescent="0.3">
      <c r="A2485" s="6" t="s">
        <v>6269</v>
      </c>
      <c r="B2485" s="6" t="s">
        <v>6270</v>
      </c>
      <c r="C2485" s="1424">
        <v>3269</v>
      </c>
      <c r="D2485" s="1424">
        <v>1452837.1667170001</v>
      </c>
      <c r="E2485" s="1425">
        <v>27777.6108577216</v>
      </c>
      <c r="F2485" s="1426">
        <v>14.2227809947175</v>
      </c>
      <c r="G2485" s="1427">
        <v>0.27193334864815899</v>
      </c>
    </row>
    <row r="2486" spans="1:7" x14ac:dyDescent="0.3">
      <c r="A2486" s="11" t="s">
        <v>6269</v>
      </c>
      <c r="B2486" s="11" t="s">
        <v>6271</v>
      </c>
      <c r="C2486" s="1428">
        <v>18570</v>
      </c>
      <c r="D2486" s="1428">
        <v>10214860</v>
      </c>
      <c r="E2486" s="1429">
        <v>0</v>
      </c>
      <c r="F2486" s="1430">
        <v>100</v>
      </c>
      <c r="G2486" s="1431">
        <v>0</v>
      </c>
    </row>
    <row r="2487" spans="1:7" x14ac:dyDescent="0.3">
      <c r="A2487" s="3299" t="s">
        <v>23</v>
      </c>
      <c r="B2487" s="3298"/>
      <c r="C2487" s="3298"/>
      <c r="D2487" s="3298"/>
      <c r="E2487" s="3298"/>
      <c r="F2487" s="3298"/>
      <c r="G2487" s="3298"/>
    </row>
    <row r="2488" spans="1:7" x14ac:dyDescent="0.3">
      <c r="A2488" s="11" t="s">
        <v>968</v>
      </c>
      <c r="B2488" s="11" t="s">
        <v>979</v>
      </c>
      <c r="C2488" s="1436">
        <v>1250</v>
      </c>
      <c r="D2488" s="1436">
        <v>566562.243876928</v>
      </c>
      <c r="E2488" s="1437">
        <v>25540.6606612086</v>
      </c>
      <c r="F2488" s="1438">
        <v>100</v>
      </c>
      <c r="G2488" s="1439">
        <v>0</v>
      </c>
    </row>
    <row r="2489" spans="1:7" x14ac:dyDescent="0.3">
      <c r="A2489" s="6" t="s">
        <v>960</v>
      </c>
      <c r="B2489" s="6" t="s">
        <v>961</v>
      </c>
      <c r="C2489" s="1432">
        <v>17296</v>
      </c>
      <c r="D2489" s="1432">
        <v>9635961.1022673193</v>
      </c>
      <c r="E2489" s="1433">
        <v>27445.0091872251</v>
      </c>
      <c r="F2489" s="1434">
        <v>99.872136472489004</v>
      </c>
      <c r="G2489" s="1435">
        <v>5.1780736301875199E-2</v>
      </c>
    </row>
    <row r="2490" spans="1:7" x14ac:dyDescent="0.3">
      <c r="A2490" s="11" t="s">
        <v>974</v>
      </c>
      <c r="B2490" s="11" t="s">
        <v>975</v>
      </c>
      <c r="C2490" s="1436">
        <v>24</v>
      </c>
      <c r="D2490" s="1436">
        <v>12336.653855741301</v>
      </c>
      <c r="E2490" s="1437">
        <v>4987.3305107425904</v>
      </c>
      <c r="F2490" s="1438">
        <v>0.12786352751097599</v>
      </c>
      <c r="G2490" s="1439">
        <v>5.1780736301880702E-2</v>
      </c>
    </row>
    <row r="2491" spans="1:7" x14ac:dyDescent="0.3">
      <c r="A2491" s="6" t="s">
        <v>6269</v>
      </c>
      <c r="B2491" s="6" t="s">
        <v>6270</v>
      </c>
      <c r="C2491" s="1432">
        <v>1250</v>
      </c>
      <c r="D2491" s="1432">
        <v>566562.243876928</v>
      </c>
      <c r="E2491" s="1433">
        <v>25540.6606612086</v>
      </c>
      <c r="F2491" s="1434">
        <v>5.5464513843256702</v>
      </c>
      <c r="G2491" s="1435">
        <v>0.25003436817742403</v>
      </c>
    </row>
    <row r="2492" spans="1:7" x14ac:dyDescent="0.3">
      <c r="A2492" s="11" t="s">
        <v>6269</v>
      </c>
      <c r="B2492" s="11" t="s">
        <v>6271</v>
      </c>
      <c r="C2492" s="1436">
        <v>18570</v>
      </c>
      <c r="D2492" s="1436">
        <v>10214860</v>
      </c>
      <c r="E2492" s="1437">
        <v>0</v>
      </c>
      <c r="F2492" s="1438">
        <v>100</v>
      </c>
      <c r="G2492" s="1439">
        <v>0</v>
      </c>
    </row>
    <row r="2493" spans="1:7" x14ac:dyDescent="0.3">
      <c r="A2493" s="3299" t="s">
        <v>25</v>
      </c>
      <c r="B2493" s="3298"/>
      <c r="C2493" s="3298"/>
      <c r="D2493" s="3298"/>
      <c r="E2493" s="3298"/>
      <c r="F2493" s="3298"/>
      <c r="G2493" s="3298"/>
    </row>
    <row r="2494" spans="1:7" x14ac:dyDescent="0.3">
      <c r="A2494" s="11" t="s">
        <v>970</v>
      </c>
      <c r="B2494" s="11" t="s">
        <v>827</v>
      </c>
      <c r="C2494" s="1444">
        <v>2661</v>
      </c>
      <c r="D2494" s="1444">
        <v>1290106.9022575701</v>
      </c>
      <c r="E2494" s="1445">
        <v>51440.433027394</v>
      </c>
      <c r="F2494" s="1446">
        <v>100</v>
      </c>
      <c r="G2494" s="1447">
        <v>0</v>
      </c>
    </row>
    <row r="2495" spans="1:7" x14ac:dyDescent="0.3">
      <c r="A2495" s="6" t="s">
        <v>960</v>
      </c>
      <c r="B2495" s="6" t="s">
        <v>961</v>
      </c>
      <c r="C2495" s="1440">
        <v>15885</v>
      </c>
      <c r="D2495" s="1440">
        <v>8912416.4438866694</v>
      </c>
      <c r="E2495" s="1441">
        <v>52556.733451880697</v>
      </c>
      <c r="F2495" s="1442">
        <v>99.861770362489196</v>
      </c>
      <c r="G2495" s="1443">
        <v>5.6002528344241097E-2</v>
      </c>
    </row>
    <row r="2496" spans="1:7" x14ac:dyDescent="0.3">
      <c r="A2496" s="11" t="s">
        <v>974</v>
      </c>
      <c r="B2496" s="11" t="s">
        <v>975</v>
      </c>
      <c r="C2496" s="1444">
        <v>24</v>
      </c>
      <c r="D2496" s="1444">
        <v>12336.653855741301</v>
      </c>
      <c r="E2496" s="1445">
        <v>4987.3305107425904</v>
      </c>
      <c r="F2496" s="1446">
        <v>0.13822963751077799</v>
      </c>
      <c r="G2496" s="1447">
        <v>5.6002528344246003E-2</v>
      </c>
    </row>
    <row r="2497" spans="1:7" x14ac:dyDescent="0.3">
      <c r="A2497" s="6" t="s">
        <v>6269</v>
      </c>
      <c r="B2497" s="6" t="s">
        <v>6270</v>
      </c>
      <c r="C2497" s="1440">
        <v>2661</v>
      </c>
      <c r="D2497" s="1440">
        <v>1290106.9022575701</v>
      </c>
      <c r="E2497" s="1441">
        <v>51440.433027394</v>
      </c>
      <c r="F2497" s="1442">
        <v>12.6297071350716</v>
      </c>
      <c r="G2497" s="1443">
        <v>0.50358431762546096</v>
      </c>
    </row>
    <row r="2498" spans="1:7" x14ac:dyDescent="0.3">
      <c r="A2498" s="11" t="s">
        <v>6269</v>
      </c>
      <c r="B2498" s="11" t="s">
        <v>6271</v>
      </c>
      <c r="C2498" s="1444">
        <v>18570</v>
      </c>
      <c r="D2498" s="1444">
        <v>10214860</v>
      </c>
      <c r="E2498" s="1445">
        <v>0</v>
      </c>
      <c r="F2498" s="1446">
        <v>100</v>
      </c>
      <c r="G2498" s="1447">
        <v>0</v>
      </c>
    </row>
    <row r="2499" spans="1:7" x14ac:dyDescent="0.3">
      <c r="A2499" s="3299" t="s">
        <v>27</v>
      </c>
      <c r="B2499" s="3298"/>
      <c r="C2499" s="3298"/>
      <c r="D2499" s="3298"/>
      <c r="E2499" s="3298"/>
      <c r="F2499" s="3298"/>
      <c r="G2499" s="3298"/>
    </row>
    <row r="2500" spans="1:7" x14ac:dyDescent="0.3">
      <c r="A2500" s="11" t="s">
        <v>972</v>
      </c>
      <c r="B2500" s="11" t="s">
        <v>980</v>
      </c>
      <c r="C2500" s="1452">
        <v>4476</v>
      </c>
      <c r="D2500" s="1452">
        <v>2138124.38808899</v>
      </c>
      <c r="E2500" s="1453">
        <v>23531.2791974879</v>
      </c>
      <c r="F2500" s="1454">
        <v>100</v>
      </c>
      <c r="G2500" s="1455">
        <v>0</v>
      </c>
    </row>
    <row r="2501" spans="1:7" x14ac:dyDescent="0.3">
      <c r="A2501" s="6" t="s">
        <v>960</v>
      </c>
      <c r="B2501" s="6" t="s">
        <v>961</v>
      </c>
      <c r="C2501" s="1448">
        <v>14070</v>
      </c>
      <c r="D2501" s="1448">
        <v>8064398.9580552503</v>
      </c>
      <c r="E2501" s="1449">
        <v>25154.761639169599</v>
      </c>
      <c r="F2501" s="1450">
        <v>99.847256930912195</v>
      </c>
      <c r="G2501" s="1451">
        <v>6.1848090564247601E-2</v>
      </c>
    </row>
    <row r="2502" spans="1:7" x14ac:dyDescent="0.3">
      <c r="A2502" s="11" t="s">
        <v>974</v>
      </c>
      <c r="B2502" s="11" t="s">
        <v>975</v>
      </c>
      <c r="C2502" s="1452">
        <v>24</v>
      </c>
      <c r="D2502" s="1452">
        <v>12336.653855741301</v>
      </c>
      <c r="E2502" s="1453">
        <v>4987.3305107425904</v>
      </c>
      <c r="F2502" s="1454">
        <v>0.15274306908781399</v>
      </c>
      <c r="G2502" s="1455">
        <v>6.1848090564250099E-2</v>
      </c>
    </row>
    <row r="2503" spans="1:7" x14ac:dyDescent="0.3">
      <c r="A2503" s="6" t="s">
        <v>6269</v>
      </c>
      <c r="B2503" s="6" t="s">
        <v>6270</v>
      </c>
      <c r="C2503" s="1448">
        <v>4476</v>
      </c>
      <c r="D2503" s="1448">
        <v>2138124.38808899</v>
      </c>
      <c r="E2503" s="1449">
        <v>23531.2791974879</v>
      </c>
      <c r="F2503" s="1450">
        <v>20.931509468450798</v>
      </c>
      <c r="G2503" s="1451">
        <v>0.230363208085924</v>
      </c>
    </row>
    <row r="2504" spans="1:7" x14ac:dyDescent="0.3">
      <c r="A2504" s="11" t="s">
        <v>6269</v>
      </c>
      <c r="B2504" s="11" t="s">
        <v>6271</v>
      </c>
      <c r="C2504" s="1452">
        <v>18570</v>
      </c>
      <c r="D2504" s="1452">
        <v>10214860</v>
      </c>
      <c r="E2504" s="1453">
        <v>0</v>
      </c>
      <c r="F2504" s="1454">
        <v>100</v>
      </c>
      <c r="G2504" s="1455">
        <v>0</v>
      </c>
    </row>
    <row r="2505" spans="1:7" x14ac:dyDescent="0.3">
      <c r="A2505" s="3299" t="s">
        <v>29</v>
      </c>
      <c r="B2505" s="3298"/>
      <c r="C2505" s="3298"/>
      <c r="D2505" s="3298"/>
      <c r="E2505" s="3298"/>
      <c r="F2505" s="3298"/>
      <c r="G2505" s="3298"/>
    </row>
    <row r="2506" spans="1:7" x14ac:dyDescent="0.3">
      <c r="A2506" s="11" t="s">
        <v>981</v>
      </c>
      <c r="B2506" s="11" t="s">
        <v>982</v>
      </c>
      <c r="C2506" s="1460">
        <v>1452</v>
      </c>
      <c r="D2506" s="1460">
        <v>763937.35577039502</v>
      </c>
      <c r="E2506" s="1461">
        <v>32703.910014445701</v>
      </c>
      <c r="F2506" s="1462">
        <v>100</v>
      </c>
      <c r="G2506" s="1463">
        <v>0</v>
      </c>
    </row>
    <row r="2507" spans="1:7" x14ac:dyDescent="0.3">
      <c r="A2507" s="6" t="s">
        <v>960</v>
      </c>
      <c r="B2507" s="6" t="s">
        <v>961</v>
      </c>
      <c r="C2507" s="1456">
        <v>17094</v>
      </c>
      <c r="D2507" s="1456">
        <v>9438585.9903738797</v>
      </c>
      <c r="E2507" s="1457">
        <v>30921.703500121101</v>
      </c>
      <c r="F2507" s="1458">
        <v>99.869466142934996</v>
      </c>
      <c r="G2507" s="1459">
        <v>5.2574022384750202E-2</v>
      </c>
    </row>
    <row r="2508" spans="1:7" x14ac:dyDescent="0.3">
      <c r="A2508" s="11" t="s">
        <v>974</v>
      </c>
      <c r="B2508" s="11" t="s">
        <v>975</v>
      </c>
      <c r="C2508" s="1460">
        <v>24</v>
      </c>
      <c r="D2508" s="1460">
        <v>12336.653855741301</v>
      </c>
      <c r="E2508" s="1461">
        <v>4987.3305107425904</v>
      </c>
      <c r="F2508" s="1462">
        <v>0.13053385706498799</v>
      </c>
      <c r="G2508" s="1463">
        <v>5.2574022384758397E-2</v>
      </c>
    </row>
    <row r="2509" spans="1:7" x14ac:dyDescent="0.3">
      <c r="A2509" s="6" t="s">
        <v>6269</v>
      </c>
      <c r="B2509" s="6" t="s">
        <v>6270</v>
      </c>
      <c r="C2509" s="1456">
        <v>1452</v>
      </c>
      <c r="D2509" s="1456">
        <v>763937.35577039502</v>
      </c>
      <c r="E2509" s="1457">
        <v>32703.910014445701</v>
      </c>
      <c r="F2509" s="1458">
        <v>7.4786864995740903</v>
      </c>
      <c r="G2509" s="1459">
        <v>0.32016013938953197</v>
      </c>
    </row>
    <row r="2510" spans="1:7" x14ac:dyDescent="0.3">
      <c r="A2510" s="11" t="s">
        <v>6269</v>
      </c>
      <c r="B2510" s="11" t="s">
        <v>6271</v>
      </c>
      <c r="C2510" s="1460">
        <v>18570</v>
      </c>
      <c r="D2510" s="1460">
        <v>10214860</v>
      </c>
      <c r="E2510" s="1461">
        <v>0</v>
      </c>
      <c r="F2510" s="1462">
        <v>100</v>
      </c>
      <c r="G2510" s="1463">
        <v>0</v>
      </c>
    </row>
    <row r="2511" spans="1:7" x14ac:dyDescent="0.3">
      <c r="A2511" s="3299" t="s">
        <v>31</v>
      </c>
      <c r="B2511" s="3298"/>
      <c r="C2511" s="3298"/>
      <c r="D2511" s="3298"/>
      <c r="E2511" s="3298"/>
      <c r="F2511" s="3298"/>
      <c r="G2511" s="3298"/>
    </row>
    <row r="2512" spans="1:7" x14ac:dyDescent="0.3">
      <c r="A2512" s="11" t="s">
        <v>960</v>
      </c>
      <c r="B2512" s="11" t="s">
        <v>961</v>
      </c>
      <c r="C2512" s="1468">
        <v>18529</v>
      </c>
      <c r="D2512" s="1468">
        <v>10197056.646107201</v>
      </c>
      <c r="E2512" s="1469">
        <v>4565.4069870873</v>
      </c>
      <c r="F2512" s="1470">
        <v>99.825711229592997</v>
      </c>
      <c r="G2512" s="1471">
        <v>4.4693779328238002E-2</v>
      </c>
    </row>
    <row r="2513" spans="1:7" x14ac:dyDescent="0.3">
      <c r="A2513" s="6" t="s">
        <v>974</v>
      </c>
      <c r="B2513" s="6" t="s">
        <v>975</v>
      </c>
      <c r="C2513" s="1464">
        <v>24</v>
      </c>
      <c r="D2513" s="1464">
        <v>12336.653855741301</v>
      </c>
      <c r="E2513" s="1465">
        <v>4987.3305107425904</v>
      </c>
      <c r="F2513" s="1466">
        <v>0.120771639119295</v>
      </c>
      <c r="G2513" s="1467">
        <v>4.8824266908627102E-2</v>
      </c>
    </row>
    <row r="2514" spans="1:7" x14ac:dyDescent="0.3">
      <c r="A2514" s="11" t="s">
        <v>956</v>
      </c>
      <c r="B2514" s="11" t="s">
        <v>957</v>
      </c>
      <c r="C2514" s="1468">
        <v>17</v>
      </c>
      <c r="D2514" s="1468">
        <v>5466.7000370597498</v>
      </c>
      <c r="E2514" s="1469">
        <v>1550.8459120145101</v>
      </c>
      <c r="F2514" s="1470">
        <v>5.35171312877488E-2</v>
      </c>
      <c r="G2514" s="1471">
        <v>1.5182253227303299E-2</v>
      </c>
    </row>
    <row r="2515" spans="1:7" x14ac:dyDescent="0.3">
      <c r="A2515" s="6" t="s">
        <v>6269</v>
      </c>
      <c r="B2515" s="6" t="s">
        <v>6270</v>
      </c>
      <c r="C2515" s="1464">
        <v>0</v>
      </c>
      <c r="D2515" s="1464">
        <v>0</v>
      </c>
      <c r="E2515" s="1465">
        <v>0</v>
      </c>
      <c r="F2515" s="1466">
        <v>0</v>
      </c>
      <c r="G2515" s="1467">
        <v>0</v>
      </c>
    </row>
    <row r="2516" spans="1:7" x14ac:dyDescent="0.3">
      <c r="A2516" s="11" t="s">
        <v>6269</v>
      </c>
      <c r="B2516" s="11" t="s">
        <v>6271</v>
      </c>
      <c r="C2516" s="1468">
        <v>18570</v>
      </c>
      <c r="D2516" s="1468">
        <v>10214860</v>
      </c>
      <c r="E2516" s="1469">
        <v>0</v>
      </c>
      <c r="F2516" s="1470">
        <v>100</v>
      </c>
      <c r="G2516" s="1471">
        <v>0</v>
      </c>
    </row>
    <row r="2517" spans="1:7" x14ac:dyDescent="0.3">
      <c r="A2517" s="3299" t="s">
        <v>35</v>
      </c>
      <c r="B2517" s="3298"/>
      <c r="C2517" s="3298"/>
      <c r="D2517" s="3298"/>
      <c r="E2517" s="3298"/>
      <c r="F2517" s="3298"/>
      <c r="G2517" s="3298"/>
    </row>
    <row r="2518" spans="1:7" x14ac:dyDescent="0.3">
      <c r="A2518" s="11" t="s">
        <v>960</v>
      </c>
      <c r="B2518" s="11" t="s">
        <v>961</v>
      </c>
      <c r="C2518" s="1476">
        <v>18538</v>
      </c>
      <c r="D2518" s="1476">
        <v>10200781.2572063</v>
      </c>
      <c r="E2518" s="1477">
        <v>5569.58482752701</v>
      </c>
      <c r="F2518" s="1478">
        <v>99.862173903570906</v>
      </c>
      <c r="G2518" s="1479">
        <v>5.4524338341757399E-2</v>
      </c>
    </row>
    <row r="2519" spans="1:7" x14ac:dyDescent="0.3">
      <c r="A2519" s="6" t="s">
        <v>974</v>
      </c>
      <c r="B2519" s="6" t="s">
        <v>975</v>
      </c>
      <c r="C2519" s="1472">
        <v>24</v>
      </c>
      <c r="D2519" s="1472">
        <v>12336.653855741301</v>
      </c>
      <c r="E2519" s="1473">
        <v>4987.3305107425904</v>
      </c>
      <c r="F2519" s="1474">
        <v>0.120771639119296</v>
      </c>
      <c r="G2519" s="1475">
        <v>4.8824266908626998E-2</v>
      </c>
    </row>
    <row r="2520" spans="1:7" x14ac:dyDescent="0.3">
      <c r="A2520" s="11" t="s">
        <v>958</v>
      </c>
      <c r="B2520" s="11" t="s">
        <v>959</v>
      </c>
      <c r="C2520" s="1476">
        <v>8</v>
      </c>
      <c r="D2520" s="1476">
        <v>1742.08893796029</v>
      </c>
      <c r="E2520" s="1477">
        <v>816.40920052608999</v>
      </c>
      <c r="F2520" s="1478">
        <v>1.70544573098435E-2</v>
      </c>
      <c r="G2520" s="1479">
        <v>7.9923679866986605E-3</v>
      </c>
    </row>
    <row r="2521" spans="1:7" x14ac:dyDescent="0.3">
      <c r="A2521" s="6" t="s">
        <v>6269</v>
      </c>
      <c r="B2521" s="6" t="s">
        <v>6270</v>
      </c>
      <c r="C2521" s="1472">
        <v>0</v>
      </c>
      <c r="D2521" s="1472">
        <v>0</v>
      </c>
      <c r="E2521" s="1473">
        <v>0</v>
      </c>
      <c r="F2521" s="1474">
        <v>0</v>
      </c>
      <c r="G2521" s="1475">
        <v>0</v>
      </c>
    </row>
    <row r="2522" spans="1:7" x14ac:dyDescent="0.3">
      <c r="A2522" s="11" t="s">
        <v>6269</v>
      </c>
      <c r="B2522" s="11" t="s">
        <v>6271</v>
      </c>
      <c r="C2522" s="1476">
        <v>18570</v>
      </c>
      <c r="D2522" s="1476">
        <v>10214860</v>
      </c>
      <c r="E2522" s="1477">
        <v>0</v>
      </c>
      <c r="F2522" s="1478">
        <v>100</v>
      </c>
      <c r="G2522" s="1479">
        <v>0</v>
      </c>
    </row>
    <row r="2523" spans="1:7" x14ac:dyDescent="0.3">
      <c r="A2523" s="3299" t="s">
        <v>37</v>
      </c>
      <c r="B2523" s="3298"/>
      <c r="C2523" s="3298"/>
      <c r="D2523" s="3298"/>
      <c r="E2523" s="3298"/>
      <c r="F2523" s="3298"/>
      <c r="G2523" s="3298"/>
    </row>
    <row r="2524" spans="1:7" x14ac:dyDescent="0.3">
      <c r="A2524" s="11" t="s">
        <v>983</v>
      </c>
      <c r="B2524" s="11" t="s">
        <v>984</v>
      </c>
      <c r="C2524" s="1484">
        <v>527</v>
      </c>
      <c r="D2524" s="1484">
        <v>259112.858739869</v>
      </c>
      <c r="E2524" s="1485">
        <v>21452.373917473898</v>
      </c>
      <c r="F2524" s="1486">
        <v>100</v>
      </c>
      <c r="G2524" s="1487">
        <v>0</v>
      </c>
    </row>
    <row r="2525" spans="1:7" x14ac:dyDescent="0.3">
      <c r="A2525" s="6" t="s">
        <v>960</v>
      </c>
      <c r="B2525" s="6" t="s">
        <v>961</v>
      </c>
      <c r="C2525" s="1480">
        <v>18019</v>
      </c>
      <c r="D2525" s="1480">
        <v>9943410.4874043893</v>
      </c>
      <c r="E2525" s="1481">
        <v>19299.994652326601</v>
      </c>
      <c r="F2525" s="1482">
        <v>99.8760851025975</v>
      </c>
      <c r="G2525" s="1483">
        <v>4.9995097921473303E-2</v>
      </c>
    </row>
    <row r="2526" spans="1:7" x14ac:dyDescent="0.3">
      <c r="A2526" s="11" t="s">
        <v>974</v>
      </c>
      <c r="B2526" s="11" t="s">
        <v>975</v>
      </c>
      <c r="C2526" s="1484">
        <v>24</v>
      </c>
      <c r="D2526" s="1484">
        <v>12336.653855741301</v>
      </c>
      <c r="E2526" s="1485">
        <v>4987.3305107425904</v>
      </c>
      <c r="F2526" s="1486">
        <v>0.123914897402465</v>
      </c>
      <c r="G2526" s="1487">
        <v>4.9995097921478902E-2</v>
      </c>
    </row>
    <row r="2527" spans="1:7" x14ac:dyDescent="0.3">
      <c r="A2527" s="6" t="s">
        <v>6269</v>
      </c>
      <c r="B2527" s="6" t="s">
        <v>6270</v>
      </c>
      <c r="C2527" s="1480">
        <v>527</v>
      </c>
      <c r="D2527" s="1480">
        <v>259112.858739869</v>
      </c>
      <c r="E2527" s="1481">
        <v>21452.373917473898</v>
      </c>
      <c r="F2527" s="1482">
        <v>2.5366266276764402</v>
      </c>
      <c r="G2527" s="1483">
        <v>0.21001143351426901</v>
      </c>
    </row>
    <row r="2528" spans="1:7" x14ac:dyDescent="0.3">
      <c r="A2528" s="11" t="s">
        <v>6269</v>
      </c>
      <c r="B2528" s="11" t="s">
        <v>6271</v>
      </c>
      <c r="C2528" s="1484">
        <v>18570</v>
      </c>
      <c r="D2528" s="1484">
        <v>10214860</v>
      </c>
      <c r="E2528" s="1485">
        <v>0</v>
      </c>
      <c r="F2528" s="1486">
        <v>100</v>
      </c>
      <c r="G2528" s="1487">
        <v>0</v>
      </c>
    </row>
    <row r="2529" spans="1:7" x14ac:dyDescent="0.3">
      <c r="A2529" s="3299" t="s">
        <v>33</v>
      </c>
      <c r="B2529" s="3298"/>
      <c r="C2529" s="3298"/>
      <c r="D2529" s="3298"/>
      <c r="E2529" s="3298"/>
      <c r="F2529" s="3298"/>
      <c r="G2529" s="3298"/>
    </row>
    <row r="2530" spans="1:7" x14ac:dyDescent="0.3">
      <c r="A2530" s="11" t="s">
        <v>960</v>
      </c>
      <c r="B2530" s="11" t="s">
        <v>961</v>
      </c>
      <c r="C2530" s="1492">
        <v>18043</v>
      </c>
      <c r="D2530" s="1492">
        <v>9955747.1412601303</v>
      </c>
      <c r="E2530" s="1493">
        <v>21452.373917536101</v>
      </c>
      <c r="F2530" s="1494">
        <v>97.463373372323602</v>
      </c>
      <c r="G2530" s="1495">
        <v>0.21001143351426599</v>
      </c>
    </row>
    <row r="2531" spans="1:7" x14ac:dyDescent="0.3">
      <c r="A2531" s="6" t="s">
        <v>974</v>
      </c>
      <c r="B2531" s="6" t="s">
        <v>975</v>
      </c>
      <c r="C2531" s="1488">
        <v>527</v>
      </c>
      <c r="D2531" s="1488">
        <v>259112.858739869</v>
      </c>
      <c r="E2531" s="1489">
        <v>21452.373917473898</v>
      </c>
      <c r="F2531" s="1490">
        <v>2.5366266276764402</v>
      </c>
      <c r="G2531" s="1491">
        <v>0.21001143351426799</v>
      </c>
    </row>
    <row r="2532" spans="1:7" x14ac:dyDescent="0.3">
      <c r="A2532" s="11" t="s">
        <v>6269</v>
      </c>
      <c r="B2532" s="11" t="s">
        <v>6270</v>
      </c>
      <c r="C2532" s="1492">
        <v>0</v>
      </c>
      <c r="D2532" s="1492">
        <v>0</v>
      </c>
      <c r="E2532" s="1493">
        <v>0</v>
      </c>
      <c r="F2532" s="1494">
        <v>0</v>
      </c>
      <c r="G2532" s="1495">
        <v>0</v>
      </c>
    </row>
    <row r="2533" spans="1:7" x14ac:dyDescent="0.3">
      <c r="A2533" s="6" t="s">
        <v>6269</v>
      </c>
      <c r="B2533" s="6" t="s">
        <v>6271</v>
      </c>
      <c r="C2533" s="1488">
        <v>18570</v>
      </c>
      <c r="D2533" s="1488">
        <v>10214860</v>
      </c>
      <c r="E2533" s="1489">
        <v>0</v>
      </c>
      <c r="F2533" s="1490">
        <v>100</v>
      </c>
      <c r="G2533" s="1491">
        <v>0</v>
      </c>
    </row>
    <row r="2534" spans="1:7" x14ac:dyDescent="0.3">
      <c r="A2534" s="3299" t="s">
        <v>902</v>
      </c>
      <c r="B2534" s="3298"/>
      <c r="C2534" s="3298"/>
      <c r="D2534" s="3298"/>
      <c r="E2534" s="3298"/>
      <c r="F2534" s="3298"/>
      <c r="G2534" s="3298"/>
    </row>
    <row r="2535" spans="1:7" x14ac:dyDescent="0.3">
      <c r="A2535" s="11" t="s">
        <v>1152</v>
      </c>
      <c r="B2535" s="11" t="s">
        <v>1037</v>
      </c>
      <c r="C2535" s="1500">
        <v>665</v>
      </c>
      <c r="D2535" s="1500">
        <v>336152.41342187702</v>
      </c>
      <c r="E2535" s="1501">
        <v>24757.486610914701</v>
      </c>
      <c r="F2535" s="1502">
        <v>100</v>
      </c>
      <c r="G2535" s="1503">
        <v>0</v>
      </c>
    </row>
    <row r="2536" spans="1:7" x14ac:dyDescent="0.3">
      <c r="A2536" s="6" t="s">
        <v>960</v>
      </c>
      <c r="B2536" s="6" t="s">
        <v>961</v>
      </c>
      <c r="C2536" s="1496">
        <v>17902</v>
      </c>
      <c r="D2536" s="1496">
        <v>9877247.06897608</v>
      </c>
      <c r="E2536" s="1497">
        <v>24654.097877747099</v>
      </c>
      <c r="F2536" s="1498">
        <v>99.985215499201004</v>
      </c>
      <c r="G2536" s="1499">
        <v>1.04101505863583E-2</v>
      </c>
    </row>
    <row r="2537" spans="1:7" x14ac:dyDescent="0.3">
      <c r="A2537" s="11" t="s">
        <v>974</v>
      </c>
      <c r="B2537" s="11" t="s">
        <v>975</v>
      </c>
      <c r="C2537" s="1500">
        <v>3</v>
      </c>
      <c r="D2537" s="1500">
        <v>1460.5176020653801</v>
      </c>
      <c r="E2537" s="1501">
        <v>1028.55208631662</v>
      </c>
      <c r="F2537" s="1502">
        <v>1.47845007989682E-2</v>
      </c>
      <c r="G2537" s="1503">
        <v>1.04101505863504E-2</v>
      </c>
    </row>
    <row r="2538" spans="1:7" x14ac:dyDescent="0.3">
      <c r="A2538" s="6" t="s">
        <v>6269</v>
      </c>
      <c r="B2538" s="6" t="s">
        <v>6270</v>
      </c>
      <c r="C2538" s="1496">
        <v>665</v>
      </c>
      <c r="D2538" s="1496">
        <v>336152.41342187702</v>
      </c>
      <c r="E2538" s="1497">
        <v>24757.486610914701</v>
      </c>
      <c r="F2538" s="1498">
        <v>3.2908176266916702</v>
      </c>
      <c r="G2538" s="1499">
        <v>0.24236736099088901</v>
      </c>
    </row>
    <row r="2539" spans="1:7" x14ac:dyDescent="0.3">
      <c r="A2539" s="11" t="s">
        <v>6269</v>
      </c>
      <c r="B2539" s="11" t="s">
        <v>6271</v>
      </c>
      <c r="C2539" s="1500">
        <v>18570</v>
      </c>
      <c r="D2539" s="1500">
        <v>10214860</v>
      </c>
      <c r="E2539" s="1501">
        <v>0</v>
      </c>
      <c r="F2539" s="1502">
        <v>100</v>
      </c>
      <c r="G2539" s="1503">
        <v>0</v>
      </c>
    </row>
    <row r="2540" spans="1:7" x14ac:dyDescent="0.3">
      <c r="A2540" s="3299" t="s">
        <v>853</v>
      </c>
      <c r="B2540" s="3298"/>
      <c r="C2540" s="3298"/>
      <c r="D2540" s="3298"/>
      <c r="E2540" s="3298"/>
      <c r="F2540" s="3298"/>
      <c r="G2540" s="3298"/>
    </row>
    <row r="2541" spans="1:7" x14ac:dyDescent="0.3">
      <c r="A2541" s="11" t="s">
        <v>962</v>
      </c>
      <c r="B2541" s="11" t="s">
        <v>3213</v>
      </c>
      <c r="C2541" s="1508">
        <v>653</v>
      </c>
      <c r="D2541" s="1508">
        <v>278788.99597877503</v>
      </c>
      <c r="E2541" s="1509">
        <v>16310.486094936099</v>
      </c>
      <c r="F2541" s="1510">
        <v>100</v>
      </c>
      <c r="G2541" s="1511">
        <v>0</v>
      </c>
    </row>
    <row r="2542" spans="1:7" x14ac:dyDescent="0.3">
      <c r="A2542" s="6" t="s">
        <v>960</v>
      </c>
      <c r="B2542" s="6" t="s">
        <v>961</v>
      </c>
      <c r="C2542" s="1504">
        <v>17914</v>
      </c>
      <c r="D2542" s="1504">
        <v>9934610.4864191692</v>
      </c>
      <c r="E2542" s="1505">
        <v>15753.403156246301</v>
      </c>
      <c r="F2542" s="1506">
        <v>99.985300853813598</v>
      </c>
      <c r="G2542" s="1507">
        <v>1.0340266009181099E-2</v>
      </c>
    </row>
    <row r="2543" spans="1:7" x14ac:dyDescent="0.3">
      <c r="A2543" s="11" t="s">
        <v>974</v>
      </c>
      <c r="B2543" s="11" t="s">
        <v>975</v>
      </c>
      <c r="C2543" s="1508">
        <v>3</v>
      </c>
      <c r="D2543" s="1508">
        <v>1460.5176020653801</v>
      </c>
      <c r="E2543" s="1509">
        <v>1028.55208631662</v>
      </c>
      <c r="F2543" s="1510">
        <v>1.4699146186397999E-2</v>
      </c>
      <c r="G2543" s="1511">
        <v>1.0340266009173E-2</v>
      </c>
    </row>
    <row r="2544" spans="1:7" x14ac:dyDescent="0.3">
      <c r="A2544" s="6" t="s">
        <v>6269</v>
      </c>
      <c r="B2544" s="6" t="s">
        <v>6270</v>
      </c>
      <c r="C2544" s="1504">
        <v>653</v>
      </c>
      <c r="D2544" s="1504">
        <v>278788.99597877503</v>
      </c>
      <c r="E2544" s="1505">
        <v>16310.486094936099</v>
      </c>
      <c r="F2544" s="1506">
        <v>2.72924930913174</v>
      </c>
      <c r="G2544" s="1507">
        <v>0.15967410316865999</v>
      </c>
    </row>
    <row r="2545" spans="1:7" x14ac:dyDescent="0.3">
      <c r="A2545" s="11" t="s">
        <v>6269</v>
      </c>
      <c r="B2545" s="11" t="s">
        <v>6271</v>
      </c>
      <c r="C2545" s="1508">
        <v>18570</v>
      </c>
      <c r="D2545" s="1508">
        <v>10214860</v>
      </c>
      <c r="E2545" s="1509">
        <v>0</v>
      </c>
      <c r="F2545" s="1510">
        <v>100</v>
      </c>
      <c r="G2545" s="1511">
        <v>0</v>
      </c>
    </row>
    <row r="2546" spans="1:7" x14ac:dyDescent="0.3">
      <c r="A2546" s="3299" t="s">
        <v>936</v>
      </c>
      <c r="B2546" s="3298"/>
      <c r="C2546" s="3298"/>
      <c r="D2546" s="3298"/>
      <c r="E2546" s="3298"/>
      <c r="F2546" s="3298"/>
      <c r="G2546" s="3298"/>
    </row>
    <row r="2547" spans="1:7" x14ac:dyDescent="0.3">
      <c r="A2547" s="11" t="s">
        <v>964</v>
      </c>
      <c r="B2547" s="11" t="s">
        <v>3214</v>
      </c>
      <c r="C2547" s="1516">
        <v>428</v>
      </c>
      <c r="D2547" s="1516">
        <v>174898.836346656</v>
      </c>
      <c r="E2547" s="1517">
        <v>7143.4422305642702</v>
      </c>
      <c r="F2547" s="1518">
        <v>100</v>
      </c>
      <c r="G2547" s="1519">
        <v>0</v>
      </c>
    </row>
    <row r="2548" spans="1:7" x14ac:dyDescent="0.3">
      <c r="A2548" s="6" t="s">
        <v>960</v>
      </c>
      <c r="B2548" s="6" t="s">
        <v>961</v>
      </c>
      <c r="C2548" s="1512">
        <v>18139</v>
      </c>
      <c r="D2548" s="1512">
        <v>10038500.646051301</v>
      </c>
      <c r="E2548" s="1513">
        <v>6952.9915982013699</v>
      </c>
      <c r="F2548" s="1514">
        <v>99.985452955661302</v>
      </c>
      <c r="G2548" s="1515">
        <v>1.0242388436531E-2</v>
      </c>
    </row>
    <row r="2549" spans="1:7" x14ac:dyDescent="0.3">
      <c r="A2549" s="11" t="s">
        <v>974</v>
      </c>
      <c r="B2549" s="11" t="s">
        <v>975</v>
      </c>
      <c r="C2549" s="1516">
        <v>3</v>
      </c>
      <c r="D2549" s="1516">
        <v>1460.5176020653801</v>
      </c>
      <c r="E2549" s="1517">
        <v>1028.55208631662</v>
      </c>
      <c r="F2549" s="1518">
        <v>1.4547044338704599E-2</v>
      </c>
      <c r="G2549" s="1519">
        <v>1.02423884365287E-2</v>
      </c>
    </row>
    <row r="2550" spans="1:7" x14ac:dyDescent="0.3">
      <c r="A2550" s="6" t="s">
        <v>6269</v>
      </c>
      <c r="B2550" s="6" t="s">
        <v>6270</v>
      </c>
      <c r="C2550" s="1512">
        <v>428</v>
      </c>
      <c r="D2550" s="1512">
        <v>174898.836346656</v>
      </c>
      <c r="E2550" s="1513">
        <v>7143.4422305642702</v>
      </c>
      <c r="F2550" s="1514">
        <v>1.7122000335457901</v>
      </c>
      <c r="G2550" s="1515">
        <v>6.9931866227856201E-2</v>
      </c>
    </row>
    <row r="2551" spans="1:7" x14ac:dyDescent="0.3">
      <c r="A2551" s="11" t="s">
        <v>6269</v>
      </c>
      <c r="B2551" s="11" t="s">
        <v>6271</v>
      </c>
      <c r="C2551" s="1516">
        <v>18570</v>
      </c>
      <c r="D2551" s="1516">
        <v>10214860</v>
      </c>
      <c r="E2551" s="1517">
        <v>0</v>
      </c>
      <c r="F2551" s="1518">
        <v>100</v>
      </c>
      <c r="G2551" s="1519">
        <v>0</v>
      </c>
    </row>
    <row r="2552" spans="1:7" x14ac:dyDescent="0.3">
      <c r="A2552" s="3299" t="s">
        <v>934</v>
      </c>
      <c r="B2552" s="3298"/>
      <c r="C2552" s="3298"/>
      <c r="D2552" s="3298"/>
      <c r="E2552" s="3298"/>
      <c r="F2552" s="3298"/>
      <c r="G2552" s="3298"/>
    </row>
    <row r="2553" spans="1:7" x14ac:dyDescent="0.3">
      <c r="A2553" s="11" t="s">
        <v>966</v>
      </c>
      <c r="B2553" s="11" t="s">
        <v>3215</v>
      </c>
      <c r="C2553" s="1524">
        <v>19</v>
      </c>
      <c r="D2553" s="1524">
        <v>7138.4545931589</v>
      </c>
      <c r="E2553" s="1525">
        <v>2403.4493468370001</v>
      </c>
      <c r="F2553" s="1526">
        <v>100</v>
      </c>
      <c r="G2553" s="1527">
        <v>0</v>
      </c>
    </row>
    <row r="2554" spans="1:7" x14ac:dyDescent="0.3">
      <c r="A2554" s="6" t="s">
        <v>960</v>
      </c>
      <c r="B2554" s="6" t="s">
        <v>961</v>
      </c>
      <c r="C2554" s="1520">
        <v>18548</v>
      </c>
      <c r="D2554" s="1520">
        <v>10206261.027804799</v>
      </c>
      <c r="E2554" s="1521">
        <v>2975.52738985624</v>
      </c>
      <c r="F2554" s="1522">
        <v>99.985692031316006</v>
      </c>
      <c r="G2554" s="1523">
        <v>1.00768595734254E-2</v>
      </c>
    </row>
    <row r="2555" spans="1:7" x14ac:dyDescent="0.3">
      <c r="A2555" s="11" t="s">
        <v>974</v>
      </c>
      <c r="B2555" s="11" t="s">
        <v>975</v>
      </c>
      <c r="C2555" s="1524">
        <v>3</v>
      </c>
      <c r="D2555" s="1524">
        <v>1460.5176020653801</v>
      </c>
      <c r="E2555" s="1525">
        <v>1028.55208631662</v>
      </c>
      <c r="F2555" s="1526">
        <v>1.43079686839867E-2</v>
      </c>
      <c r="G2555" s="1527">
        <v>1.0076859573416299E-2</v>
      </c>
    </row>
    <row r="2556" spans="1:7" x14ac:dyDescent="0.3">
      <c r="A2556" s="6" t="s">
        <v>6269</v>
      </c>
      <c r="B2556" s="6" t="s">
        <v>6270</v>
      </c>
      <c r="C2556" s="1520">
        <v>19</v>
      </c>
      <c r="D2556" s="1520">
        <v>7138.4545931589</v>
      </c>
      <c r="E2556" s="1521">
        <v>2403.4493468370001</v>
      </c>
      <c r="F2556" s="1522">
        <v>6.9883038956568E-2</v>
      </c>
      <c r="G2556" s="1523">
        <v>2.3528950439232799E-2</v>
      </c>
    </row>
    <row r="2557" spans="1:7" x14ac:dyDescent="0.3">
      <c r="A2557" s="11" t="s">
        <v>6269</v>
      </c>
      <c r="B2557" s="11" t="s">
        <v>6271</v>
      </c>
      <c r="C2557" s="1524">
        <v>18570</v>
      </c>
      <c r="D2557" s="1524">
        <v>10214860</v>
      </c>
      <c r="E2557" s="1525">
        <v>0</v>
      </c>
      <c r="F2557" s="1526">
        <v>100</v>
      </c>
      <c r="G2557" s="1527">
        <v>0</v>
      </c>
    </row>
    <row r="2558" spans="1:7" x14ac:dyDescent="0.3">
      <c r="A2558" s="3299" t="s">
        <v>859</v>
      </c>
      <c r="B2558" s="3298"/>
      <c r="C2558" s="3298"/>
      <c r="D2558" s="3298"/>
      <c r="E2558" s="3298"/>
      <c r="F2558" s="3298"/>
      <c r="G2558" s="3298"/>
    </row>
    <row r="2559" spans="1:7" x14ac:dyDescent="0.3">
      <c r="A2559" s="11" t="s">
        <v>968</v>
      </c>
      <c r="B2559" s="11" t="s">
        <v>3216</v>
      </c>
      <c r="C2559" s="1532">
        <v>10</v>
      </c>
      <c r="D2559" s="1532">
        <v>7118.38811743933</v>
      </c>
      <c r="E2559" s="1533">
        <v>2878.2007303133701</v>
      </c>
      <c r="F2559" s="1534">
        <v>100</v>
      </c>
      <c r="G2559" s="1535">
        <v>0</v>
      </c>
    </row>
    <row r="2560" spans="1:7" x14ac:dyDescent="0.3">
      <c r="A2560" s="6" t="s">
        <v>960</v>
      </c>
      <c r="B2560" s="6" t="s">
        <v>961</v>
      </c>
      <c r="C2560" s="1528">
        <v>18557</v>
      </c>
      <c r="D2560" s="1528">
        <v>10206281.0942805</v>
      </c>
      <c r="E2560" s="1529">
        <v>2481.9917164922799</v>
      </c>
      <c r="F2560" s="1530">
        <v>99.985692059442798</v>
      </c>
      <c r="G2560" s="1531">
        <v>1.0074773040470201E-2</v>
      </c>
    </row>
    <row r="2561" spans="1:7" x14ac:dyDescent="0.3">
      <c r="A2561" s="11" t="s">
        <v>974</v>
      </c>
      <c r="B2561" s="11" t="s">
        <v>975</v>
      </c>
      <c r="C2561" s="1532">
        <v>3</v>
      </c>
      <c r="D2561" s="1532">
        <v>1460.5176020653801</v>
      </c>
      <c r="E2561" s="1533">
        <v>1028.55208631662</v>
      </c>
      <c r="F2561" s="1534">
        <v>1.43079405572456E-2</v>
      </c>
      <c r="G2561" s="1535">
        <v>1.00747730404673E-2</v>
      </c>
    </row>
    <row r="2562" spans="1:7" x14ac:dyDescent="0.3">
      <c r="A2562" s="6" t="s">
        <v>6269</v>
      </c>
      <c r="B2562" s="6" t="s">
        <v>6270</v>
      </c>
      <c r="C2562" s="1528">
        <v>10</v>
      </c>
      <c r="D2562" s="1528">
        <v>7118.38811743933</v>
      </c>
      <c r="E2562" s="1529">
        <v>2878.2007303133701</v>
      </c>
      <c r="F2562" s="1530">
        <v>6.9686594994344694E-2</v>
      </c>
      <c r="G2562" s="1531">
        <v>2.8176604772981201E-2</v>
      </c>
    </row>
    <row r="2563" spans="1:7" x14ac:dyDescent="0.3">
      <c r="A2563" s="11" t="s">
        <v>6269</v>
      </c>
      <c r="B2563" s="11" t="s">
        <v>6271</v>
      </c>
      <c r="C2563" s="1532">
        <v>18570</v>
      </c>
      <c r="D2563" s="1532">
        <v>10214860</v>
      </c>
      <c r="E2563" s="1533">
        <v>0</v>
      </c>
      <c r="F2563" s="1534">
        <v>100</v>
      </c>
      <c r="G2563" s="1535">
        <v>0</v>
      </c>
    </row>
    <row r="2564" spans="1:7" x14ac:dyDescent="0.3">
      <c r="A2564" s="3299" t="s">
        <v>857</v>
      </c>
      <c r="B2564" s="3298"/>
      <c r="C2564" s="3298"/>
      <c r="D2564" s="3298"/>
      <c r="E2564" s="3298"/>
      <c r="F2564" s="3298"/>
      <c r="G2564" s="3298"/>
    </row>
    <row r="2565" spans="1:7" x14ac:dyDescent="0.3">
      <c r="A2565" s="11" t="s">
        <v>970</v>
      </c>
      <c r="B2565" s="11" t="s">
        <v>3217</v>
      </c>
      <c r="C2565" s="1540">
        <v>39</v>
      </c>
      <c r="D2565" s="1540">
        <v>22293.863831960702</v>
      </c>
      <c r="E2565" s="1541">
        <v>5345.6575258041903</v>
      </c>
      <c r="F2565" s="1542">
        <v>100</v>
      </c>
      <c r="G2565" s="1543">
        <v>0</v>
      </c>
    </row>
    <row r="2566" spans="1:7" x14ac:dyDescent="0.3">
      <c r="A2566" s="6" t="s">
        <v>960</v>
      </c>
      <c r="B2566" s="6" t="s">
        <v>961</v>
      </c>
      <c r="C2566" s="1536">
        <v>18528</v>
      </c>
      <c r="D2566" s="1536">
        <v>10191105.618566001</v>
      </c>
      <c r="E2566" s="1537">
        <v>5029.4449625044199</v>
      </c>
      <c r="F2566" s="1538">
        <v>99.985670756681401</v>
      </c>
      <c r="G2566" s="1539">
        <v>1.0088972943921699E-2</v>
      </c>
    </row>
    <row r="2567" spans="1:7" x14ac:dyDescent="0.3">
      <c r="A2567" s="11" t="s">
        <v>974</v>
      </c>
      <c r="B2567" s="11" t="s">
        <v>975</v>
      </c>
      <c r="C2567" s="1540">
        <v>3</v>
      </c>
      <c r="D2567" s="1540">
        <v>1460.5176020653801</v>
      </c>
      <c r="E2567" s="1541">
        <v>1028.55208631662</v>
      </c>
      <c r="F2567" s="1542">
        <v>1.43292433186454E-2</v>
      </c>
      <c r="G2567" s="1543">
        <v>1.0088972943921699E-2</v>
      </c>
    </row>
    <row r="2568" spans="1:7" x14ac:dyDescent="0.3">
      <c r="A2568" s="6" t="s">
        <v>6269</v>
      </c>
      <c r="B2568" s="6" t="s">
        <v>6270</v>
      </c>
      <c r="C2568" s="1536">
        <v>39</v>
      </c>
      <c r="D2568" s="1536">
        <v>22293.863831960702</v>
      </c>
      <c r="E2568" s="1537">
        <v>5345.6575258041903</v>
      </c>
      <c r="F2568" s="1538">
        <v>0.21824933314759701</v>
      </c>
      <c r="G2568" s="1539">
        <v>5.2332166332227197E-2</v>
      </c>
    </row>
    <row r="2569" spans="1:7" x14ac:dyDescent="0.3">
      <c r="A2569" s="11" t="s">
        <v>6269</v>
      </c>
      <c r="B2569" s="11" t="s">
        <v>6271</v>
      </c>
      <c r="C2569" s="1540">
        <v>18570</v>
      </c>
      <c r="D2569" s="1540">
        <v>10214860</v>
      </c>
      <c r="E2569" s="1541">
        <v>0</v>
      </c>
      <c r="F2569" s="1542">
        <v>100</v>
      </c>
      <c r="G2569" s="1543">
        <v>0</v>
      </c>
    </row>
    <row r="2570" spans="1:7" x14ac:dyDescent="0.3">
      <c r="A2570" s="3299" t="s">
        <v>932</v>
      </c>
      <c r="B2570" s="3298"/>
      <c r="C2570" s="3298"/>
      <c r="D2570" s="3298"/>
      <c r="E2570" s="3298"/>
      <c r="F2570" s="3298"/>
      <c r="G2570" s="3298"/>
    </row>
    <row r="2571" spans="1:7" x14ac:dyDescent="0.3">
      <c r="A2571" s="11" t="s">
        <v>972</v>
      </c>
      <c r="B2571" s="11" t="s">
        <v>3218</v>
      </c>
      <c r="C2571" s="1548">
        <v>102</v>
      </c>
      <c r="D2571" s="1548">
        <v>36542.648236712797</v>
      </c>
      <c r="E2571" s="1549">
        <v>6025.3519075537197</v>
      </c>
      <c r="F2571" s="1550">
        <v>100</v>
      </c>
      <c r="G2571" s="1551">
        <v>0</v>
      </c>
    </row>
    <row r="2572" spans="1:7" x14ac:dyDescent="0.3">
      <c r="A2572" s="6" t="s">
        <v>960</v>
      </c>
      <c r="B2572" s="6" t="s">
        <v>961</v>
      </c>
      <c r="C2572" s="1544">
        <v>18465</v>
      </c>
      <c r="D2572" s="1544">
        <v>10176856.8341612</v>
      </c>
      <c r="E2572" s="1545">
        <v>6086.7307887314901</v>
      </c>
      <c r="F2572" s="1546">
        <v>99.985650696951296</v>
      </c>
      <c r="G2572" s="1547">
        <v>1.01050987471891E-2</v>
      </c>
    </row>
    <row r="2573" spans="1:7" x14ac:dyDescent="0.3">
      <c r="A2573" s="11" t="s">
        <v>974</v>
      </c>
      <c r="B2573" s="11" t="s">
        <v>975</v>
      </c>
      <c r="C2573" s="1548">
        <v>3</v>
      </c>
      <c r="D2573" s="1548">
        <v>1460.5176020653801</v>
      </c>
      <c r="E2573" s="1549">
        <v>1028.55208631662</v>
      </c>
      <c r="F2573" s="1550">
        <v>1.4349303048724E-2</v>
      </c>
      <c r="G2573" s="1551">
        <v>1.01050987471856E-2</v>
      </c>
    </row>
    <row r="2574" spans="1:7" x14ac:dyDescent="0.3">
      <c r="A2574" s="6" t="s">
        <v>6269</v>
      </c>
      <c r="B2574" s="6" t="s">
        <v>6270</v>
      </c>
      <c r="C2574" s="1544">
        <v>102</v>
      </c>
      <c r="D2574" s="1544">
        <v>36542.648236712797</v>
      </c>
      <c r="E2574" s="1545">
        <v>6025.3519075537197</v>
      </c>
      <c r="F2574" s="1546">
        <v>0.35774007902910798</v>
      </c>
      <c r="G2574" s="1547">
        <v>5.89861428110963E-2</v>
      </c>
    </row>
    <row r="2575" spans="1:7" x14ac:dyDescent="0.3">
      <c r="A2575" s="11" t="s">
        <v>6269</v>
      </c>
      <c r="B2575" s="11" t="s">
        <v>6271</v>
      </c>
      <c r="C2575" s="1548">
        <v>18570</v>
      </c>
      <c r="D2575" s="1548">
        <v>10214860</v>
      </c>
      <c r="E2575" s="1549">
        <v>0</v>
      </c>
      <c r="F2575" s="1550">
        <v>100</v>
      </c>
      <c r="G2575" s="1551">
        <v>0</v>
      </c>
    </row>
    <row r="2576" spans="1:7" x14ac:dyDescent="0.3">
      <c r="A2576" s="3299" t="s">
        <v>855</v>
      </c>
      <c r="B2576" s="3298"/>
      <c r="C2576" s="3298"/>
      <c r="D2576" s="3298"/>
      <c r="E2576" s="3298"/>
      <c r="F2576" s="3298"/>
      <c r="G2576" s="3298"/>
    </row>
    <row r="2577" spans="1:7" x14ac:dyDescent="0.3">
      <c r="A2577" s="11" t="s">
        <v>981</v>
      </c>
      <c r="B2577" s="11" t="s">
        <v>3219</v>
      </c>
      <c r="C2577" s="1556">
        <v>208</v>
      </c>
      <c r="D2577" s="1556">
        <v>98300.7499629003</v>
      </c>
      <c r="E2577" s="1557">
        <v>7398.2199601631301</v>
      </c>
      <c r="F2577" s="1558">
        <v>100</v>
      </c>
      <c r="G2577" s="1559">
        <v>0</v>
      </c>
    </row>
    <row r="2578" spans="1:7" x14ac:dyDescent="0.3">
      <c r="A2578" s="6" t="s">
        <v>960</v>
      </c>
      <c r="B2578" s="6" t="s">
        <v>961</v>
      </c>
      <c r="C2578" s="1552">
        <v>18359</v>
      </c>
      <c r="D2578" s="1552">
        <v>10115098.7324351</v>
      </c>
      <c r="E2578" s="1553">
        <v>7732.5808828036097</v>
      </c>
      <c r="F2578" s="1554">
        <v>99.985563099409902</v>
      </c>
      <c r="G2578" s="1555">
        <v>1.0168661072101799E-2</v>
      </c>
    </row>
    <row r="2579" spans="1:7" x14ac:dyDescent="0.3">
      <c r="A2579" s="11" t="s">
        <v>974</v>
      </c>
      <c r="B2579" s="11" t="s">
        <v>975</v>
      </c>
      <c r="C2579" s="1556">
        <v>3</v>
      </c>
      <c r="D2579" s="1556">
        <v>1460.5176020653801</v>
      </c>
      <c r="E2579" s="1557">
        <v>1028.55208631662</v>
      </c>
      <c r="F2579" s="1558">
        <v>1.44369005900897E-2</v>
      </c>
      <c r="G2579" s="1559">
        <v>1.01686610721008E-2</v>
      </c>
    </row>
    <row r="2580" spans="1:7" x14ac:dyDescent="0.3">
      <c r="A2580" s="6" t="s">
        <v>6269</v>
      </c>
      <c r="B2580" s="6" t="s">
        <v>6270</v>
      </c>
      <c r="C2580" s="1552">
        <v>208</v>
      </c>
      <c r="D2580" s="1552">
        <v>98300.7499629003</v>
      </c>
      <c r="E2580" s="1553">
        <v>7398.2199601631301</v>
      </c>
      <c r="F2580" s="1554">
        <v>0.96233085879688995</v>
      </c>
      <c r="G2580" s="1555">
        <v>7.2426053417893793E-2</v>
      </c>
    </row>
    <row r="2581" spans="1:7" x14ac:dyDescent="0.3">
      <c r="A2581" s="11" t="s">
        <v>6269</v>
      </c>
      <c r="B2581" s="11" t="s">
        <v>6271</v>
      </c>
      <c r="C2581" s="1556">
        <v>18570</v>
      </c>
      <c r="D2581" s="1556">
        <v>10214860</v>
      </c>
      <c r="E2581" s="1557">
        <v>0</v>
      </c>
      <c r="F2581" s="1558">
        <v>100</v>
      </c>
      <c r="G2581" s="1559">
        <v>0</v>
      </c>
    </row>
    <row r="2582" spans="1:7" x14ac:dyDescent="0.3">
      <c r="A2582" s="3299" t="s">
        <v>900</v>
      </c>
      <c r="B2582" s="3298"/>
      <c r="C2582" s="3298"/>
      <c r="D2582" s="3298"/>
      <c r="E2582" s="3298"/>
      <c r="F2582" s="3298"/>
      <c r="G2582" s="3298"/>
    </row>
    <row r="2583" spans="1:7" x14ac:dyDescent="0.3">
      <c r="A2583" s="11" t="s">
        <v>991</v>
      </c>
      <c r="B2583" s="11" t="s">
        <v>3220</v>
      </c>
      <c r="C2583" s="1564">
        <v>88</v>
      </c>
      <c r="D2583" s="1564">
        <v>48162.220729047003</v>
      </c>
      <c r="E2583" s="1565">
        <v>10360.649452553</v>
      </c>
      <c r="F2583" s="1566">
        <v>100</v>
      </c>
      <c r="G2583" s="1567">
        <v>0</v>
      </c>
    </row>
    <row r="2584" spans="1:7" x14ac:dyDescent="0.3">
      <c r="A2584" s="6" t="s">
        <v>960</v>
      </c>
      <c r="B2584" s="6" t="s">
        <v>961</v>
      </c>
      <c r="C2584" s="1560">
        <v>18479</v>
      </c>
      <c r="D2584" s="1560">
        <v>10165237.2616689</v>
      </c>
      <c r="E2584" s="1561">
        <v>10404.3249376435</v>
      </c>
      <c r="F2584" s="1562">
        <v>99.985634297057203</v>
      </c>
      <c r="G2584" s="1563">
        <v>1.0117464424294601E-2</v>
      </c>
    </row>
    <row r="2585" spans="1:7" x14ac:dyDescent="0.3">
      <c r="A2585" s="11" t="s">
        <v>974</v>
      </c>
      <c r="B2585" s="11" t="s">
        <v>975</v>
      </c>
      <c r="C2585" s="1564">
        <v>3</v>
      </c>
      <c r="D2585" s="1564">
        <v>1460.5176020653801</v>
      </c>
      <c r="E2585" s="1565">
        <v>1028.55208631662</v>
      </c>
      <c r="F2585" s="1566">
        <v>1.43657029428302E-2</v>
      </c>
      <c r="G2585" s="1567">
        <v>1.01174644242908E-2</v>
      </c>
    </row>
    <row r="2586" spans="1:7" x14ac:dyDescent="0.3">
      <c r="A2586" s="6" t="s">
        <v>6269</v>
      </c>
      <c r="B2586" s="6" t="s">
        <v>6270</v>
      </c>
      <c r="C2586" s="1560">
        <v>88</v>
      </c>
      <c r="D2586" s="1560">
        <v>48162.220729047003</v>
      </c>
      <c r="E2586" s="1561">
        <v>10360.649452553</v>
      </c>
      <c r="F2586" s="1562">
        <v>0.47149173585391202</v>
      </c>
      <c r="G2586" s="1563">
        <v>0.101427229081488</v>
      </c>
    </row>
    <row r="2587" spans="1:7" x14ac:dyDescent="0.3">
      <c r="A2587" s="11" t="s">
        <v>6269</v>
      </c>
      <c r="B2587" s="11" t="s">
        <v>6271</v>
      </c>
      <c r="C2587" s="1564">
        <v>18570</v>
      </c>
      <c r="D2587" s="1564">
        <v>10214860</v>
      </c>
      <c r="E2587" s="1565">
        <v>0</v>
      </c>
      <c r="F2587" s="1566">
        <v>100</v>
      </c>
      <c r="G2587" s="1567">
        <v>0</v>
      </c>
    </row>
    <row r="2588" spans="1:7" x14ac:dyDescent="0.3">
      <c r="A2588" s="3299" t="s">
        <v>337</v>
      </c>
      <c r="B2588" s="3298"/>
      <c r="C2588" s="3298"/>
      <c r="D2588" s="3298"/>
      <c r="E2588" s="3298"/>
      <c r="F2588" s="3298"/>
      <c r="G2588" s="3298"/>
    </row>
    <row r="2589" spans="1:7" x14ac:dyDescent="0.3">
      <c r="A2589" s="11" t="s">
        <v>983</v>
      </c>
      <c r="B2589" s="11" t="s">
        <v>1015</v>
      </c>
      <c r="C2589" s="1572">
        <v>62</v>
      </c>
      <c r="D2589" s="1572">
        <v>28872.838916053999</v>
      </c>
      <c r="E2589" s="1573">
        <v>5044.3598165641497</v>
      </c>
      <c r="F2589" s="1574">
        <v>100</v>
      </c>
      <c r="G2589" s="1575">
        <v>0</v>
      </c>
    </row>
    <row r="2590" spans="1:7" x14ac:dyDescent="0.3">
      <c r="A2590" s="6" t="s">
        <v>960</v>
      </c>
      <c r="B2590" s="6" t="s">
        <v>961</v>
      </c>
      <c r="C2590" s="1568">
        <v>18505</v>
      </c>
      <c r="D2590" s="1568">
        <v>10184526.643481901</v>
      </c>
      <c r="E2590" s="1569">
        <v>4910.7508861608803</v>
      </c>
      <c r="F2590" s="1570">
        <v>99.985661501639797</v>
      </c>
      <c r="G2590" s="1571">
        <v>1.0096860484560301E-2</v>
      </c>
    </row>
    <row r="2591" spans="1:7" x14ac:dyDescent="0.3">
      <c r="A2591" s="11" t="s">
        <v>974</v>
      </c>
      <c r="B2591" s="11" t="s">
        <v>975</v>
      </c>
      <c r="C2591" s="1572">
        <v>3</v>
      </c>
      <c r="D2591" s="1572">
        <v>1460.5176020653801</v>
      </c>
      <c r="E2591" s="1573">
        <v>1028.55208631662</v>
      </c>
      <c r="F2591" s="1574">
        <v>1.4338498360231201E-2</v>
      </c>
      <c r="G2591" s="1575">
        <v>1.00968604845574E-2</v>
      </c>
    </row>
    <row r="2592" spans="1:7" x14ac:dyDescent="0.3">
      <c r="A2592" s="6" t="s">
        <v>6269</v>
      </c>
      <c r="B2592" s="6" t="s">
        <v>6270</v>
      </c>
      <c r="C2592" s="1568">
        <v>62</v>
      </c>
      <c r="D2592" s="1568">
        <v>28872.838916053999</v>
      </c>
      <c r="E2592" s="1569">
        <v>5044.3598165641497</v>
      </c>
      <c r="F2592" s="1570">
        <v>0.28265525828111099</v>
      </c>
      <c r="G2592" s="1571">
        <v>4.93825643872184E-2</v>
      </c>
    </row>
    <row r="2593" spans="1:7" x14ac:dyDescent="0.3">
      <c r="A2593" s="11" t="s">
        <v>6269</v>
      </c>
      <c r="B2593" s="11" t="s">
        <v>6271</v>
      </c>
      <c r="C2593" s="1572">
        <v>18570</v>
      </c>
      <c r="D2593" s="1572">
        <v>10214860</v>
      </c>
      <c r="E2593" s="1573">
        <v>0</v>
      </c>
      <c r="F2593" s="1574">
        <v>100</v>
      </c>
      <c r="G2593" s="1575">
        <v>0</v>
      </c>
    </row>
    <row r="2594" spans="1:7" x14ac:dyDescent="0.3">
      <c r="A2594" s="3299" t="s">
        <v>340</v>
      </c>
      <c r="B2594" s="3298"/>
      <c r="C2594" s="3298"/>
      <c r="D2594" s="3298"/>
      <c r="E2594" s="3298"/>
      <c r="F2594" s="3298"/>
      <c r="G2594" s="3298"/>
    </row>
    <row r="2595" spans="1:7" x14ac:dyDescent="0.3">
      <c r="A2595" s="11" t="s">
        <v>6630</v>
      </c>
      <c r="B2595" s="11"/>
      <c r="C2595" s="1580">
        <v>19</v>
      </c>
      <c r="D2595" s="1580">
        <v>8764.6999473295691</v>
      </c>
      <c r="E2595" s="1581">
        <v>2222.8738322538402</v>
      </c>
      <c r="F2595" s="1582">
        <v>47.350175206903501</v>
      </c>
      <c r="G2595" s="1583">
        <v>16.118683327609201</v>
      </c>
    </row>
    <row r="2596" spans="1:7" x14ac:dyDescent="0.3">
      <c r="A2596" s="6" t="s">
        <v>6631</v>
      </c>
      <c r="B2596" s="6"/>
      <c r="C2596" s="1576">
        <v>15</v>
      </c>
      <c r="D2596" s="1576">
        <v>4992.95149590041</v>
      </c>
      <c r="E2596" s="1577">
        <v>2143.1342326129502</v>
      </c>
      <c r="F2596" s="1578">
        <v>26.9737845620702</v>
      </c>
      <c r="G2596" s="1579">
        <v>9.9864500832574201</v>
      </c>
    </row>
    <row r="2597" spans="1:7" x14ac:dyDescent="0.3">
      <c r="A2597" s="11" t="s">
        <v>6632</v>
      </c>
      <c r="B2597" s="11"/>
      <c r="C2597" s="1580">
        <v>3</v>
      </c>
      <c r="D2597" s="1580">
        <v>3733.9963826799899</v>
      </c>
      <c r="E2597" s="1581">
        <v>2347.2201666117599</v>
      </c>
      <c r="F2597" s="1582">
        <v>20.172439901460699</v>
      </c>
      <c r="G2597" s="1583">
        <v>11.6008091210643</v>
      </c>
    </row>
    <row r="2598" spans="1:7" x14ac:dyDescent="0.3">
      <c r="A2598" s="6" t="s">
        <v>6633</v>
      </c>
      <c r="B2598" s="6"/>
      <c r="C2598" s="1576">
        <v>2</v>
      </c>
      <c r="D2598" s="1576">
        <v>827.21266490893402</v>
      </c>
      <c r="E2598" s="1577">
        <v>649.87734731491696</v>
      </c>
      <c r="F2598" s="1578">
        <v>4.4689110696529299</v>
      </c>
      <c r="G2598" s="1579">
        <v>3.46318155315344</v>
      </c>
    </row>
    <row r="2599" spans="1:7" x14ac:dyDescent="0.3">
      <c r="A2599" s="11" t="s">
        <v>6634</v>
      </c>
      <c r="B2599" s="11"/>
      <c r="C2599" s="1580">
        <v>2</v>
      </c>
      <c r="D2599" s="1580">
        <v>191.524970335007</v>
      </c>
      <c r="E2599" s="1581">
        <v>193.09919143636699</v>
      </c>
      <c r="F2599" s="1582">
        <v>1.03468925991273</v>
      </c>
      <c r="G2599" s="1583">
        <v>1.0567949178010301</v>
      </c>
    </row>
    <row r="2600" spans="1:7" x14ac:dyDescent="0.3">
      <c r="A2600" s="6" t="s">
        <v>960</v>
      </c>
      <c r="B2600" s="6" t="s">
        <v>961</v>
      </c>
      <c r="C2600" s="1576">
        <v>18508</v>
      </c>
      <c r="D2600" s="1576">
        <v>10185987.161084</v>
      </c>
      <c r="E2600" s="1577">
        <v>5044.3598165896301</v>
      </c>
      <c r="F2600" s="1578">
        <v>99.898370947970193</v>
      </c>
      <c r="G2600" s="1579">
        <v>4.1658923216634898E-2</v>
      </c>
    </row>
    <row r="2601" spans="1:7" x14ac:dyDescent="0.3">
      <c r="A2601" s="11" t="s">
        <v>974</v>
      </c>
      <c r="B2601" s="11"/>
      <c r="C2601" s="1580">
        <v>20</v>
      </c>
      <c r="D2601" s="1580">
        <v>10362.4534549</v>
      </c>
      <c r="E2601" s="1581">
        <v>4247.7947624687604</v>
      </c>
      <c r="F2601" s="1582">
        <v>0.10162905202979999</v>
      </c>
      <c r="G2601" s="1583">
        <v>4.1658923216633503E-2</v>
      </c>
    </row>
    <row r="2602" spans="1:7" x14ac:dyDescent="0.3">
      <c r="A2602" s="6" t="s">
        <v>6269</v>
      </c>
      <c r="B2602" s="6" t="s">
        <v>6270</v>
      </c>
      <c r="C2602" s="1576">
        <v>41</v>
      </c>
      <c r="D2602" s="1576">
        <v>18510.385461153899</v>
      </c>
      <c r="E2602" s="1577">
        <v>2647.3700598022801</v>
      </c>
      <c r="F2602" s="1578">
        <v>0.18121036863112999</v>
      </c>
      <c r="G2602" s="1579">
        <v>2.5916851134546701E-2</v>
      </c>
    </row>
    <row r="2603" spans="1:7" x14ac:dyDescent="0.3">
      <c r="A2603" s="11" t="s">
        <v>6269</v>
      </c>
      <c r="B2603" s="11" t="s">
        <v>6271</v>
      </c>
      <c r="C2603" s="1580">
        <v>18569</v>
      </c>
      <c r="D2603" s="1580">
        <v>10214860</v>
      </c>
      <c r="E2603" s="1581">
        <v>0</v>
      </c>
      <c r="F2603" s="1582">
        <v>100</v>
      </c>
      <c r="G2603" s="1583">
        <v>0</v>
      </c>
    </row>
    <row r="2604" spans="1:7" x14ac:dyDescent="0.3">
      <c r="A2604" s="3299" t="s">
        <v>129</v>
      </c>
      <c r="B2604" s="3298"/>
      <c r="C2604" s="3298"/>
      <c r="D2604" s="3298"/>
      <c r="E2604" s="3298"/>
      <c r="F2604" s="3298"/>
      <c r="G2604" s="3298"/>
    </row>
    <row r="2605" spans="1:7" x14ac:dyDescent="0.3">
      <c r="A2605" s="11" t="s">
        <v>962</v>
      </c>
      <c r="B2605" s="11" t="s">
        <v>1124</v>
      </c>
      <c r="C2605" s="1588">
        <v>1365</v>
      </c>
      <c r="D2605" s="1588">
        <v>590682.87596621201</v>
      </c>
      <c r="E2605" s="1589">
        <v>24030.2057469094</v>
      </c>
      <c r="F2605" s="1590">
        <v>100</v>
      </c>
      <c r="G2605" s="1591">
        <v>0</v>
      </c>
    </row>
    <row r="2606" spans="1:7" x14ac:dyDescent="0.3">
      <c r="A2606" s="6" t="s">
        <v>960</v>
      </c>
      <c r="B2606" s="6" t="s">
        <v>961</v>
      </c>
      <c r="C2606" s="1584">
        <v>17204</v>
      </c>
      <c r="D2606" s="1584">
        <v>9624177.1240337901</v>
      </c>
      <c r="E2606" s="1585">
        <v>24030.2057469149</v>
      </c>
      <c r="F2606" s="1586">
        <v>100</v>
      </c>
      <c r="G2606" s="1587">
        <v>0</v>
      </c>
    </row>
    <row r="2607" spans="1:7" x14ac:dyDescent="0.3">
      <c r="A2607" s="11" t="s">
        <v>6269</v>
      </c>
      <c r="B2607" s="11" t="s">
        <v>6270</v>
      </c>
      <c r="C2607" s="1588">
        <v>1365</v>
      </c>
      <c r="D2607" s="1588">
        <v>590682.87596621201</v>
      </c>
      <c r="E2607" s="1589">
        <v>24030.2057469094</v>
      </c>
      <c r="F2607" s="1590">
        <v>5.78258415647608</v>
      </c>
      <c r="G2607" s="1591">
        <v>0.23524752905971899</v>
      </c>
    </row>
    <row r="2608" spans="1:7" x14ac:dyDescent="0.3">
      <c r="A2608" s="6" t="s">
        <v>6269</v>
      </c>
      <c r="B2608" s="6" t="s">
        <v>6271</v>
      </c>
      <c r="C2608" s="1584">
        <v>18569</v>
      </c>
      <c r="D2608" s="1584">
        <v>10214860</v>
      </c>
      <c r="E2608" s="1585">
        <v>0</v>
      </c>
      <c r="F2608" s="1586">
        <v>100</v>
      </c>
      <c r="G2608" s="1587">
        <v>0</v>
      </c>
    </row>
    <row r="2609" spans="1:7" x14ac:dyDescent="0.3">
      <c r="A2609" s="3299" t="s">
        <v>121</v>
      </c>
      <c r="B2609" s="3298"/>
      <c r="C2609" s="3298"/>
      <c r="D2609" s="3298"/>
      <c r="E2609" s="3298"/>
      <c r="F2609" s="3298"/>
      <c r="G2609" s="3298"/>
    </row>
    <row r="2610" spans="1:7" x14ac:dyDescent="0.3">
      <c r="A2610" s="11" t="s">
        <v>964</v>
      </c>
      <c r="B2610" s="11" t="s">
        <v>1125</v>
      </c>
      <c r="C2610" s="1596">
        <v>745</v>
      </c>
      <c r="D2610" s="1596">
        <v>336089.83727513702</v>
      </c>
      <c r="E2610" s="1597">
        <v>18342.406068424501</v>
      </c>
      <c r="F2610" s="1598">
        <v>100</v>
      </c>
      <c r="G2610" s="1599">
        <v>0</v>
      </c>
    </row>
    <row r="2611" spans="1:7" x14ac:dyDescent="0.3">
      <c r="A2611" s="6" t="s">
        <v>960</v>
      </c>
      <c r="B2611" s="6" t="s">
        <v>961</v>
      </c>
      <c r="C2611" s="1592">
        <v>17824</v>
      </c>
      <c r="D2611" s="1592">
        <v>9878770.1627248805</v>
      </c>
      <c r="E2611" s="1593">
        <v>18342.406068457502</v>
      </c>
      <c r="F2611" s="1594">
        <v>100</v>
      </c>
      <c r="G2611" s="1595">
        <v>0</v>
      </c>
    </row>
    <row r="2612" spans="1:7" x14ac:dyDescent="0.3">
      <c r="A2612" s="11" t="s">
        <v>6269</v>
      </c>
      <c r="B2612" s="11" t="s">
        <v>6270</v>
      </c>
      <c r="C2612" s="1596">
        <v>745</v>
      </c>
      <c r="D2612" s="1596">
        <v>336089.83727513702</v>
      </c>
      <c r="E2612" s="1597">
        <v>18342.406068424501</v>
      </c>
      <c r="F2612" s="1598">
        <v>3.29020502752986</v>
      </c>
      <c r="G2612" s="1599">
        <v>0.179565907593698</v>
      </c>
    </row>
    <row r="2613" spans="1:7" x14ac:dyDescent="0.3">
      <c r="A2613" s="6" t="s">
        <v>6269</v>
      </c>
      <c r="B2613" s="6" t="s">
        <v>6271</v>
      </c>
      <c r="C2613" s="1592">
        <v>18569</v>
      </c>
      <c r="D2613" s="1592">
        <v>10214860</v>
      </c>
      <c r="E2613" s="1593">
        <v>0</v>
      </c>
      <c r="F2613" s="1594">
        <v>100</v>
      </c>
      <c r="G2613" s="1595">
        <v>0</v>
      </c>
    </row>
    <row r="2614" spans="1:7" x14ac:dyDescent="0.3">
      <c r="A2614" s="3299" t="s">
        <v>113</v>
      </c>
      <c r="B2614" s="3298"/>
      <c r="C2614" s="3298"/>
      <c r="D2614" s="3298"/>
      <c r="E2614" s="3298"/>
      <c r="F2614" s="3298"/>
      <c r="G2614" s="3298"/>
    </row>
    <row r="2615" spans="1:7" x14ac:dyDescent="0.3">
      <c r="A2615" s="11" t="s">
        <v>966</v>
      </c>
      <c r="B2615" s="11" t="s">
        <v>1126</v>
      </c>
      <c r="C2615" s="1604">
        <v>674</v>
      </c>
      <c r="D2615" s="1604">
        <v>243885.54006072399</v>
      </c>
      <c r="E2615" s="1605">
        <v>16875.2459794034</v>
      </c>
      <c r="F2615" s="1606">
        <v>100</v>
      </c>
      <c r="G2615" s="1607">
        <v>0</v>
      </c>
    </row>
    <row r="2616" spans="1:7" x14ac:dyDescent="0.3">
      <c r="A2616" s="6" t="s">
        <v>960</v>
      </c>
      <c r="B2616" s="6" t="s">
        <v>961</v>
      </c>
      <c r="C2616" s="1600">
        <v>17895</v>
      </c>
      <c r="D2616" s="1600">
        <v>9970974.4599392992</v>
      </c>
      <c r="E2616" s="1601">
        <v>16875.245979450101</v>
      </c>
      <c r="F2616" s="1602">
        <v>100</v>
      </c>
      <c r="G2616" s="1603">
        <v>0</v>
      </c>
    </row>
    <row r="2617" spans="1:7" x14ac:dyDescent="0.3">
      <c r="A2617" s="11" t="s">
        <v>6269</v>
      </c>
      <c r="B2617" s="11" t="s">
        <v>6270</v>
      </c>
      <c r="C2617" s="1604">
        <v>674</v>
      </c>
      <c r="D2617" s="1604">
        <v>243885.54006072399</v>
      </c>
      <c r="E2617" s="1605">
        <v>16875.2459794034</v>
      </c>
      <c r="F2617" s="1606">
        <v>2.38755636455834</v>
      </c>
      <c r="G2617" s="1607">
        <v>0.165202910068316</v>
      </c>
    </row>
    <row r="2618" spans="1:7" x14ac:dyDescent="0.3">
      <c r="A2618" s="6" t="s">
        <v>6269</v>
      </c>
      <c r="B2618" s="6" t="s">
        <v>6271</v>
      </c>
      <c r="C2618" s="1600">
        <v>18569</v>
      </c>
      <c r="D2618" s="1600">
        <v>10214860</v>
      </c>
      <c r="E2618" s="1601">
        <v>0</v>
      </c>
      <c r="F2618" s="1602">
        <v>100</v>
      </c>
      <c r="G2618" s="1603">
        <v>0</v>
      </c>
    </row>
    <row r="2619" spans="1:7" x14ac:dyDescent="0.3">
      <c r="A2619" s="3299" t="s">
        <v>123</v>
      </c>
      <c r="B2619" s="3298"/>
      <c r="C2619" s="3298"/>
      <c r="D2619" s="3298"/>
      <c r="E2619" s="3298"/>
      <c r="F2619" s="3298"/>
      <c r="G2619" s="3298"/>
    </row>
    <row r="2620" spans="1:7" x14ac:dyDescent="0.3">
      <c r="A2620" s="11" t="s">
        <v>968</v>
      </c>
      <c r="B2620" s="11" t="s">
        <v>1127</v>
      </c>
      <c r="C2620" s="1612">
        <v>476</v>
      </c>
      <c r="D2620" s="1612">
        <v>222291.42317355401</v>
      </c>
      <c r="E2620" s="1613">
        <v>20943.170402002201</v>
      </c>
      <c r="F2620" s="1614">
        <v>100</v>
      </c>
      <c r="G2620" s="1615">
        <v>0</v>
      </c>
    </row>
    <row r="2621" spans="1:7" x14ac:dyDescent="0.3">
      <c r="A2621" s="6" t="s">
        <v>960</v>
      </c>
      <c r="B2621" s="6" t="s">
        <v>961</v>
      </c>
      <c r="C2621" s="1608">
        <v>18093</v>
      </c>
      <c r="D2621" s="1608">
        <v>9992568.57682647</v>
      </c>
      <c r="E2621" s="1609">
        <v>20943.170401959898</v>
      </c>
      <c r="F2621" s="1610">
        <v>100</v>
      </c>
      <c r="G2621" s="1611">
        <v>0</v>
      </c>
    </row>
    <row r="2622" spans="1:7" x14ac:dyDescent="0.3">
      <c r="A2622" s="11" t="s">
        <v>6269</v>
      </c>
      <c r="B2622" s="11" t="s">
        <v>6270</v>
      </c>
      <c r="C2622" s="1612">
        <v>476</v>
      </c>
      <c r="D2622" s="1612">
        <v>222291.42317355401</v>
      </c>
      <c r="E2622" s="1613">
        <v>20943.170402002201</v>
      </c>
      <c r="F2622" s="1614">
        <v>2.1761573156514502</v>
      </c>
      <c r="G2622" s="1615">
        <v>0.205026504543393</v>
      </c>
    </row>
    <row r="2623" spans="1:7" x14ac:dyDescent="0.3">
      <c r="A2623" s="6" t="s">
        <v>6269</v>
      </c>
      <c r="B2623" s="6" t="s">
        <v>6271</v>
      </c>
      <c r="C2623" s="1608">
        <v>18569</v>
      </c>
      <c r="D2623" s="1608">
        <v>10214860</v>
      </c>
      <c r="E2623" s="1609">
        <v>0</v>
      </c>
      <c r="F2623" s="1610">
        <v>100</v>
      </c>
      <c r="G2623" s="1611">
        <v>0</v>
      </c>
    </row>
    <row r="2624" spans="1:7" x14ac:dyDescent="0.3">
      <c r="A2624" s="3299" t="s">
        <v>117</v>
      </c>
      <c r="B2624" s="3298"/>
      <c r="C2624" s="3298"/>
      <c r="D2624" s="3298"/>
      <c r="E2624" s="3298"/>
      <c r="F2624" s="3298"/>
      <c r="G2624" s="3298"/>
    </row>
    <row r="2625" spans="1:7" x14ac:dyDescent="0.3">
      <c r="A2625" s="11" t="s">
        <v>970</v>
      </c>
      <c r="B2625" s="11" t="s">
        <v>1128</v>
      </c>
      <c r="C2625" s="1620">
        <v>100</v>
      </c>
      <c r="D2625" s="1620">
        <v>67079.696647366902</v>
      </c>
      <c r="E2625" s="1621">
        <v>6985.5764336535203</v>
      </c>
      <c r="F2625" s="1622">
        <v>100</v>
      </c>
      <c r="G2625" s="1623">
        <v>0</v>
      </c>
    </row>
    <row r="2626" spans="1:7" x14ac:dyDescent="0.3">
      <c r="A2626" s="6" t="s">
        <v>960</v>
      </c>
      <c r="B2626" s="6" t="s">
        <v>961</v>
      </c>
      <c r="C2626" s="1616">
        <v>18469</v>
      </c>
      <c r="D2626" s="1616">
        <v>10147780.303352701</v>
      </c>
      <c r="E2626" s="1617">
        <v>6985.5764336781203</v>
      </c>
      <c r="F2626" s="1618">
        <v>100</v>
      </c>
      <c r="G2626" s="1619">
        <v>0</v>
      </c>
    </row>
    <row r="2627" spans="1:7" x14ac:dyDescent="0.3">
      <c r="A2627" s="11" t="s">
        <v>6269</v>
      </c>
      <c r="B2627" s="11" t="s">
        <v>6270</v>
      </c>
      <c r="C2627" s="1620">
        <v>100</v>
      </c>
      <c r="D2627" s="1620">
        <v>67079.696647366902</v>
      </c>
      <c r="E2627" s="1621">
        <v>6985.5764336535203</v>
      </c>
      <c r="F2627" s="1622">
        <v>0.65668738139697203</v>
      </c>
      <c r="G2627" s="1623">
        <v>6.8386413848586097E-2</v>
      </c>
    </row>
    <row r="2628" spans="1:7" x14ac:dyDescent="0.3">
      <c r="A2628" s="6" t="s">
        <v>6269</v>
      </c>
      <c r="B2628" s="6" t="s">
        <v>6271</v>
      </c>
      <c r="C2628" s="1616">
        <v>18569</v>
      </c>
      <c r="D2628" s="1616">
        <v>10214860</v>
      </c>
      <c r="E2628" s="1617">
        <v>0</v>
      </c>
      <c r="F2628" s="1618">
        <v>100</v>
      </c>
      <c r="G2628" s="1619">
        <v>0</v>
      </c>
    </row>
    <row r="2629" spans="1:7" x14ac:dyDescent="0.3">
      <c r="A2629" s="3299" t="s">
        <v>125</v>
      </c>
      <c r="B2629" s="3298"/>
      <c r="C2629" s="3298"/>
      <c r="D2629" s="3298"/>
      <c r="E2629" s="3298"/>
      <c r="F2629" s="3298"/>
      <c r="G2629" s="3298"/>
    </row>
    <row r="2630" spans="1:7" x14ac:dyDescent="0.3">
      <c r="A2630" s="11" t="s">
        <v>972</v>
      </c>
      <c r="B2630" s="11" t="s">
        <v>1129</v>
      </c>
      <c r="C2630" s="1628">
        <v>109</v>
      </c>
      <c r="D2630" s="1628">
        <v>66922.872977768202</v>
      </c>
      <c r="E2630" s="1629">
        <v>9818.6785930489696</v>
      </c>
      <c r="F2630" s="1630">
        <v>100</v>
      </c>
      <c r="G2630" s="1631">
        <v>0</v>
      </c>
    </row>
    <row r="2631" spans="1:7" x14ac:dyDescent="0.3">
      <c r="A2631" s="6" t="s">
        <v>960</v>
      </c>
      <c r="B2631" s="6" t="s">
        <v>961</v>
      </c>
      <c r="C2631" s="1624">
        <v>18460</v>
      </c>
      <c r="D2631" s="1624">
        <v>10147937.1270223</v>
      </c>
      <c r="E2631" s="1625">
        <v>9818.6785930993301</v>
      </c>
      <c r="F2631" s="1626">
        <v>100</v>
      </c>
      <c r="G2631" s="1627">
        <v>0</v>
      </c>
    </row>
    <row r="2632" spans="1:7" x14ac:dyDescent="0.3">
      <c r="A2632" s="11" t="s">
        <v>6269</v>
      </c>
      <c r="B2632" s="11" t="s">
        <v>6270</v>
      </c>
      <c r="C2632" s="1628">
        <v>109</v>
      </c>
      <c r="D2632" s="1628">
        <v>66922.872977768202</v>
      </c>
      <c r="E2632" s="1629">
        <v>9818.6785930489696</v>
      </c>
      <c r="F2632" s="1630">
        <v>0.65515213108909998</v>
      </c>
      <c r="G2632" s="1631">
        <v>9.6121518973821193E-2</v>
      </c>
    </row>
    <row r="2633" spans="1:7" x14ac:dyDescent="0.3">
      <c r="A2633" s="6" t="s">
        <v>6269</v>
      </c>
      <c r="B2633" s="6" t="s">
        <v>6271</v>
      </c>
      <c r="C2633" s="1624">
        <v>18569</v>
      </c>
      <c r="D2633" s="1624">
        <v>10214860</v>
      </c>
      <c r="E2633" s="1625">
        <v>0</v>
      </c>
      <c r="F2633" s="1626">
        <v>100</v>
      </c>
      <c r="G2633" s="1627">
        <v>0</v>
      </c>
    </row>
    <row r="2634" spans="1:7" x14ac:dyDescent="0.3">
      <c r="A2634" s="3299" t="s">
        <v>127</v>
      </c>
      <c r="B2634" s="3298"/>
      <c r="C2634" s="3298"/>
      <c r="D2634" s="3298"/>
      <c r="E2634" s="3298"/>
      <c r="F2634" s="3298"/>
      <c r="G2634" s="3298"/>
    </row>
    <row r="2635" spans="1:7" x14ac:dyDescent="0.3">
      <c r="A2635" s="11" t="s">
        <v>981</v>
      </c>
      <c r="B2635" s="11" t="s">
        <v>1130</v>
      </c>
      <c r="C2635" s="1636">
        <v>20</v>
      </c>
      <c r="D2635" s="1636">
        <v>10854.957095010101</v>
      </c>
      <c r="E2635" s="1637">
        <v>4139.1191644893597</v>
      </c>
      <c r="F2635" s="1638">
        <v>100</v>
      </c>
      <c r="G2635" s="1639">
        <v>0</v>
      </c>
    </row>
    <row r="2636" spans="1:7" x14ac:dyDescent="0.3">
      <c r="A2636" s="6" t="s">
        <v>960</v>
      </c>
      <c r="B2636" s="6" t="s">
        <v>961</v>
      </c>
      <c r="C2636" s="1632">
        <v>18549</v>
      </c>
      <c r="D2636" s="1632">
        <v>10204005.042904999</v>
      </c>
      <c r="E2636" s="1633">
        <v>4139.1191644787104</v>
      </c>
      <c r="F2636" s="1634">
        <v>100</v>
      </c>
      <c r="G2636" s="1635">
        <v>0</v>
      </c>
    </row>
    <row r="2637" spans="1:7" x14ac:dyDescent="0.3">
      <c r="A2637" s="11" t="s">
        <v>6269</v>
      </c>
      <c r="B2637" s="11" t="s">
        <v>6270</v>
      </c>
      <c r="C2637" s="1636">
        <v>20</v>
      </c>
      <c r="D2637" s="1636">
        <v>10854.957095010101</v>
      </c>
      <c r="E2637" s="1637">
        <v>4139.1191644893597</v>
      </c>
      <c r="F2637" s="1638">
        <v>0.10626633252937399</v>
      </c>
      <c r="G2637" s="1639">
        <v>4.0520566747751098E-2</v>
      </c>
    </row>
    <row r="2638" spans="1:7" x14ac:dyDescent="0.3">
      <c r="A2638" s="6" t="s">
        <v>6269</v>
      </c>
      <c r="B2638" s="6" t="s">
        <v>6271</v>
      </c>
      <c r="C2638" s="1632">
        <v>18569</v>
      </c>
      <c r="D2638" s="1632">
        <v>10214860</v>
      </c>
      <c r="E2638" s="1633">
        <v>0</v>
      </c>
      <c r="F2638" s="1634">
        <v>100</v>
      </c>
      <c r="G2638" s="1635">
        <v>0</v>
      </c>
    </row>
    <row r="2639" spans="1:7" x14ac:dyDescent="0.3">
      <c r="A2639" s="3299" t="s">
        <v>115</v>
      </c>
      <c r="B2639" s="3298"/>
      <c r="C2639" s="3298"/>
      <c r="D2639" s="3298"/>
      <c r="E2639" s="3298"/>
      <c r="F2639" s="3298"/>
      <c r="G2639" s="3298"/>
    </row>
    <row r="2640" spans="1:7" x14ac:dyDescent="0.3">
      <c r="A2640" s="11" t="s">
        <v>993</v>
      </c>
      <c r="B2640" s="11" t="s">
        <v>1037</v>
      </c>
      <c r="C2640" s="1644">
        <v>421</v>
      </c>
      <c r="D2640" s="1644">
        <v>152591.34013935801</v>
      </c>
      <c r="E2640" s="1645">
        <v>14994.5704346819</v>
      </c>
      <c r="F2640" s="1646">
        <v>100</v>
      </c>
      <c r="G2640" s="1647">
        <v>0</v>
      </c>
    </row>
    <row r="2641" spans="1:7" x14ac:dyDescent="0.3">
      <c r="A2641" s="6" t="s">
        <v>960</v>
      </c>
      <c r="B2641" s="6" t="s">
        <v>961</v>
      </c>
      <c r="C2641" s="1640">
        <v>18148</v>
      </c>
      <c r="D2641" s="1640">
        <v>10062268.6598607</v>
      </c>
      <c r="E2641" s="1641">
        <v>14994.570434663799</v>
      </c>
      <c r="F2641" s="1642">
        <v>100</v>
      </c>
      <c r="G2641" s="1643">
        <v>0</v>
      </c>
    </row>
    <row r="2642" spans="1:7" x14ac:dyDescent="0.3">
      <c r="A2642" s="11" t="s">
        <v>6269</v>
      </c>
      <c r="B2642" s="11" t="s">
        <v>6270</v>
      </c>
      <c r="C2642" s="1644">
        <v>421</v>
      </c>
      <c r="D2642" s="1644">
        <v>152591.34013935801</v>
      </c>
      <c r="E2642" s="1645">
        <v>14994.5704346819</v>
      </c>
      <c r="F2642" s="1646">
        <v>1.49381724408712</v>
      </c>
      <c r="G2642" s="1647">
        <v>0.146791737083833</v>
      </c>
    </row>
    <row r="2643" spans="1:7" x14ac:dyDescent="0.3">
      <c r="A2643" s="6" t="s">
        <v>6269</v>
      </c>
      <c r="B2643" s="6" t="s">
        <v>6271</v>
      </c>
      <c r="C2643" s="1640">
        <v>18569</v>
      </c>
      <c r="D2643" s="1640">
        <v>10214860</v>
      </c>
      <c r="E2643" s="1641">
        <v>0</v>
      </c>
      <c r="F2643" s="1642">
        <v>100</v>
      </c>
      <c r="G2643" s="1643">
        <v>0</v>
      </c>
    </row>
    <row r="2644" spans="1:7" x14ac:dyDescent="0.3">
      <c r="A2644" s="3299" t="s">
        <v>110</v>
      </c>
      <c r="B2644" s="3298"/>
      <c r="C2644" s="3298"/>
      <c r="D2644" s="3298"/>
      <c r="E2644" s="3298"/>
      <c r="F2644" s="3298"/>
      <c r="G2644" s="3298"/>
    </row>
    <row r="2645" spans="1:7" x14ac:dyDescent="0.3">
      <c r="A2645" s="11" t="s">
        <v>960</v>
      </c>
      <c r="B2645" s="11" t="s">
        <v>961</v>
      </c>
      <c r="C2645" s="1652">
        <v>18568</v>
      </c>
      <c r="D2645" s="1652">
        <v>10214358.276933599</v>
      </c>
      <c r="E2645" s="1653">
        <v>510.91994863932803</v>
      </c>
      <c r="F2645" s="1654">
        <v>99.995088302077306</v>
      </c>
      <c r="G2645" s="1655">
        <v>5.0017322669618997E-3</v>
      </c>
    </row>
    <row r="2646" spans="1:7" x14ac:dyDescent="0.3">
      <c r="A2646" s="6" t="s">
        <v>956</v>
      </c>
      <c r="B2646" s="6" t="s">
        <v>957</v>
      </c>
      <c r="C2646" s="1648">
        <v>1</v>
      </c>
      <c r="D2646" s="1648">
        <v>501.723066429607</v>
      </c>
      <c r="E2646" s="1649">
        <v>510.91994864491301</v>
      </c>
      <c r="F2646" s="1650">
        <v>4.9116979227283204E-3</v>
      </c>
      <c r="G2646" s="1651">
        <v>5.0017322669611902E-3</v>
      </c>
    </row>
    <row r="2647" spans="1:7" x14ac:dyDescent="0.3">
      <c r="A2647" s="11" t="s">
        <v>6269</v>
      </c>
      <c r="B2647" s="11" t="s">
        <v>6270</v>
      </c>
      <c r="C2647" s="1652">
        <v>0</v>
      </c>
      <c r="D2647" s="1652">
        <v>0</v>
      </c>
      <c r="E2647" s="1653">
        <v>0</v>
      </c>
      <c r="F2647" s="1654">
        <v>0</v>
      </c>
      <c r="G2647" s="1655">
        <v>0</v>
      </c>
    </row>
    <row r="2648" spans="1:7" x14ac:dyDescent="0.3">
      <c r="A2648" s="6" t="s">
        <v>6269</v>
      </c>
      <c r="B2648" s="6" t="s">
        <v>6271</v>
      </c>
      <c r="C2648" s="1648">
        <v>18569</v>
      </c>
      <c r="D2648" s="1648">
        <v>10214860</v>
      </c>
      <c r="E2648" s="1649">
        <v>0</v>
      </c>
      <c r="F2648" s="1650">
        <v>100</v>
      </c>
      <c r="G2648" s="1651">
        <v>0</v>
      </c>
    </row>
    <row r="2649" spans="1:7" x14ac:dyDescent="0.3">
      <c r="A2649" s="3299" t="s">
        <v>119</v>
      </c>
      <c r="B2649" s="3298"/>
      <c r="C2649" s="3298"/>
      <c r="D2649" s="3298"/>
      <c r="E2649" s="3298"/>
      <c r="F2649" s="3298"/>
      <c r="G2649" s="3298"/>
    </row>
    <row r="2650" spans="1:7" x14ac:dyDescent="0.3">
      <c r="A2650" s="11" t="s">
        <v>960</v>
      </c>
      <c r="B2650" s="11" t="s">
        <v>961</v>
      </c>
      <c r="C2650" s="1660">
        <v>18568</v>
      </c>
      <c r="D2650" s="1660">
        <v>10214746.6890023</v>
      </c>
      <c r="E2650" s="1661">
        <v>114.180766628187</v>
      </c>
      <c r="F2650" s="1662">
        <v>99.998890723928696</v>
      </c>
      <c r="G2650" s="1663">
        <v>1.11779081299301E-3</v>
      </c>
    </row>
    <row r="2651" spans="1:7" x14ac:dyDescent="0.3">
      <c r="A2651" s="6" t="s">
        <v>958</v>
      </c>
      <c r="B2651" s="6" t="s">
        <v>959</v>
      </c>
      <c r="C2651" s="1656">
        <v>1</v>
      </c>
      <c r="D2651" s="1656">
        <v>113.310997698148</v>
      </c>
      <c r="E2651" s="1657">
        <v>114.180766639971</v>
      </c>
      <c r="F2651" s="1658">
        <v>1.10927607131324E-3</v>
      </c>
      <c r="G2651" s="1659">
        <v>1.1177908129917601E-3</v>
      </c>
    </row>
    <row r="2652" spans="1:7" x14ac:dyDescent="0.3">
      <c r="A2652" s="11" t="s">
        <v>6269</v>
      </c>
      <c r="B2652" s="11" t="s">
        <v>6270</v>
      </c>
      <c r="C2652" s="1660">
        <v>0</v>
      </c>
      <c r="D2652" s="1660">
        <v>0</v>
      </c>
      <c r="E2652" s="1661">
        <v>0</v>
      </c>
      <c r="F2652" s="1662">
        <v>0</v>
      </c>
      <c r="G2652" s="1663">
        <v>0</v>
      </c>
    </row>
    <row r="2653" spans="1:7" x14ac:dyDescent="0.3">
      <c r="A2653" s="6" t="s">
        <v>6269</v>
      </c>
      <c r="B2653" s="6" t="s">
        <v>6271</v>
      </c>
      <c r="C2653" s="1656">
        <v>18569</v>
      </c>
      <c r="D2653" s="1656">
        <v>10214860</v>
      </c>
      <c r="E2653" s="1657">
        <v>0</v>
      </c>
      <c r="F2653" s="1658">
        <v>100</v>
      </c>
      <c r="G2653" s="1659">
        <v>0</v>
      </c>
    </row>
    <row r="2654" spans="1:7" x14ac:dyDescent="0.3">
      <c r="A2654" s="3299" t="s">
        <v>480</v>
      </c>
      <c r="B2654" s="3298"/>
      <c r="C2654" s="3298"/>
      <c r="D2654" s="3298"/>
      <c r="E2654" s="3298"/>
      <c r="F2654" s="3298"/>
      <c r="G2654" s="3298"/>
    </row>
    <row r="2655" spans="1:7" x14ac:dyDescent="0.3">
      <c r="A2655" s="11" t="s">
        <v>964</v>
      </c>
      <c r="B2655" s="11" t="s">
        <v>1040</v>
      </c>
      <c r="C2655" s="1668">
        <v>18478</v>
      </c>
      <c r="D2655" s="1668">
        <v>10148895.9779792</v>
      </c>
      <c r="E2655" s="1669">
        <v>16441.350679313498</v>
      </c>
      <c r="F2655" s="1670">
        <v>99.354234693174405</v>
      </c>
      <c r="G2655" s="1671">
        <v>0.160955222874547</v>
      </c>
    </row>
    <row r="2656" spans="1:7" x14ac:dyDescent="0.3">
      <c r="A2656" s="6" t="s">
        <v>962</v>
      </c>
      <c r="B2656" s="6" t="s">
        <v>1039</v>
      </c>
      <c r="C2656" s="1664">
        <v>92</v>
      </c>
      <c r="D2656" s="1664">
        <v>65964.022020807897</v>
      </c>
      <c r="E2656" s="1665">
        <v>16441.350679322801</v>
      </c>
      <c r="F2656" s="1666">
        <v>0.64576530682562205</v>
      </c>
      <c r="G2656" s="1667">
        <v>0.160955222874545</v>
      </c>
    </row>
    <row r="2657" spans="1:7" x14ac:dyDescent="0.3">
      <c r="A2657" s="11" t="s">
        <v>6269</v>
      </c>
      <c r="B2657" s="11" t="s">
        <v>6270</v>
      </c>
      <c r="C2657" s="1668">
        <v>18570</v>
      </c>
      <c r="D2657" s="1668">
        <v>10214860</v>
      </c>
      <c r="E2657" s="1669">
        <v>2.6975761646491599E-7</v>
      </c>
      <c r="F2657" s="1670">
        <v>100</v>
      </c>
      <c r="G2657" s="1671">
        <v>9.5320444878948101E-14</v>
      </c>
    </row>
    <row r="2658" spans="1:7" x14ac:dyDescent="0.3">
      <c r="A2658" s="6" t="s">
        <v>6269</v>
      </c>
      <c r="B2658" s="6" t="s">
        <v>6271</v>
      </c>
      <c r="C2658" s="1664">
        <v>18570</v>
      </c>
      <c r="D2658" s="1664">
        <v>10214860</v>
      </c>
      <c r="E2658" s="1665">
        <v>0</v>
      </c>
      <c r="F2658" s="1666">
        <v>100</v>
      </c>
      <c r="G2658" s="1667">
        <v>0</v>
      </c>
    </row>
    <row r="2659" spans="1:7" x14ac:dyDescent="0.3">
      <c r="A2659" s="3299" t="s">
        <v>478</v>
      </c>
      <c r="B2659" s="3298"/>
      <c r="C2659" s="3298"/>
      <c r="D2659" s="3298"/>
      <c r="E2659" s="3298"/>
      <c r="F2659" s="3298"/>
      <c r="G2659" s="3298"/>
    </row>
    <row r="2660" spans="1:7" x14ac:dyDescent="0.3">
      <c r="A2660" s="11" t="s">
        <v>964</v>
      </c>
      <c r="B2660" s="11" t="s">
        <v>1040</v>
      </c>
      <c r="C2660" s="1676">
        <v>16982</v>
      </c>
      <c r="D2660" s="1676">
        <v>9159650.1730901208</v>
      </c>
      <c r="E2660" s="1677">
        <v>71002.212256257102</v>
      </c>
      <c r="F2660" s="1678">
        <v>89.669855221609495</v>
      </c>
      <c r="G2660" s="1679">
        <v>0.695087473115237</v>
      </c>
    </row>
    <row r="2661" spans="1:7" x14ac:dyDescent="0.3">
      <c r="A2661" s="6" t="s">
        <v>962</v>
      </c>
      <c r="B2661" s="6" t="s">
        <v>1039</v>
      </c>
      <c r="C2661" s="1672">
        <v>1588</v>
      </c>
      <c r="D2661" s="1672">
        <v>1055209.8269098999</v>
      </c>
      <c r="E2661" s="1673">
        <v>71002.212256259794</v>
      </c>
      <c r="F2661" s="1674">
        <v>10.330144778390499</v>
      </c>
      <c r="G2661" s="1675">
        <v>0.69508747311524099</v>
      </c>
    </row>
    <row r="2662" spans="1:7" x14ac:dyDescent="0.3">
      <c r="A2662" s="11" t="s">
        <v>6269</v>
      </c>
      <c r="B2662" s="11" t="s">
        <v>6270</v>
      </c>
      <c r="C2662" s="1676">
        <v>18570</v>
      </c>
      <c r="D2662" s="1676">
        <v>10214860</v>
      </c>
      <c r="E2662" s="1677">
        <v>2.8098349793042E-7</v>
      </c>
      <c r="F2662" s="1678">
        <v>100</v>
      </c>
      <c r="G2662" s="1679">
        <v>3.5606350123330501E-14</v>
      </c>
    </row>
    <row r="2663" spans="1:7" x14ac:dyDescent="0.3">
      <c r="A2663" s="6" t="s">
        <v>6269</v>
      </c>
      <c r="B2663" s="6" t="s">
        <v>6271</v>
      </c>
      <c r="C2663" s="1672">
        <v>18570</v>
      </c>
      <c r="D2663" s="1672">
        <v>10214860</v>
      </c>
      <c r="E2663" s="1673">
        <v>0</v>
      </c>
      <c r="F2663" s="1674">
        <v>100</v>
      </c>
      <c r="G2663" s="1675">
        <v>0</v>
      </c>
    </row>
    <row r="2664" spans="1:7" x14ac:dyDescent="0.3">
      <c r="A2664" s="3299" t="s">
        <v>484</v>
      </c>
      <c r="B2664" s="3298"/>
      <c r="C2664" s="3298"/>
      <c r="D2664" s="3298"/>
      <c r="E2664" s="3298"/>
      <c r="F2664" s="3298"/>
      <c r="G2664" s="3298"/>
    </row>
    <row r="2665" spans="1:7" x14ac:dyDescent="0.3">
      <c r="A2665" s="11" t="s">
        <v>964</v>
      </c>
      <c r="B2665" s="11" t="s">
        <v>1040</v>
      </c>
      <c r="C2665" s="1684">
        <v>18008</v>
      </c>
      <c r="D2665" s="1684">
        <v>9838617.0972150695</v>
      </c>
      <c r="E2665" s="1685">
        <v>44852.676168514401</v>
      </c>
      <c r="F2665" s="1686">
        <v>96.3167101381229</v>
      </c>
      <c r="G2665" s="1687">
        <v>0.43909242190831999</v>
      </c>
    </row>
    <row r="2666" spans="1:7" x14ac:dyDescent="0.3">
      <c r="A2666" s="6" t="s">
        <v>962</v>
      </c>
      <c r="B2666" s="6" t="s">
        <v>1039</v>
      </c>
      <c r="C2666" s="1680">
        <v>562</v>
      </c>
      <c r="D2666" s="1680">
        <v>376242.90278493997</v>
      </c>
      <c r="E2666" s="1681">
        <v>44852.6761685448</v>
      </c>
      <c r="F2666" s="1682">
        <v>3.6832898618771002</v>
      </c>
      <c r="G2666" s="1683">
        <v>0.43909242190831499</v>
      </c>
    </row>
    <row r="2667" spans="1:7" x14ac:dyDescent="0.3">
      <c r="A2667" s="11" t="s">
        <v>6269</v>
      </c>
      <c r="B2667" s="11" t="s">
        <v>6270</v>
      </c>
      <c r="C2667" s="1684">
        <v>18570</v>
      </c>
      <c r="D2667" s="1684">
        <v>10214860</v>
      </c>
      <c r="E2667" s="1685">
        <v>1.64133360249039E-7</v>
      </c>
      <c r="F2667" s="1686">
        <v>100</v>
      </c>
      <c r="G2667" s="1687">
        <v>0</v>
      </c>
    </row>
    <row r="2668" spans="1:7" x14ac:dyDescent="0.3">
      <c r="A2668" s="6" t="s">
        <v>6269</v>
      </c>
      <c r="B2668" s="6" t="s">
        <v>6271</v>
      </c>
      <c r="C2668" s="1680">
        <v>18570</v>
      </c>
      <c r="D2668" s="1680">
        <v>10214860</v>
      </c>
      <c r="E2668" s="1681">
        <v>0</v>
      </c>
      <c r="F2668" s="1682">
        <v>100</v>
      </c>
      <c r="G2668" s="1683">
        <v>0</v>
      </c>
    </row>
    <row r="2669" spans="1:7" x14ac:dyDescent="0.3">
      <c r="A2669" s="3299" t="s">
        <v>482</v>
      </c>
      <c r="B2669" s="3298"/>
      <c r="C2669" s="3298"/>
      <c r="D2669" s="3298"/>
      <c r="E2669" s="3298"/>
      <c r="F2669" s="3298"/>
      <c r="G2669" s="3298"/>
    </row>
    <row r="2670" spans="1:7" x14ac:dyDescent="0.3">
      <c r="A2670" s="11" t="s">
        <v>964</v>
      </c>
      <c r="B2670" s="11" t="s">
        <v>1040</v>
      </c>
      <c r="C2670" s="1692">
        <v>18384</v>
      </c>
      <c r="D2670" s="1692">
        <v>10089545.7746097</v>
      </c>
      <c r="E2670" s="1693">
        <v>29112.016235591302</v>
      </c>
      <c r="F2670" s="1694">
        <v>98.7732164181364</v>
      </c>
      <c r="G2670" s="1695">
        <v>0.28499672277112098</v>
      </c>
    </row>
    <row r="2671" spans="1:7" x14ac:dyDescent="0.3">
      <c r="A2671" s="6" t="s">
        <v>962</v>
      </c>
      <c r="B2671" s="6" t="s">
        <v>1039</v>
      </c>
      <c r="C2671" s="1688">
        <v>186</v>
      </c>
      <c r="D2671" s="1688">
        <v>125314.22539034999</v>
      </c>
      <c r="E2671" s="1689">
        <v>29112.0162356582</v>
      </c>
      <c r="F2671" s="1690">
        <v>1.2267835818635799</v>
      </c>
      <c r="G2671" s="1691">
        <v>0.28499672277111399</v>
      </c>
    </row>
    <row r="2672" spans="1:7" x14ac:dyDescent="0.3">
      <c r="A2672" s="11" t="s">
        <v>6269</v>
      </c>
      <c r="B2672" s="11" t="s">
        <v>6270</v>
      </c>
      <c r="C2672" s="1692">
        <v>18570</v>
      </c>
      <c r="D2672" s="1692">
        <v>10214860</v>
      </c>
      <c r="E2672" s="1693">
        <v>3.3104966634761702E-7</v>
      </c>
      <c r="F2672" s="1694">
        <v>100</v>
      </c>
      <c r="G2672" s="1695">
        <v>2.0557335828564899E-14</v>
      </c>
    </row>
    <row r="2673" spans="1:7" x14ac:dyDescent="0.3">
      <c r="A2673" s="6" t="s">
        <v>6269</v>
      </c>
      <c r="B2673" s="6" t="s">
        <v>6271</v>
      </c>
      <c r="C2673" s="1688">
        <v>18570</v>
      </c>
      <c r="D2673" s="1688">
        <v>10214860</v>
      </c>
      <c r="E2673" s="1689">
        <v>0</v>
      </c>
      <c r="F2673" s="1690">
        <v>100</v>
      </c>
      <c r="G2673" s="1691">
        <v>0</v>
      </c>
    </row>
    <row r="2674" spans="1:7" x14ac:dyDescent="0.3">
      <c r="A2674" s="3299" t="s">
        <v>476</v>
      </c>
      <c r="B2674" s="3298"/>
      <c r="C2674" s="3298"/>
      <c r="D2674" s="3298"/>
      <c r="E2674" s="3298"/>
      <c r="F2674" s="3298"/>
      <c r="G2674" s="3298"/>
    </row>
    <row r="2675" spans="1:7" x14ac:dyDescent="0.3">
      <c r="A2675" s="11" t="s">
        <v>964</v>
      </c>
      <c r="B2675" s="11" t="s">
        <v>1040</v>
      </c>
      <c r="C2675" s="1700">
        <v>18108</v>
      </c>
      <c r="D2675" s="1700">
        <v>9926174.5177510697</v>
      </c>
      <c r="E2675" s="1701">
        <v>35015.234414015198</v>
      </c>
      <c r="F2675" s="1702">
        <v>97.173867461238501</v>
      </c>
      <c r="G2675" s="1703">
        <v>0.34278721797551698</v>
      </c>
    </row>
    <row r="2676" spans="1:7" x14ac:dyDescent="0.3">
      <c r="A2676" s="6" t="s">
        <v>962</v>
      </c>
      <c r="B2676" s="6" t="s">
        <v>1039</v>
      </c>
      <c r="C2676" s="1696">
        <v>462</v>
      </c>
      <c r="D2676" s="1696">
        <v>288685.482248938</v>
      </c>
      <c r="E2676" s="1697">
        <v>35015.234414096099</v>
      </c>
      <c r="F2676" s="1698">
        <v>2.8261325387615401</v>
      </c>
      <c r="G2676" s="1699">
        <v>0.34278721797551598</v>
      </c>
    </row>
    <row r="2677" spans="1:7" x14ac:dyDescent="0.3">
      <c r="A2677" s="11" t="s">
        <v>6269</v>
      </c>
      <c r="B2677" s="11" t="s">
        <v>6270</v>
      </c>
      <c r="C2677" s="1700">
        <v>18570</v>
      </c>
      <c r="D2677" s="1700">
        <v>10214860</v>
      </c>
      <c r="E2677" s="1701">
        <v>1.46681721611457E-7</v>
      </c>
      <c r="F2677" s="1702">
        <v>100</v>
      </c>
      <c r="G2677" s="1703">
        <v>2.5177491625509499E-14</v>
      </c>
    </row>
    <row r="2678" spans="1:7" x14ac:dyDescent="0.3">
      <c r="A2678" s="6" t="s">
        <v>6269</v>
      </c>
      <c r="B2678" s="6" t="s">
        <v>6271</v>
      </c>
      <c r="C2678" s="1696">
        <v>18570</v>
      </c>
      <c r="D2678" s="1696">
        <v>10214860</v>
      </c>
      <c r="E2678" s="1697">
        <v>0</v>
      </c>
      <c r="F2678" s="1698">
        <v>100</v>
      </c>
      <c r="G2678" s="1699">
        <v>0</v>
      </c>
    </row>
    <row r="2679" spans="1:7" x14ac:dyDescent="0.3">
      <c r="A2679" s="3299" t="s">
        <v>919</v>
      </c>
      <c r="B2679" s="3298"/>
      <c r="C2679" s="3298"/>
      <c r="D2679" s="3298"/>
      <c r="E2679" s="3298"/>
      <c r="F2679" s="3298"/>
      <c r="G2679" s="3298"/>
    </row>
    <row r="2680" spans="1:7" x14ac:dyDescent="0.3">
      <c r="A2680" s="11" t="s">
        <v>962</v>
      </c>
      <c r="B2680" s="11" t="s">
        <v>6163</v>
      </c>
      <c r="C2680" s="1708">
        <v>4354</v>
      </c>
      <c r="D2680" s="1708">
        <v>2506817.3001493602</v>
      </c>
      <c r="E2680" s="1709">
        <v>53949.130846339001</v>
      </c>
      <c r="F2680" s="1710">
        <v>53.766998489152101</v>
      </c>
      <c r="G2680" s="1711">
        <v>1.3098034902375599</v>
      </c>
    </row>
    <row r="2681" spans="1:7" x14ac:dyDescent="0.3">
      <c r="A2681" s="6" t="s">
        <v>964</v>
      </c>
      <c r="B2681" s="6" t="s">
        <v>6164</v>
      </c>
      <c r="C2681" s="1704">
        <v>2173</v>
      </c>
      <c r="D2681" s="1704">
        <v>1307308.9823658201</v>
      </c>
      <c r="E2681" s="1705">
        <v>50327.838101372603</v>
      </c>
      <c r="F2681" s="1706">
        <v>28.039570364992201</v>
      </c>
      <c r="G2681" s="1707">
        <v>0.93796116250814399</v>
      </c>
    </row>
    <row r="2682" spans="1:7" x14ac:dyDescent="0.3">
      <c r="A2682" s="11" t="s">
        <v>966</v>
      </c>
      <c r="B2682" s="11" t="s">
        <v>6165</v>
      </c>
      <c r="C2682" s="1708">
        <v>1544</v>
      </c>
      <c r="D2682" s="1708">
        <v>848245.37777962605</v>
      </c>
      <c r="E2682" s="1709">
        <v>26840.655368515301</v>
      </c>
      <c r="F2682" s="1710">
        <v>18.193431145855701</v>
      </c>
      <c r="G2682" s="1711">
        <v>0.51895201654075196</v>
      </c>
    </row>
    <row r="2683" spans="1:7" x14ac:dyDescent="0.3">
      <c r="A2683" s="6" t="s">
        <v>960</v>
      </c>
      <c r="B2683" s="6" t="s">
        <v>961</v>
      </c>
      <c r="C2683" s="1704">
        <v>10488</v>
      </c>
      <c r="D2683" s="1704">
        <v>5547728.8209013604</v>
      </c>
      <c r="E2683" s="1705">
        <v>39113.143224177496</v>
      </c>
      <c r="F2683" s="1706">
        <v>99.9142813363556</v>
      </c>
      <c r="G2683" s="1707">
        <v>4.7139140873747203E-2</v>
      </c>
    </row>
    <row r="2684" spans="1:7" x14ac:dyDescent="0.3">
      <c r="A2684" s="11" t="s">
        <v>958</v>
      </c>
      <c r="B2684" s="11" t="s">
        <v>959</v>
      </c>
      <c r="C2684" s="1708">
        <v>6</v>
      </c>
      <c r="D2684" s="1708">
        <v>4330.6092926603797</v>
      </c>
      <c r="E2684" s="1709">
        <v>2728.9100524359301</v>
      </c>
      <c r="F2684" s="1710">
        <v>7.7994027681115893E-2</v>
      </c>
      <c r="G2684" s="1711">
        <v>4.9269952254741699E-2</v>
      </c>
    </row>
    <row r="2685" spans="1:7" x14ac:dyDescent="0.3">
      <c r="A2685" s="6" t="s">
        <v>974</v>
      </c>
      <c r="B2685" s="6" t="s">
        <v>975</v>
      </c>
      <c r="C2685" s="1704">
        <v>1</v>
      </c>
      <c r="D2685" s="1704">
        <v>428.90951114793302</v>
      </c>
      <c r="E2685" s="1705">
        <v>428.98651572511102</v>
      </c>
      <c r="F2685" s="1706">
        <v>7.7246359633185296E-3</v>
      </c>
      <c r="G2685" s="1707">
        <v>7.7253068740982603E-3</v>
      </c>
    </row>
    <row r="2686" spans="1:7" x14ac:dyDescent="0.3">
      <c r="A2686" s="11" t="s">
        <v>6269</v>
      </c>
      <c r="B2686" s="11" t="s">
        <v>6270</v>
      </c>
      <c r="C2686" s="1708">
        <v>8071</v>
      </c>
      <c r="D2686" s="1708">
        <v>4662371.6602948001</v>
      </c>
      <c r="E2686" s="1709">
        <v>37555.592680298301</v>
      </c>
      <c r="F2686" s="1710">
        <v>45.643030450684797</v>
      </c>
      <c r="G2686" s="1711">
        <v>0.367656460101139</v>
      </c>
    </row>
    <row r="2687" spans="1:7" x14ac:dyDescent="0.3">
      <c r="A2687" s="6" t="s">
        <v>6269</v>
      </c>
      <c r="B2687" s="6" t="s">
        <v>6271</v>
      </c>
      <c r="C2687" s="1704">
        <v>18566</v>
      </c>
      <c r="D2687" s="1704">
        <v>10214860</v>
      </c>
      <c r="E2687" s="1705">
        <v>0</v>
      </c>
      <c r="F2687" s="1706">
        <v>100</v>
      </c>
      <c r="G2687" s="1707">
        <v>0</v>
      </c>
    </row>
    <row r="2688" spans="1:7" x14ac:dyDescent="0.3">
      <c r="A2688" s="3299" t="s">
        <v>668</v>
      </c>
      <c r="B2688" s="3298"/>
      <c r="C2688" s="3298"/>
      <c r="D2688" s="3298"/>
      <c r="E2688" s="3298"/>
      <c r="F2688" s="3298"/>
      <c r="G2688" s="3298"/>
    </row>
    <row r="2689" spans="1:7" x14ac:dyDescent="0.3">
      <c r="A2689" s="11" t="s">
        <v>962</v>
      </c>
      <c r="B2689" s="11" t="s">
        <v>6054</v>
      </c>
      <c r="C2689" s="1716">
        <v>3378</v>
      </c>
      <c r="D2689" s="1716">
        <v>2011000.9009967099</v>
      </c>
      <c r="E2689" s="1717">
        <v>28091.4834487716</v>
      </c>
      <c r="F2689" s="1718">
        <v>100</v>
      </c>
      <c r="G2689" s="1719">
        <v>0</v>
      </c>
    </row>
    <row r="2690" spans="1:7" x14ac:dyDescent="0.3">
      <c r="A2690" s="6" t="s">
        <v>960</v>
      </c>
      <c r="B2690" s="6" t="s">
        <v>961</v>
      </c>
      <c r="C2690" s="1712">
        <v>15192</v>
      </c>
      <c r="D2690" s="1712">
        <v>8203859.0990032703</v>
      </c>
      <c r="E2690" s="1713">
        <v>28091.4834487439</v>
      </c>
      <c r="F2690" s="1714">
        <v>100</v>
      </c>
      <c r="G2690" s="1715">
        <v>0</v>
      </c>
    </row>
    <row r="2691" spans="1:7" x14ac:dyDescent="0.3">
      <c r="A2691" s="11" t="s">
        <v>6269</v>
      </c>
      <c r="B2691" s="11" t="s">
        <v>6270</v>
      </c>
      <c r="C2691" s="1716">
        <v>3378</v>
      </c>
      <c r="D2691" s="1716">
        <v>2011000.9009967099</v>
      </c>
      <c r="E2691" s="1717">
        <v>28091.4834487716</v>
      </c>
      <c r="F2691" s="1718">
        <v>19.687013830798598</v>
      </c>
      <c r="G2691" s="1719">
        <v>0.27500605440276599</v>
      </c>
    </row>
    <row r="2692" spans="1:7" x14ac:dyDescent="0.3">
      <c r="A2692" s="6" t="s">
        <v>6269</v>
      </c>
      <c r="B2692" s="6" t="s">
        <v>6271</v>
      </c>
      <c r="C2692" s="1712">
        <v>18570</v>
      </c>
      <c r="D2692" s="1712">
        <v>10214860</v>
      </c>
      <c r="E2692" s="1713">
        <v>0</v>
      </c>
      <c r="F2692" s="1714">
        <v>100</v>
      </c>
      <c r="G2692" s="1715">
        <v>0</v>
      </c>
    </row>
    <row r="2693" spans="1:7" x14ac:dyDescent="0.3">
      <c r="A2693" s="3299" t="s">
        <v>672</v>
      </c>
      <c r="B2693" s="3298"/>
      <c r="C2693" s="3298"/>
      <c r="D2693" s="3298"/>
      <c r="E2693" s="3298"/>
      <c r="F2693" s="3298"/>
      <c r="G2693" s="3298"/>
    </row>
    <row r="2694" spans="1:7" x14ac:dyDescent="0.3">
      <c r="A2694" s="11" t="s">
        <v>964</v>
      </c>
      <c r="B2694" s="11" t="s">
        <v>6055</v>
      </c>
      <c r="C2694" s="1724">
        <v>2938</v>
      </c>
      <c r="D2694" s="1724">
        <v>1615528.03351101</v>
      </c>
      <c r="E2694" s="1725">
        <v>44413.058960043403</v>
      </c>
      <c r="F2694" s="1726">
        <v>100</v>
      </c>
      <c r="G2694" s="1727">
        <v>0</v>
      </c>
    </row>
    <row r="2695" spans="1:7" x14ac:dyDescent="0.3">
      <c r="A2695" s="6" t="s">
        <v>960</v>
      </c>
      <c r="B2695" s="6" t="s">
        <v>961</v>
      </c>
      <c r="C2695" s="1720">
        <v>15632</v>
      </c>
      <c r="D2695" s="1720">
        <v>8599331.9664889891</v>
      </c>
      <c r="E2695" s="1721">
        <v>44413.058960017901</v>
      </c>
      <c r="F2695" s="1722">
        <v>100</v>
      </c>
      <c r="G2695" s="1723">
        <v>0</v>
      </c>
    </row>
    <row r="2696" spans="1:7" x14ac:dyDescent="0.3">
      <c r="A2696" s="11" t="s">
        <v>6269</v>
      </c>
      <c r="B2696" s="11" t="s">
        <v>6270</v>
      </c>
      <c r="C2696" s="1724">
        <v>2938</v>
      </c>
      <c r="D2696" s="1724">
        <v>1615528.03351101</v>
      </c>
      <c r="E2696" s="1725">
        <v>44413.058960043403</v>
      </c>
      <c r="F2696" s="1726">
        <v>15.815469164638699</v>
      </c>
      <c r="G2696" s="1727">
        <v>0.43478871918008699</v>
      </c>
    </row>
    <row r="2697" spans="1:7" x14ac:dyDescent="0.3">
      <c r="A2697" s="6" t="s">
        <v>6269</v>
      </c>
      <c r="B2697" s="6" t="s">
        <v>6271</v>
      </c>
      <c r="C2697" s="1720">
        <v>18570</v>
      </c>
      <c r="D2697" s="1720">
        <v>10214860</v>
      </c>
      <c r="E2697" s="1721">
        <v>0</v>
      </c>
      <c r="F2697" s="1722">
        <v>100</v>
      </c>
      <c r="G2697" s="1723">
        <v>0</v>
      </c>
    </row>
    <row r="2698" spans="1:7" x14ac:dyDescent="0.3">
      <c r="A2698" s="3299" t="s">
        <v>674</v>
      </c>
      <c r="B2698" s="3298"/>
      <c r="C2698" s="3298"/>
      <c r="D2698" s="3298"/>
      <c r="E2698" s="3298"/>
      <c r="F2698" s="3298"/>
      <c r="G2698" s="3298"/>
    </row>
    <row r="2699" spans="1:7" x14ac:dyDescent="0.3">
      <c r="A2699" s="11" t="s">
        <v>966</v>
      </c>
      <c r="B2699" s="11" t="s">
        <v>6056</v>
      </c>
      <c r="C2699" s="1732">
        <v>2223</v>
      </c>
      <c r="D2699" s="1732">
        <v>1356938.80027438</v>
      </c>
      <c r="E2699" s="1733">
        <v>50206.886290727802</v>
      </c>
      <c r="F2699" s="1734">
        <v>100</v>
      </c>
      <c r="G2699" s="1735">
        <v>0</v>
      </c>
    </row>
    <row r="2700" spans="1:7" x14ac:dyDescent="0.3">
      <c r="A2700" s="6" t="s">
        <v>960</v>
      </c>
      <c r="B2700" s="6" t="s">
        <v>961</v>
      </c>
      <c r="C2700" s="1728">
        <v>16347</v>
      </c>
      <c r="D2700" s="1728">
        <v>8857921.1997256</v>
      </c>
      <c r="E2700" s="1729">
        <v>50206.886290752802</v>
      </c>
      <c r="F2700" s="1730">
        <v>100</v>
      </c>
      <c r="G2700" s="1731">
        <v>0</v>
      </c>
    </row>
    <row r="2701" spans="1:7" x14ac:dyDescent="0.3">
      <c r="A2701" s="11" t="s">
        <v>6269</v>
      </c>
      <c r="B2701" s="11" t="s">
        <v>6270</v>
      </c>
      <c r="C2701" s="1732">
        <v>2223</v>
      </c>
      <c r="D2701" s="1732">
        <v>1356938.80027438</v>
      </c>
      <c r="E2701" s="1733">
        <v>50206.886290727802</v>
      </c>
      <c r="F2701" s="1734">
        <v>13.283968652280899</v>
      </c>
      <c r="G2701" s="1735">
        <v>0.49150831524593802</v>
      </c>
    </row>
    <row r="2702" spans="1:7" x14ac:dyDescent="0.3">
      <c r="A2702" s="6" t="s">
        <v>6269</v>
      </c>
      <c r="B2702" s="6" t="s">
        <v>6271</v>
      </c>
      <c r="C2702" s="1728">
        <v>18570</v>
      </c>
      <c r="D2702" s="1728">
        <v>10214860</v>
      </c>
      <c r="E2702" s="1729">
        <v>0</v>
      </c>
      <c r="F2702" s="1730">
        <v>100</v>
      </c>
      <c r="G2702" s="1731">
        <v>0</v>
      </c>
    </row>
    <row r="2703" spans="1:7" x14ac:dyDescent="0.3">
      <c r="A2703" s="3299" t="s">
        <v>677</v>
      </c>
      <c r="B2703" s="3298"/>
      <c r="C2703" s="3298"/>
      <c r="D2703" s="3298"/>
      <c r="E2703" s="3298"/>
      <c r="F2703" s="3298"/>
      <c r="G2703" s="3298"/>
    </row>
    <row r="2704" spans="1:7" x14ac:dyDescent="0.3">
      <c r="A2704" s="11" t="s">
        <v>968</v>
      </c>
      <c r="B2704" s="11" t="s">
        <v>6057</v>
      </c>
      <c r="C2704" s="1740">
        <v>2748</v>
      </c>
      <c r="D2704" s="1740">
        <v>1693876.8141429599</v>
      </c>
      <c r="E2704" s="1741">
        <v>54834.248109697197</v>
      </c>
      <c r="F2704" s="1742">
        <v>100</v>
      </c>
      <c r="G2704" s="1743">
        <v>0</v>
      </c>
    </row>
    <row r="2705" spans="1:7" x14ac:dyDescent="0.3">
      <c r="A2705" s="6" t="s">
        <v>960</v>
      </c>
      <c r="B2705" s="6" t="s">
        <v>961</v>
      </c>
      <c r="C2705" s="1736">
        <v>15822</v>
      </c>
      <c r="D2705" s="1736">
        <v>8520983.1858570594</v>
      </c>
      <c r="E2705" s="1737">
        <v>54834.248109725901</v>
      </c>
      <c r="F2705" s="1738">
        <v>100</v>
      </c>
      <c r="G2705" s="1739">
        <v>0</v>
      </c>
    </row>
    <row r="2706" spans="1:7" x14ac:dyDescent="0.3">
      <c r="A2706" s="11" t="s">
        <v>6269</v>
      </c>
      <c r="B2706" s="11" t="s">
        <v>6270</v>
      </c>
      <c r="C2706" s="1740">
        <v>2748</v>
      </c>
      <c r="D2706" s="1740">
        <v>1693876.8141429599</v>
      </c>
      <c r="E2706" s="1741">
        <v>54834.248109697197</v>
      </c>
      <c r="F2706" s="1742">
        <v>16.5824770397534</v>
      </c>
      <c r="G2706" s="1743">
        <v>0.536808611275161</v>
      </c>
    </row>
    <row r="2707" spans="1:7" x14ac:dyDescent="0.3">
      <c r="A2707" s="6" t="s">
        <v>6269</v>
      </c>
      <c r="B2707" s="6" t="s">
        <v>6271</v>
      </c>
      <c r="C2707" s="1736">
        <v>18570</v>
      </c>
      <c r="D2707" s="1736">
        <v>10214860</v>
      </c>
      <c r="E2707" s="1737">
        <v>0</v>
      </c>
      <c r="F2707" s="1738">
        <v>100</v>
      </c>
      <c r="G2707" s="1739">
        <v>0</v>
      </c>
    </row>
    <row r="2708" spans="1:7" x14ac:dyDescent="0.3">
      <c r="A2708" s="3299" t="s">
        <v>679</v>
      </c>
      <c r="B2708" s="3298"/>
      <c r="C2708" s="3298"/>
      <c r="D2708" s="3298"/>
      <c r="E2708" s="3298"/>
      <c r="F2708" s="3298"/>
      <c r="G2708" s="3298"/>
    </row>
    <row r="2709" spans="1:7" x14ac:dyDescent="0.3">
      <c r="A2709" s="11" t="s">
        <v>970</v>
      </c>
      <c r="B2709" s="11" t="s">
        <v>6058</v>
      </c>
      <c r="C2709" s="1748">
        <v>2193</v>
      </c>
      <c r="D2709" s="1748">
        <v>1316260.13047455</v>
      </c>
      <c r="E2709" s="1749">
        <v>47754.434917455001</v>
      </c>
      <c r="F2709" s="1750">
        <v>100</v>
      </c>
      <c r="G2709" s="1751">
        <v>0</v>
      </c>
    </row>
    <row r="2710" spans="1:7" x14ac:dyDescent="0.3">
      <c r="A2710" s="6" t="s">
        <v>960</v>
      </c>
      <c r="B2710" s="6" t="s">
        <v>961</v>
      </c>
      <c r="C2710" s="1744">
        <v>16377</v>
      </c>
      <c r="D2710" s="1744">
        <v>8898599.8695254307</v>
      </c>
      <c r="E2710" s="1745">
        <v>47754.434917426799</v>
      </c>
      <c r="F2710" s="1746">
        <v>100</v>
      </c>
      <c r="G2710" s="1747">
        <v>0</v>
      </c>
    </row>
    <row r="2711" spans="1:7" x14ac:dyDescent="0.3">
      <c r="A2711" s="11" t="s">
        <v>6269</v>
      </c>
      <c r="B2711" s="11" t="s">
        <v>6270</v>
      </c>
      <c r="C2711" s="1748">
        <v>2193</v>
      </c>
      <c r="D2711" s="1748">
        <v>1316260.13047455</v>
      </c>
      <c r="E2711" s="1749">
        <v>47754.434917455001</v>
      </c>
      <c r="F2711" s="1750">
        <v>12.885738330966401</v>
      </c>
      <c r="G2711" s="1751">
        <v>0.46749965165896701</v>
      </c>
    </row>
    <row r="2712" spans="1:7" x14ac:dyDescent="0.3">
      <c r="A2712" s="6" t="s">
        <v>6269</v>
      </c>
      <c r="B2712" s="6" t="s">
        <v>6271</v>
      </c>
      <c r="C2712" s="1744">
        <v>18570</v>
      </c>
      <c r="D2712" s="1744">
        <v>10214860</v>
      </c>
      <c r="E2712" s="1745">
        <v>0</v>
      </c>
      <c r="F2712" s="1746">
        <v>100</v>
      </c>
      <c r="G2712" s="1747">
        <v>0</v>
      </c>
    </row>
    <row r="2713" spans="1:7" x14ac:dyDescent="0.3">
      <c r="A2713" s="3299" t="s">
        <v>681</v>
      </c>
      <c r="B2713" s="3298"/>
      <c r="C2713" s="3298"/>
      <c r="D2713" s="3298"/>
      <c r="E2713" s="3298"/>
      <c r="F2713" s="3298"/>
      <c r="G2713" s="3298"/>
    </row>
    <row r="2714" spans="1:7" x14ac:dyDescent="0.3">
      <c r="A2714" s="11" t="s">
        <v>972</v>
      </c>
      <c r="B2714" s="11" t="s">
        <v>6059</v>
      </c>
      <c r="C2714" s="1756">
        <v>1608</v>
      </c>
      <c r="D2714" s="1756">
        <v>1008703.46509898</v>
      </c>
      <c r="E2714" s="1757">
        <v>43136.6737389029</v>
      </c>
      <c r="F2714" s="1758">
        <v>100</v>
      </c>
      <c r="G2714" s="1759">
        <v>0</v>
      </c>
    </row>
    <row r="2715" spans="1:7" x14ac:dyDescent="0.3">
      <c r="A2715" s="6" t="s">
        <v>960</v>
      </c>
      <c r="B2715" s="6" t="s">
        <v>961</v>
      </c>
      <c r="C2715" s="1752">
        <v>16962</v>
      </c>
      <c r="D2715" s="1752">
        <v>9206156.5349010192</v>
      </c>
      <c r="E2715" s="1753">
        <v>43136.6737388896</v>
      </c>
      <c r="F2715" s="1754">
        <v>100</v>
      </c>
      <c r="G2715" s="1755">
        <v>0</v>
      </c>
    </row>
    <row r="2716" spans="1:7" x14ac:dyDescent="0.3">
      <c r="A2716" s="11" t="s">
        <v>6269</v>
      </c>
      <c r="B2716" s="11" t="s">
        <v>6270</v>
      </c>
      <c r="C2716" s="1756">
        <v>1608</v>
      </c>
      <c r="D2716" s="1756">
        <v>1008703.46509898</v>
      </c>
      <c r="E2716" s="1757">
        <v>43136.6737389029</v>
      </c>
      <c r="F2716" s="1758">
        <v>9.8748633373240402</v>
      </c>
      <c r="G2716" s="1759">
        <v>0.42229334262928198</v>
      </c>
    </row>
    <row r="2717" spans="1:7" x14ac:dyDescent="0.3">
      <c r="A2717" s="6" t="s">
        <v>6269</v>
      </c>
      <c r="B2717" s="6" t="s">
        <v>6271</v>
      </c>
      <c r="C2717" s="1752">
        <v>18570</v>
      </c>
      <c r="D2717" s="1752">
        <v>10214860</v>
      </c>
      <c r="E2717" s="1753">
        <v>0</v>
      </c>
      <c r="F2717" s="1754">
        <v>100</v>
      </c>
      <c r="G2717" s="1755">
        <v>0</v>
      </c>
    </row>
    <row r="2718" spans="1:7" x14ac:dyDescent="0.3">
      <c r="A2718" s="3299" t="s">
        <v>683</v>
      </c>
      <c r="B2718" s="3298"/>
      <c r="C2718" s="3298"/>
      <c r="D2718" s="3298"/>
      <c r="E2718" s="3298"/>
      <c r="F2718" s="3298"/>
      <c r="G2718" s="3298"/>
    </row>
    <row r="2719" spans="1:7" x14ac:dyDescent="0.3">
      <c r="A2719" s="11" t="s">
        <v>981</v>
      </c>
      <c r="B2719" s="11" t="s">
        <v>6060</v>
      </c>
      <c r="C2719" s="1764">
        <v>1461</v>
      </c>
      <c r="D2719" s="1764">
        <v>955936.69948754401</v>
      </c>
      <c r="E2719" s="1765">
        <v>33994.637573343403</v>
      </c>
      <c r="F2719" s="1766">
        <v>100</v>
      </c>
      <c r="G2719" s="1767">
        <v>0</v>
      </c>
    </row>
    <row r="2720" spans="1:7" x14ac:dyDescent="0.3">
      <c r="A2720" s="6" t="s">
        <v>960</v>
      </c>
      <c r="B2720" s="6" t="s">
        <v>961</v>
      </c>
      <c r="C2720" s="1760">
        <v>17109</v>
      </c>
      <c r="D2720" s="1760">
        <v>9258923.3005124498</v>
      </c>
      <c r="E2720" s="1761">
        <v>33994.637573299602</v>
      </c>
      <c r="F2720" s="1762">
        <v>100</v>
      </c>
      <c r="G2720" s="1763">
        <v>0</v>
      </c>
    </row>
    <row r="2721" spans="1:7" x14ac:dyDescent="0.3">
      <c r="A2721" s="11" t="s">
        <v>6269</v>
      </c>
      <c r="B2721" s="11" t="s">
        <v>6270</v>
      </c>
      <c r="C2721" s="1764">
        <v>1461</v>
      </c>
      <c r="D2721" s="1764">
        <v>955936.69948754401</v>
      </c>
      <c r="E2721" s="1765">
        <v>33994.637573343403</v>
      </c>
      <c r="F2721" s="1766">
        <v>9.3582946754781204</v>
      </c>
      <c r="G2721" s="1767">
        <v>0.33279592254166301</v>
      </c>
    </row>
    <row r="2722" spans="1:7" x14ac:dyDescent="0.3">
      <c r="A2722" s="6" t="s">
        <v>6269</v>
      </c>
      <c r="B2722" s="6" t="s">
        <v>6271</v>
      </c>
      <c r="C2722" s="1760">
        <v>18570</v>
      </c>
      <c r="D2722" s="1760">
        <v>10214860</v>
      </c>
      <c r="E2722" s="1761">
        <v>0</v>
      </c>
      <c r="F2722" s="1762">
        <v>100</v>
      </c>
      <c r="G2722" s="1763">
        <v>0</v>
      </c>
    </row>
    <row r="2723" spans="1:7" x14ac:dyDescent="0.3">
      <c r="A2723" s="3299" t="s">
        <v>687</v>
      </c>
      <c r="B2723" s="3298"/>
      <c r="C2723" s="3298"/>
      <c r="D2723" s="3298"/>
      <c r="E2723" s="3298"/>
      <c r="F2723" s="3298"/>
      <c r="G2723" s="3298"/>
    </row>
    <row r="2724" spans="1:7" x14ac:dyDescent="0.3">
      <c r="A2724" s="11" t="s">
        <v>991</v>
      </c>
      <c r="B2724" s="11" t="s">
        <v>6061</v>
      </c>
      <c r="C2724" s="1772">
        <v>3012</v>
      </c>
      <c r="D2724" s="1772">
        <v>1608257.1533549901</v>
      </c>
      <c r="E2724" s="1773">
        <v>20905.921701425901</v>
      </c>
      <c r="F2724" s="1774">
        <v>100</v>
      </c>
      <c r="G2724" s="1775">
        <v>0</v>
      </c>
    </row>
    <row r="2725" spans="1:7" x14ac:dyDescent="0.3">
      <c r="A2725" s="6" t="s">
        <v>960</v>
      </c>
      <c r="B2725" s="6" t="s">
        <v>961</v>
      </c>
      <c r="C2725" s="1768">
        <v>15558</v>
      </c>
      <c r="D2725" s="1768">
        <v>8606602.8466450199</v>
      </c>
      <c r="E2725" s="1769">
        <v>20905.921701442599</v>
      </c>
      <c r="F2725" s="1770">
        <v>100</v>
      </c>
      <c r="G2725" s="1771">
        <v>0</v>
      </c>
    </row>
    <row r="2726" spans="1:7" x14ac:dyDescent="0.3">
      <c r="A2726" s="11" t="s">
        <v>6269</v>
      </c>
      <c r="B2726" s="11" t="s">
        <v>6270</v>
      </c>
      <c r="C2726" s="1772">
        <v>3012</v>
      </c>
      <c r="D2726" s="1772">
        <v>1608257.1533549901</v>
      </c>
      <c r="E2726" s="1773">
        <v>20905.921701425901</v>
      </c>
      <c r="F2726" s="1774">
        <v>15.7442897245287</v>
      </c>
      <c r="G2726" s="1775">
        <v>0.20466185245249</v>
      </c>
    </row>
    <row r="2727" spans="1:7" x14ac:dyDescent="0.3">
      <c r="A2727" s="6" t="s">
        <v>6269</v>
      </c>
      <c r="B2727" s="6" t="s">
        <v>6271</v>
      </c>
      <c r="C2727" s="1768">
        <v>18570</v>
      </c>
      <c r="D2727" s="1768">
        <v>10214860</v>
      </c>
      <c r="E2727" s="1769">
        <v>0</v>
      </c>
      <c r="F2727" s="1770">
        <v>100</v>
      </c>
      <c r="G2727" s="1771">
        <v>0</v>
      </c>
    </row>
    <row r="2728" spans="1:7" x14ac:dyDescent="0.3">
      <c r="A2728" s="3299" t="s">
        <v>685</v>
      </c>
      <c r="B2728" s="3298"/>
      <c r="C2728" s="3298"/>
      <c r="D2728" s="3298"/>
      <c r="E2728" s="3298"/>
      <c r="F2728" s="3298"/>
      <c r="G2728" s="3298"/>
    </row>
    <row r="2729" spans="1:7" x14ac:dyDescent="0.3">
      <c r="A2729" s="11" t="s">
        <v>960</v>
      </c>
      <c r="B2729" s="11" t="s">
        <v>961</v>
      </c>
      <c r="C2729" s="1780">
        <v>18548</v>
      </c>
      <c r="D2729" s="1780">
        <v>10209792.1486209</v>
      </c>
      <c r="E2729" s="1781">
        <v>867.88608185979501</v>
      </c>
      <c r="F2729" s="1782">
        <v>99.950387461217403</v>
      </c>
      <c r="G2729" s="1783">
        <v>8.4963091203454806E-3</v>
      </c>
    </row>
    <row r="2730" spans="1:7" x14ac:dyDescent="0.3">
      <c r="A2730" s="6" t="s">
        <v>956</v>
      </c>
      <c r="B2730" s="6" t="s">
        <v>957</v>
      </c>
      <c r="C2730" s="1776">
        <v>22</v>
      </c>
      <c r="D2730" s="1776">
        <v>5067.8513790844299</v>
      </c>
      <c r="E2730" s="1777">
        <v>867.886081809713</v>
      </c>
      <c r="F2730" s="1778">
        <v>4.9612538782562103E-2</v>
      </c>
      <c r="G2730" s="1779">
        <v>8.4963091203377802E-3</v>
      </c>
    </row>
    <row r="2731" spans="1:7" x14ac:dyDescent="0.3">
      <c r="A2731" s="11" t="s">
        <v>6269</v>
      </c>
      <c r="B2731" s="11" t="s">
        <v>6270</v>
      </c>
      <c r="C2731" s="1780">
        <v>0</v>
      </c>
      <c r="D2731" s="1780">
        <v>0</v>
      </c>
      <c r="E2731" s="1781">
        <v>0</v>
      </c>
      <c r="F2731" s="1782">
        <v>0</v>
      </c>
      <c r="G2731" s="1783">
        <v>0</v>
      </c>
    </row>
    <row r="2732" spans="1:7" x14ac:dyDescent="0.3">
      <c r="A2732" s="6" t="s">
        <v>6269</v>
      </c>
      <c r="B2732" s="6" t="s">
        <v>6271</v>
      </c>
      <c r="C2732" s="1776">
        <v>18570</v>
      </c>
      <c r="D2732" s="1776">
        <v>10214860</v>
      </c>
      <c r="E2732" s="1777">
        <v>0</v>
      </c>
      <c r="F2732" s="1778">
        <v>100</v>
      </c>
      <c r="G2732" s="1779">
        <v>0</v>
      </c>
    </row>
    <row r="2733" spans="1:7" x14ac:dyDescent="0.3">
      <c r="A2733" s="3299" t="s">
        <v>689</v>
      </c>
      <c r="B2733" s="3298"/>
      <c r="C2733" s="3298"/>
      <c r="D2733" s="3298"/>
      <c r="E2733" s="3298"/>
      <c r="F2733" s="3298"/>
      <c r="G2733" s="3298"/>
    </row>
    <row r="2734" spans="1:7" x14ac:dyDescent="0.3">
      <c r="A2734" s="11" t="s">
        <v>960</v>
      </c>
      <c r="B2734" s="11" t="s">
        <v>961</v>
      </c>
      <c r="C2734" s="1788">
        <v>18564</v>
      </c>
      <c r="D2734" s="1788">
        <v>10212953.7392857</v>
      </c>
      <c r="E2734" s="1789">
        <v>1053.00065738546</v>
      </c>
      <c r="F2734" s="1790">
        <v>99.981338356920304</v>
      </c>
      <c r="G2734" s="1791">
        <v>1.03085177612907E-2</v>
      </c>
    </row>
    <row r="2735" spans="1:7" x14ac:dyDescent="0.3">
      <c r="A2735" s="6" t="s">
        <v>958</v>
      </c>
      <c r="B2735" s="6" t="s">
        <v>959</v>
      </c>
      <c r="C2735" s="1784">
        <v>6</v>
      </c>
      <c r="D2735" s="1784">
        <v>1906.2607142951099</v>
      </c>
      <c r="E2735" s="1785">
        <v>1053.0006573916501</v>
      </c>
      <c r="F2735" s="1786">
        <v>1.86616430797398E-2</v>
      </c>
      <c r="G2735" s="1787">
        <v>1.0308517761297299E-2</v>
      </c>
    </row>
    <row r="2736" spans="1:7" x14ac:dyDescent="0.3">
      <c r="A2736" s="11" t="s">
        <v>6269</v>
      </c>
      <c r="B2736" s="11" t="s">
        <v>6270</v>
      </c>
      <c r="C2736" s="1788">
        <v>0</v>
      </c>
      <c r="D2736" s="1788">
        <v>0</v>
      </c>
      <c r="E2736" s="1789">
        <v>0</v>
      </c>
      <c r="F2736" s="1790">
        <v>0</v>
      </c>
      <c r="G2736" s="1791">
        <v>0</v>
      </c>
    </row>
    <row r="2737" spans="1:7" x14ac:dyDescent="0.3">
      <c r="A2737" s="6" t="s">
        <v>6269</v>
      </c>
      <c r="B2737" s="6" t="s">
        <v>6271</v>
      </c>
      <c r="C2737" s="1784">
        <v>18570</v>
      </c>
      <c r="D2737" s="1784">
        <v>10214860</v>
      </c>
      <c r="E2737" s="1785">
        <v>0</v>
      </c>
      <c r="F2737" s="1786">
        <v>100</v>
      </c>
      <c r="G2737" s="1787">
        <v>0</v>
      </c>
    </row>
    <row r="2738" spans="1:7" x14ac:dyDescent="0.3">
      <c r="A2738" s="3299" t="s">
        <v>904</v>
      </c>
      <c r="B2738" s="3298"/>
      <c r="C2738" s="3298"/>
      <c r="D2738" s="3298"/>
      <c r="E2738" s="3298"/>
      <c r="F2738" s="3298"/>
      <c r="G2738" s="3298"/>
    </row>
    <row r="2739" spans="1:7" x14ac:dyDescent="0.3">
      <c r="A2739" s="11" t="s">
        <v>962</v>
      </c>
      <c r="B2739" s="11" t="s">
        <v>1039</v>
      </c>
      <c r="C2739" s="1796">
        <v>8377</v>
      </c>
      <c r="D2739" s="1796">
        <v>4837952.6399504496</v>
      </c>
      <c r="E2739" s="1797">
        <v>37561.632663909397</v>
      </c>
      <c r="F2739" s="1798">
        <v>60.371842957645498</v>
      </c>
      <c r="G2739" s="1799">
        <v>0.52743812065699502</v>
      </c>
    </row>
    <row r="2740" spans="1:7" x14ac:dyDescent="0.3">
      <c r="A2740" s="6" t="s">
        <v>964</v>
      </c>
      <c r="B2740" s="6" t="s">
        <v>1040</v>
      </c>
      <c r="C2740" s="1792">
        <v>7262</v>
      </c>
      <c r="D2740" s="1792">
        <v>3175638.4696411001</v>
      </c>
      <c r="E2740" s="1793">
        <v>46671.628903807199</v>
      </c>
      <c r="F2740" s="1794">
        <v>39.628157042354502</v>
      </c>
      <c r="G2740" s="1795">
        <v>0.52743812065699902</v>
      </c>
    </row>
    <row r="2741" spans="1:7" x14ac:dyDescent="0.3">
      <c r="A2741" s="11" t="s">
        <v>960</v>
      </c>
      <c r="B2741" s="11" t="s">
        <v>961</v>
      </c>
      <c r="C2741" s="1796">
        <v>2930</v>
      </c>
      <c r="D2741" s="1796">
        <v>2201194.8463839102</v>
      </c>
      <c r="E2741" s="1797">
        <v>19233.196672435199</v>
      </c>
      <c r="F2741" s="1798">
        <v>99.996636302594993</v>
      </c>
      <c r="G2741" s="1799">
        <v>3.4061175034089401E-3</v>
      </c>
    </row>
    <row r="2742" spans="1:7" x14ac:dyDescent="0.3">
      <c r="A2742" s="6" t="s">
        <v>974</v>
      </c>
      <c r="B2742" s="6" t="s">
        <v>975</v>
      </c>
      <c r="C2742" s="1792">
        <v>1</v>
      </c>
      <c r="D2742" s="1792">
        <v>74.044024542506094</v>
      </c>
      <c r="E2742" s="1793">
        <v>74.915585593964707</v>
      </c>
      <c r="F2742" s="1794">
        <v>3.3636974049438802E-3</v>
      </c>
      <c r="G2742" s="1795">
        <v>3.4061175034127999E-3</v>
      </c>
    </row>
    <row r="2743" spans="1:7" x14ac:dyDescent="0.3">
      <c r="A2743" s="11" t="s">
        <v>6269</v>
      </c>
      <c r="B2743" s="11" t="s">
        <v>6270</v>
      </c>
      <c r="C2743" s="1796">
        <v>15639</v>
      </c>
      <c r="D2743" s="1796">
        <v>8013591.1095915502</v>
      </c>
      <c r="E2743" s="1797">
        <v>19238.939226586899</v>
      </c>
      <c r="F2743" s="1798">
        <v>78.450327362210999</v>
      </c>
      <c r="G2743" s="1799">
        <v>0.188342661833694</v>
      </c>
    </row>
    <row r="2744" spans="1:7" x14ac:dyDescent="0.3">
      <c r="A2744" s="6" t="s">
        <v>6269</v>
      </c>
      <c r="B2744" s="6" t="s">
        <v>6271</v>
      </c>
      <c r="C2744" s="1792">
        <v>18570</v>
      </c>
      <c r="D2744" s="1792">
        <v>10214860</v>
      </c>
      <c r="E2744" s="1793">
        <v>0</v>
      </c>
      <c r="F2744" s="1794">
        <v>100</v>
      </c>
      <c r="G2744" s="1795">
        <v>0</v>
      </c>
    </row>
    <row r="2745" spans="1:7" x14ac:dyDescent="0.3">
      <c r="A2745" s="3299" t="s">
        <v>138</v>
      </c>
      <c r="B2745" s="3298"/>
      <c r="C2745" s="3298"/>
      <c r="D2745" s="3298"/>
      <c r="E2745" s="3298"/>
      <c r="F2745" s="3298"/>
      <c r="G2745" s="3298"/>
    </row>
    <row r="2746" spans="1:7" x14ac:dyDescent="0.3">
      <c r="A2746" s="11" t="s">
        <v>962</v>
      </c>
      <c r="B2746" s="11" t="s">
        <v>1039</v>
      </c>
      <c r="C2746" s="1804">
        <v>11655</v>
      </c>
      <c r="D2746" s="1804">
        <v>6225107.8731859596</v>
      </c>
      <c r="E2746" s="1805">
        <v>69874.713390629098</v>
      </c>
      <c r="F2746" s="1806">
        <v>60.941685673479199</v>
      </c>
      <c r="G2746" s="1807">
        <v>0.68404964327086304</v>
      </c>
    </row>
    <row r="2747" spans="1:7" x14ac:dyDescent="0.3">
      <c r="A2747" s="6" t="s">
        <v>964</v>
      </c>
      <c r="B2747" s="6" t="s">
        <v>1040</v>
      </c>
      <c r="C2747" s="1800">
        <v>6915</v>
      </c>
      <c r="D2747" s="1800">
        <v>3989752.1268140399</v>
      </c>
      <c r="E2747" s="1801">
        <v>69874.713390611403</v>
      </c>
      <c r="F2747" s="1802">
        <v>39.058314326520801</v>
      </c>
      <c r="G2747" s="1803">
        <v>0.68404964327086404</v>
      </c>
    </row>
    <row r="2748" spans="1:7" x14ac:dyDescent="0.3">
      <c r="A2748" s="11" t="s">
        <v>6269</v>
      </c>
      <c r="B2748" s="11" t="s">
        <v>6270</v>
      </c>
      <c r="C2748" s="1804">
        <v>18570</v>
      </c>
      <c r="D2748" s="1804">
        <v>10214860</v>
      </c>
      <c r="E2748" s="1805">
        <v>8.4780320911696202E-8</v>
      </c>
      <c r="F2748" s="1806">
        <v>100</v>
      </c>
      <c r="G2748" s="1807">
        <v>1.78031750616652E-14</v>
      </c>
    </row>
    <row r="2749" spans="1:7" x14ac:dyDescent="0.3">
      <c r="A2749" s="6" t="s">
        <v>6269</v>
      </c>
      <c r="B2749" s="6" t="s">
        <v>6271</v>
      </c>
      <c r="C2749" s="1800">
        <v>18570</v>
      </c>
      <c r="D2749" s="1800">
        <v>10214860</v>
      </c>
      <c r="E2749" s="1801">
        <v>0</v>
      </c>
      <c r="F2749" s="1802">
        <v>100</v>
      </c>
      <c r="G2749" s="1803">
        <v>0</v>
      </c>
    </row>
    <row r="2750" spans="1:7" x14ac:dyDescent="0.3">
      <c r="A2750" s="3299" t="s">
        <v>432</v>
      </c>
      <c r="B2750" s="3298"/>
      <c r="C2750" s="3298"/>
      <c r="D2750" s="3298"/>
      <c r="E2750" s="3298"/>
      <c r="F2750" s="3298"/>
      <c r="G2750" s="3298"/>
    </row>
    <row r="2751" spans="1:7" x14ac:dyDescent="0.3">
      <c r="A2751" s="11" t="s">
        <v>964</v>
      </c>
      <c r="B2751" s="11" t="s">
        <v>1040</v>
      </c>
      <c r="C2751" s="1812">
        <v>18512</v>
      </c>
      <c r="D2751" s="1812">
        <v>10193778.1494813</v>
      </c>
      <c r="E2751" s="1813">
        <v>4363.8953295083402</v>
      </c>
      <c r="F2751" s="1814">
        <v>99.793615864351196</v>
      </c>
      <c r="G2751" s="1815">
        <v>4.2721048839501501E-2</v>
      </c>
    </row>
    <row r="2752" spans="1:7" x14ac:dyDescent="0.3">
      <c r="A2752" s="6" t="s">
        <v>962</v>
      </c>
      <c r="B2752" s="6" t="s">
        <v>1039</v>
      </c>
      <c r="C2752" s="1808">
        <v>58</v>
      </c>
      <c r="D2752" s="1808">
        <v>21081.850518734998</v>
      </c>
      <c r="E2752" s="1809">
        <v>4363.8953294866496</v>
      </c>
      <c r="F2752" s="1810">
        <v>0.20638413564879901</v>
      </c>
      <c r="G2752" s="1811">
        <v>4.2721048839501299E-2</v>
      </c>
    </row>
    <row r="2753" spans="1:7" x14ac:dyDescent="0.3">
      <c r="A2753" s="11" t="s">
        <v>6269</v>
      </c>
      <c r="B2753" s="11" t="s">
        <v>6270</v>
      </c>
      <c r="C2753" s="1812">
        <v>18570</v>
      </c>
      <c r="D2753" s="1812">
        <v>10214860</v>
      </c>
      <c r="E2753" s="1813">
        <v>3.5369804843128701E-7</v>
      </c>
      <c r="F2753" s="1814">
        <v>100</v>
      </c>
      <c r="G2753" s="1815">
        <v>2.29838001744816E-14</v>
      </c>
    </row>
    <row r="2754" spans="1:7" x14ac:dyDescent="0.3">
      <c r="A2754" s="6" t="s">
        <v>6269</v>
      </c>
      <c r="B2754" s="6" t="s">
        <v>6271</v>
      </c>
      <c r="C2754" s="1808">
        <v>18570</v>
      </c>
      <c r="D2754" s="1808">
        <v>10214860</v>
      </c>
      <c r="E2754" s="1809">
        <v>0</v>
      </c>
      <c r="F2754" s="1810">
        <v>100</v>
      </c>
      <c r="G2754" s="1811">
        <v>0</v>
      </c>
    </row>
    <row r="2755" spans="1:7" x14ac:dyDescent="0.3">
      <c r="A2755" s="3299" t="s">
        <v>191</v>
      </c>
      <c r="B2755" s="3298"/>
      <c r="C2755" s="3298"/>
      <c r="D2755" s="3298"/>
      <c r="E2755" s="3298"/>
      <c r="F2755" s="3298"/>
      <c r="G2755" s="3298"/>
    </row>
    <row r="2756" spans="1:7" x14ac:dyDescent="0.3">
      <c r="A2756" s="11" t="s">
        <v>962</v>
      </c>
      <c r="B2756" s="11" t="s">
        <v>1039</v>
      </c>
      <c r="C2756" s="1820">
        <v>16580</v>
      </c>
      <c r="D2756" s="1820">
        <v>8926263.5525081996</v>
      </c>
      <c r="E2756" s="1821">
        <v>42777.226921792098</v>
      </c>
      <c r="F2756" s="1822">
        <v>93.406326973722003</v>
      </c>
      <c r="G2756" s="1823">
        <v>0.43174054054295102</v>
      </c>
    </row>
    <row r="2757" spans="1:7" x14ac:dyDescent="0.3">
      <c r="A2757" s="6" t="s">
        <v>964</v>
      </c>
      <c r="B2757" s="6" t="s">
        <v>1040</v>
      </c>
      <c r="C2757" s="1816">
        <v>1126</v>
      </c>
      <c r="D2757" s="1816">
        <v>630116.45055029099</v>
      </c>
      <c r="E2757" s="1817">
        <v>41158.920390217303</v>
      </c>
      <c r="F2757" s="1818">
        <v>6.5936730262779797</v>
      </c>
      <c r="G2757" s="1819">
        <v>0.43174054054294497</v>
      </c>
    </row>
    <row r="2758" spans="1:7" x14ac:dyDescent="0.3">
      <c r="A2758" s="11" t="s">
        <v>974</v>
      </c>
      <c r="B2758" s="11" t="s">
        <v>975</v>
      </c>
      <c r="C2758" s="1820">
        <v>855</v>
      </c>
      <c r="D2758" s="1820">
        <v>651100.25464916404</v>
      </c>
      <c r="E2758" s="1821">
        <v>1275.8716033937901</v>
      </c>
      <c r="F2758" s="1822">
        <v>98.879276162281101</v>
      </c>
      <c r="G2758" s="1823">
        <v>0.68346276127820504</v>
      </c>
    </row>
    <row r="2759" spans="1:7" x14ac:dyDescent="0.3">
      <c r="A2759" s="6" t="s">
        <v>958</v>
      </c>
      <c r="B2759" s="6"/>
      <c r="C2759" s="1816">
        <v>7</v>
      </c>
      <c r="D2759" s="1816">
        <v>5050.6811113144404</v>
      </c>
      <c r="E2759" s="1817">
        <v>4498.6917437232396</v>
      </c>
      <c r="F2759" s="1818">
        <v>0.76702119043460704</v>
      </c>
      <c r="G2759" s="1819">
        <v>0.68193152970670201</v>
      </c>
    </row>
    <row r="2760" spans="1:7" x14ac:dyDescent="0.3">
      <c r="A2760" s="11" t="s">
        <v>956</v>
      </c>
      <c r="B2760" s="11"/>
      <c r="C2760" s="1820">
        <v>2</v>
      </c>
      <c r="D2760" s="1820">
        <v>2329.0611810197702</v>
      </c>
      <c r="E2760" s="1821">
        <v>2337.6586482873799</v>
      </c>
      <c r="F2760" s="1822">
        <v>0.353702647284317</v>
      </c>
      <c r="G2760" s="1823">
        <v>0.35502965620981702</v>
      </c>
    </row>
    <row r="2761" spans="1:7" x14ac:dyDescent="0.3">
      <c r="A2761" s="6" t="s">
        <v>6269</v>
      </c>
      <c r="B2761" s="6" t="s">
        <v>6270</v>
      </c>
      <c r="C2761" s="1816">
        <v>17706</v>
      </c>
      <c r="D2761" s="1816">
        <v>9556380.0030584894</v>
      </c>
      <c r="E2761" s="1817">
        <v>4256.9121650270999</v>
      </c>
      <c r="F2761" s="1818">
        <v>93.553705122326704</v>
      </c>
      <c r="G2761" s="1819">
        <v>4.1673720100464502E-2</v>
      </c>
    </row>
    <row r="2762" spans="1:7" x14ac:dyDescent="0.3">
      <c r="A2762" s="11" t="s">
        <v>6269</v>
      </c>
      <c r="B2762" s="11" t="s">
        <v>6271</v>
      </c>
      <c r="C2762" s="1820">
        <v>18570</v>
      </c>
      <c r="D2762" s="1820">
        <v>10214860</v>
      </c>
      <c r="E2762" s="1821">
        <v>0</v>
      </c>
      <c r="F2762" s="1822">
        <v>100</v>
      </c>
      <c r="G2762" s="1823">
        <v>0</v>
      </c>
    </row>
    <row r="2763" spans="1:7" x14ac:dyDescent="0.3">
      <c r="A2763" s="3299" t="s">
        <v>193</v>
      </c>
      <c r="B2763" s="3298"/>
      <c r="C2763" s="3298"/>
      <c r="D2763" s="3298"/>
      <c r="E2763" s="3298"/>
      <c r="F2763" s="3298"/>
      <c r="G2763" s="3298"/>
    </row>
    <row r="2764" spans="1:7" x14ac:dyDescent="0.3">
      <c r="A2764" s="11" t="s">
        <v>962</v>
      </c>
      <c r="B2764" s="11" t="s">
        <v>1039</v>
      </c>
      <c r="C2764" s="1828">
        <v>16619</v>
      </c>
      <c r="D2764" s="1828">
        <v>8966370.6565253902</v>
      </c>
      <c r="E2764" s="1829">
        <v>61515.990853847601</v>
      </c>
      <c r="F2764" s="1830">
        <v>87.777714589582303</v>
      </c>
      <c r="G2764" s="1831">
        <v>0.60222059679585804</v>
      </c>
    </row>
    <row r="2765" spans="1:7" x14ac:dyDescent="0.3">
      <c r="A2765" s="6" t="s">
        <v>964</v>
      </c>
      <c r="B2765" s="6" t="s">
        <v>1040</v>
      </c>
      <c r="C2765" s="1824">
        <v>1951</v>
      </c>
      <c r="D2765" s="1824">
        <v>1248489.34347459</v>
      </c>
      <c r="E2765" s="1825">
        <v>61515.990853862902</v>
      </c>
      <c r="F2765" s="1826">
        <v>12.222285410417699</v>
      </c>
      <c r="G2765" s="1827">
        <v>0.60222059679585505</v>
      </c>
    </row>
    <row r="2766" spans="1:7" x14ac:dyDescent="0.3">
      <c r="A2766" s="11" t="s">
        <v>6269</v>
      </c>
      <c r="B2766" s="11" t="s">
        <v>6270</v>
      </c>
      <c r="C2766" s="1828">
        <v>18570</v>
      </c>
      <c r="D2766" s="1828">
        <v>10214860</v>
      </c>
      <c r="E2766" s="1829">
        <v>1.8360590711166299E-7</v>
      </c>
      <c r="F2766" s="1830">
        <v>100</v>
      </c>
      <c r="G2766" s="1831">
        <v>2.0608665086565899E-13</v>
      </c>
    </row>
    <row r="2767" spans="1:7" x14ac:dyDescent="0.3">
      <c r="A2767" s="6" t="s">
        <v>6269</v>
      </c>
      <c r="B2767" s="6" t="s">
        <v>6271</v>
      </c>
      <c r="C2767" s="1824">
        <v>18570</v>
      </c>
      <c r="D2767" s="1824">
        <v>10214860</v>
      </c>
      <c r="E2767" s="1825">
        <v>0</v>
      </c>
      <c r="F2767" s="1826">
        <v>100</v>
      </c>
      <c r="G2767" s="1827">
        <v>0</v>
      </c>
    </row>
    <row r="2768" spans="1:7" x14ac:dyDescent="0.3">
      <c r="A2768" s="3299" t="s">
        <v>106</v>
      </c>
      <c r="B2768" s="3298"/>
      <c r="C2768" s="3298"/>
      <c r="D2768" s="3298"/>
      <c r="E2768" s="3298"/>
      <c r="F2768" s="3298"/>
      <c r="G2768" s="3298"/>
    </row>
    <row r="2769" spans="1:7" x14ac:dyDescent="0.3">
      <c r="A2769" s="11" t="s">
        <v>6274</v>
      </c>
      <c r="B2769" s="11"/>
      <c r="C2769" s="1836">
        <v>4326</v>
      </c>
      <c r="D2769" s="1836">
        <v>2570660.16326292</v>
      </c>
      <c r="E2769" s="1837">
        <v>86505.755804563494</v>
      </c>
      <c r="F2769" s="1838">
        <v>26.8742895264913</v>
      </c>
      <c r="G2769" s="1839">
        <v>0.90435162902136002</v>
      </c>
    </row>
    <row r="2770" spans="1:7" x14ac:dyDescent="0.3">
      <c r="A2770" s="6" t="s">
        <v>6276</v>
      </c>
      <c r="B2770" s="6"/>
      <c r="C2770" s="1832">
        <v>2770</v>
      </c>
      <c r="D2770" s="1832">
        <v>1608273.24588355</v>
      </c>
      <c r="E2770" s="1833">
        <v>56930.922006007699</v>
      </c>
      <c r="F2770" s="1834">
        <v>16.813269005858899</v>
      </c>
      <c r="G2770" s="1835">
        <v>0.59516932742262296</v>
      </c>
    </row>
    <row r="2771" spans="1:7" x14ac:dyDescent="0.3">
      <c r="A2771" s="11" t="s">
        <v>1152</v>
      </c>
      <c r="B2771" s="11"/>
      <c r="C2771" s="1836">
        <v>3072</v>
      </c>
      <c r="D2771" s="1836">
        <v>1537159.33144489</v>
      </c>
      <c r="E2771" s="1837">
        <v>51383.704192491699</v>
      </c>
      <c r="F2771" s="1838">
        <v>16.0698273198288</v>
      </c>
      <c r="G2771" s="1839">
        <v>0.53717740592803498</v>
      </c>
    </row>
    <row r="2772" spans="1:7" x14ac:dyDescent="0.3">
      <c r="A2772" s="6" t="s">
        <v>6273</v>
      </c>
      <c r="B2772" s="6"/>
      <c r="C2772" s="1832">
        <v>2272</v>
      </c>
      <c r="D2772" s="1832">
        <v>1241317.0345524601</v>
      </c>
      <c r="E2772" s="1833">
        <v>31529.438551592801</v>
      </c>
      <c r="F2772" s="1834">
        <v>12.977021956253299</v>
      </c>
      <c r="G2772" s="1835">
        <v>0.329616210454728</v>
      </c>
    </row>
    <row r="2773" spans="1:7" x14ac:dyDescent="0.3">
      <c r="A2773" s="11" t="s">
        <v>6275</v>
      </c>
      <c r="B2773" s="11"/>
      <c r="C2773" s="1836">
        <v>1581</v>
      </c>
      <c r="D2773" s="1836">
        <v>777061.39186311595</v>
      </c>
      <c r="E2773" s="1837">
        <v>26759.6211206068</v>
      </c>
      <c r="F2773" s="1838">
        <v>8.1235836316384695</v>
      </c>
      <c r="G2773" s="1839">
        <v>0.27975141410307902</v>
      </c>
    </row>
    <row r="2774" spans="1:7" x14ac:dyDescent="0.3">
      <c r="A2774" s="6" t="s">
        <v>6278</v>
      </c>
      <c r="B2774" s="6"/>
      <c r="C2774" s="1832">
        <v>1274</v>
      </c>
      <c r="D2774" s="1832">
        <v>612149.62032778596</v>
      </c>
      <c r="E2774" s="1833">
        <v>23653.249209456499</v>
      </c>
      <c r="F2774" s="1834">
        <v>6.3995569563498602</v>
      </c>
      <c r="G2774" s="1835">
        <v>0.24727666075444801</v>
      </c>
    </row>
    <row r="2775" spans="1:7" x14ac:dyDescent="0.3">
      <c r="A2775" s="11" t="s">
        <v>6277</v>
      </c>
      <c r="B2775" s="11"/>
      <c r="C2775" s="1836">
        <v>808</v>
      </c>
      <c r="D2775" s="1836">
        <v>386415.66693824501</v>
      </c>
      <c r="E2775" s="1837">
        <v>17483.994939146301</v>
      </c>
      <c r="F2775" s="1838">
        <v>4.0396808023389204</v>
      </c>
      <c r="G2775" s="1839">
        <v>0.182781818500555</v>
      </c>
    </row>
    <row r="2776" spans="1:7" x14ac:dyDescent="0.3">
      <c r="A2776" s="6" t="s">
        <v>6279</v>
      </c>
      <c r="B2776" s="6"/>
      <c r="C2776" s="1832">
        <v>493</v>
      </c>
      <c r="D2776" s="1832">
        <v>226897.40259493401</v>
      </c>
      <c r="E2776" s="1833">
        <v>25773.629112234499</v>
      </c>
      <c r="F2776" s="1834">
        <v>2.3720391272587902</v>
      </c>
      <c r="G2776" s="1835">
        <v>0.26944361716724202</v>
      </c>
    </row>
    <row r="2777" spans="1:7" x14ac:dyDescent="0.3">
      <c r="A2777" s="11" t="s">
        <v>6272</v>
      </c>
      <c r="B2777" s="11"/>
      <c r="C2777" s="1836">
        <v>375</v>
      </c>
      <c r="D2777" s="1836">
        <v>219098.64712456599</v>
      </c>
      <c r="E2777" s="1837">
        <v>22430.6127923942</v>
      </c>
      <c r="F2777" s="1838">
        <v>2.2905090925026799</v>
      </c>
      <c r="G2777" s="1839">
        <v>0.23449493294524701</v>
      </c>
    </row>
    <row r="2778" spans="1:7" x14ac:dyDescent="0.3">
      <c r="A2778" s="6" t="s">
        <v>6280</v>
      </c>
      <c r="B2778" s="6"/>
      <c r="C2778" s="1832">
        <v>310</v>
      </c>
      <c r="D2778" s="1832">
        <v>178814.24298165701</v>
      </c>
      <c r="E2778" s="1833">
        <v>24642.402304216299</v>
      </c>
      <c r="F2778" s="1834">
        <v>1.8693664009052999</v>
      </c>
      <c r="G2778" s="1835">
        <v>0.25761750367337899</v>
      </c>
    </row>
    <row r="2779" spans="1:7" x14ac:dyDescent="0.3">
      <c r="A2779" s="11" t="s">
        <v>995</v>
      </c>
      <c r="B2779" s="11"/>
      <c r="C2779" s="1836">
        <v>187</v>
      </c>
      <c r="D2779" s="1836">
        <v>82379.853843611694</v>
      </c>
      <c r="E2779" s="1837">
        <v>10064.784156936101</v>
      </c>
      <c r="F2779" s="1838">
        <v>0.86121848192223704</v>
      </c>
      <c r="G2779" s="1839">
        <v>0.10521963469847</v>
      </c>
    </row>
    <row r="2780" spans="1:7" x14ac:dyDescent="0.3">
      <c r="A2780" s="6" t="s">
        <v>997</v>
      </c>
      <c r="B2780" s="6"/>
      <c r="C2780" s="1832">
        <v>111</v>
      </c>
      <c r="D2780" s="1832">
        <v>58368.926870427502</v>
      </c>
      <c r="E2780" s="1833">
        <v>9695.5945952253096</v>
      </c>
      <c r="F2780" s="1834">
        <v>0.61020257071842099</v>
      </c>
      <c r="G2780" s="1835">
        <v>0.10136003968994201</v>
      </c>
    </row>
    <row r="2781" spans="1:7" x14ac:dyDescent="0.3">
      <c r="A2781" s="11" t="s">
        <v>999</v>
      </c>
      <c r="B2781" s="11"/>
      <c r="C2781" s="1836">
        <v>53</v>
      </c>
      <c r="D2781" s="1836">
        <v>30129.791575920699</v>
      </c>
      <c r="E2781" s="1837">
        <v>4726.4601686495798</v>
      </c>
      <c r="F2781" s="1838">
        <v>0.31498396939265799</v>
      </c>
      <c r="G2781" s="1839">
        <v>4.9411532911146701E-2</v>
      </c>
    </row>
    <row r="2782" spans="1:7" x14ac:dyDescent="0.3">
      <c r="A2782" s="6" t="s">
        <v>1001</v>
      </c>
      <c r="B2782" s="6"/>
      <c r="C2782" s="1832">
        <v>39</v>
      </c>
      <c r="D2782" s="1832">
        <v>16306.982728454001</v>
      </c>
      <c r="E2782" s="1833">
        <v>3886.3178265679799</v>
      </c>
      <c r="F2782" s="1834">
        <v>0.17047705543143901</v>
      </c>
      <c r="G2782" s="1835">
        <v>4.0628486006566801E-2</v>
      </c>
    </row>
    <row r="2783" spans="1:7" x14ac:dyDescent="0.3">
      <c r="A2783" s="11" t="s">
        <v>1007</v>
      </c>
      <c r="B2783" s="11"/>
      <c r="C2783" s="1836">
        <v>11</v>
      </c>
      <c r="D2783" s="1836">
        <v>6731.5075052907996</v>
      </c>
      <c r="E2783" s="1837">
        <v>1827.5845635850201</v>
      </c>
      <c r="F2783" s="1838">
        <v>7.0372772034290806E-2</v>
      </c>
      <c r="G2783" s="1839">
        <v>1.9106001440106601E-2</v>
      </c>
    </row>
    <row r="2784" spans="1:7" x14ac:dyDescent="0.3">
      <c r="A2784" s="6" t="s">
        <v>1003</v>
      </c>
      <c r="B2784" s="6"/>
      <c r="C2784" s="1832">
        <v>14</v>
      </c>
      <c r="D2784" s="1832">
        <v>4220.1281840185802</v>
      </c>
      <c r="E2784" s="1833">
        <v>1466.0405162923</v>
      </c>
      <c r="F2784" s="1834">
        <v>4.4118218454930802E-2</v>
      </c>
      <c r="G2784" s="1835">
        <v>1.53263344181187E-2</v>
      </c>
    </row>
    <row r="2785" spans="1:7" x14ac:dyDescent="0.3">
      <c r="A2785" s="11" t="s">
        <v>1009</v>
      </c>
      <c r="B2785" s="11"/>
      <c r="C2785" s="1836">
        <v>7</v>
      </c>
      <c r="D2785" s="1836">
        <v>3319.2567141658401</v>
      </c>
      <c r="E2785" s="1837">
        <v>2431.01805039689</v>
      </c>
      <c r="F2785" s="1838">
        <v>3.4700294976376403E-2</v>
      </c>
      <c r="G2785" s="1839">
        <v>2.54144378331124E-2</v>
      </c>
    </row>
    <row r="2786" spans="1:7" x14ac:dyDescent="0.3">
      <c r="A2786" s="6" t="s">
        <v>3055</v>
      </c>
      <c r="B2786" s="6"/>
      <c r="C2786" s="1832">
        <v>1</v>
      </c>
      <c r="D2786" s="1832">
        <v>2262.3483221884198</v>
      </c>
      <c r="E2786" s="1833">
        <v>2286.5165877100999</v>
      </c>
      <c r="F2786" s="1834">
        <v>2.36511245979289E-2</v>
      </c>
      <c r="G2786" s="1835">
        <v>2.3903785362173399E-2</v>
      </c>
    </row>
    <row r="2787" spans="1:7" x14ac:dyDescent="0.3">
      <c r="A2787" s="11" t="s">
        <v>1005</v>
      </c>
      <c r="B2787" s="11"/>
      <c r="C2787" s="1836">
        <v>9</v>
      </c>
      <c r="D2787" s="1836">
        <v>2081.7310262442702</v>
      </c>
      <c r="E2787" s="1837">
        <v>790.57287391984596</v>
      </c>
      <c r="F2787" s="1838">
        <v>2.1762908654778399E-2</v>
      </c>
      <c r="G2787" s="1839">
        <v>8.2648358686743494E-3</v>
      </c>
    </row>
    <row r="2788" spans="1:7" x14ac:dyDescent="0.3">
      <c r="A2788" s="6" t="s">
        <v>1013</v>
      </c>
      <c r="B2788" s="6"/>
      <c r="C2788" s="1832">
        <v>2</v>
      </c>
      <c r="D2788" s="1832">
        <v>901.68155952194104</v>
      </c>
      <c r="E2788" s="1833">
        <v>675.54202826020799</v>
      </c>
      <c r="F2788" s="1834">
        <v>9.4263923476113308E-3</v>
      </c>
      <c r="G2788" s="1835">
        <v>7.0622761864690001E-3</v>
      </c>
    </row>
    <row r="2789" spans="1:7" x14ac:dyDescent="0.3">
      <c r="A2789" s="11" t="s">
        <v>1011</v>
      </c>
      <c r="B2789" s="11"/>
      <c r="C2789" s="1836">
        <v>3</v>
      </c>
      <c r="D2789" s="1836">
        <v>727.688924189202</v>
      </c>
      <c r="E2789" s="1837">
        <v>586.62116807574398</v>
      </c>
      <c r="F2789" s="1838">
        <v>7.6074321737880698E-3</v>
      </c>
      <c r="G2789" s="1839">
        <v>6.1326764743926E-3</v>
      </c>
    </row>
    <row r="2790" spans="1:7" x14ac:dyDescent="0.3">
      <c r="A2790" s="6" t="s">
        <v>1051</v>
      </c>
      <c r="B2790" s="6"/>
      <c r="C2790" s="1832">
        <v>1</v>
      </c>
      <c r="D2790" s="1832">
        <v>223.35058617716101</v>
      </c>
      <c r="E2790" s="1833">
        <v>224.24066261764901</v>
      </c>
      <c r="F2790" s="1834">
        <v>2.33495986930369E-3</v>
      </c>
      <c r="G2790" s="1835">
        <v>2.3442649391052801E-3</v>
      </c>
    </row>
    <row r="2791" spans="1:7" x14ac:dyDescent="0.3">
      <c r="A2791" s="11" t="s">
        <v>960</v>
      </c>
      <c r="B2791" s="11"/>
      <c r="C2791" s="1836">
        <v>851</v>
      </c>
      <c r="D2791" s="1836">
        <v>649360.005185658</v>
      </c>
      <c r="E2791" s="1837">
        <v>7.74581865908651E-3</v>
      </c>
      <c r="F2791" s="1838">
        <v>100</v>
      </c>
      <c r="G2791" s="1839">
        <v>0</v>
      </c>
    </row>
    <row r="2792" spans="1:7" x14ac:dyDescent="0.3">
      <c r="A2792" s="6" t="s">
        <v>6269</v>
      </c>
      <c r="B2792" s="6" t="s">
        <v>6270</v>
      </c>
      <c r="C2792" s="1832">
        <v>17719</v>
      </c>
      <c r="D2792" s="1832">
        <v>9565499.99481434</v>
      </c>
      <c r="E2792" s="1833">
        <v>7.7458106205096702E-3</v>
      </c>
      <c r="F2792" s="1834">
        <v>93.642986735151993</v>
      </c>
      <c r="G2792" s="1835">
        <v>7.5828925700387102E-8</v>
      </c>
    </row>
    <row r="2793" spans="1:7" x14ac:dyDescent="0.3">
      <c r="A2793" s="11" t="s">
        <v>6269</v>
      </c>
      <c r="B2793" s="11" t="s">
        <v>6271</v>
      </c>
      <c r="C2793" s="1836">
        <v>18570</v>
      </c>
      <c r="D2793" s="1836">
        <v>10214860</v>
      </c>
      <c r="E2793" s="1837">
        <v>0</v>
      </c>
      <c r="F2793" s="1838">
        <v>100</v>
      </c>
      <c r="G2793" s="1839">
        <v>0</v>
      </c>
    </row>
    <row r="2794" spans="1:7" x14ac:dyDescent="0.3">
      <c r="A2794" s="3299" t="s">
        <v>211</v>
      </c>
      <c r="B2794" s="3298"/>
      <c r="C2794" s="3298"/>
      <c r="D2794" s="3298"/>
      <c r="E2794" s="3298"/>
      <c r="F2794" s="3298"/>
      <c r="G2794" s="3298"/>
    </row>
    <row r="2795" spans="1:7" x14ac:dyDescent="0.3">
      <c r="A2795" s="11" t="s">
        <v>974</v>
      </c>
      <c r="B2795" s="11" t="s">
        <v>975</v>
      </c>
      <c r="C2795" s="1844">
        <v>10728</v>
      </c>
      <c r="D2795" s="1844">
        <v>5524117.3819521796</v>
      </c>
      <c r="E2795" s="1845">
        <v>36495.516648887002</v>
      </c>
      <c r="F2795" s="1846">
        <v>89.481454867906905</v>
      </c>
      <c r="G2795" s="1847">
        <v>6.21527232343424E-2</v>
      </c>
    </row>
    <row r="2796" spans="1:7" x14ac:dyDescent="0.3">
      <c r="A2796" s="6" t="s">
        <v>960</v>
      </c>
      <c r="B2796" s="6"/>
      <c r="C2796" s="1840">
        <v>851</v>
      </c>
      <c r="D2796" s="1840">
        <v>649360.005185658</v>
      </c>
      <c r="E2796" s="1841">
        <v>7.74581865908651E-3</v>
      </c>
      <c r="F2796" s="1842">
        <v>10.5185451320931</v>
      </c>
      <c r="G2796" s="1843">
        <v>6.2152723234348603E-2</v>
      </c>
    </row>
    <row r="2797" spans="1:7" x14ac:dyDescent="0.3">
      <c r="A2797" s="11" t="s">
        <v>6269</v>
      </c>
      <c r="B2797" s="11" t="s">
        <v>6270</v>
      </c>
      <c r="C2797" s="1844">
        <v>6735</v>
      </c>
      <c r="D2797" s="1844">
        <v>4041382.6128621302</v>
      </c>
      <c r="E2797" s="1845">
        <v>36495.5144712732</v>
      </c>
      <c r="F2797" s="1846">
        <v>39.563759198482799</v>
      </c>
      <c r="G2797" s="1847">
        <v>0.35727865552018501</v>
      </c>
    </row>
    <row r="2798" spans="1:7" x14ac:dyDescent="0.3">
      <c r="A2798" s="6" t="s">
        <v>6269</v>
      </c>
      <c r="B2798" s="6" t="s">
        <v>6271</v>
      </c>
      <c r="C2798" s="1840">
        <v>18314</v>
      </c>
      <c r="D2798" s="1840">
        <v>10214860</v>
      </c>
      <c r="E2798" s="1841">
        <v>0</v>
      </c>
      <c r="F2798" s="1842">
        <v>100</v>
      </c>
      <c r="G2798" s="1843">
        <v>0</v>
      </c>
    </row>
    <row r="2799" spans="1:7" x14ac:dyDescent="0.3">
      <c r="A2799" s="3299" t="s">
        <v>898</v>
      </c>
      <c r="B2799" s="3298"/>
      <c r="C2799" s="3298"/>
      <c r="D2799" s="3298"/>
      <c r="E2799" s="3298"/>
      <c r="F2799" s="3298"/>
      <c r="G2799" s="3298"/>
    </row>
    <row r="2800" spans="1:7" x14ac:dyDescent="0.3">
      <c r="A2800" s="11" t="s">
        <v>1001</v>
      </c>
      <c r="B2800" s="11" t="s">
        <v>3021</v>
      </c>
      <c r="C2800" s="1852">
        <v>6730</v>
      </c>
      <c r="D2800" s="1852">
        <v>3909433.2307354901</v>
      </c>
      <c r="E2800" s="1853">
        <v>35382.326819116002</v>
      </c>
      <c r="F2800" s="1854">
        <v>96.753436073021206</v>
      </c>
      <c r="G2800" s="1855">
        <v>0.235549897857529</v>
      </c>
    </row>
    <row r="2801" spans="1:7" x14ac:dyDescent="0.3">
      <c r="A2801" s="6" t="s">
        <v>3065</v>
      </c>
      <c r="B2801" s="6" t="s">
        <v>3066</v>
      </c>
      <c r="C2801" s="1848">
        <v>54</v>
      </c>
      <c r="D2801" s="1848">
        <v>34807.782639637197</v>
      </c>
      <c r="E2801" s="1849">
        <v>8014.1266989456399</v>
      </c>
      <c r="F2801" s="1850">
        <v>0.86144777866794997</v>
      </c>
      <c r="G2801" s="1851">
        <v>0.19537226625260801</v>
      </c>
    </row>
    <row r="2802" spans="1:7" x14ac:dyDescent="0.3">
      <c r="A2802" s="11" t="s">
        <v>3061</v>
      </c>
      <c r="B2802" s="11" t="s">
        <v>3062</v>
      </c>
      <c r="C2802" s="1852">
        <v>86</v>
      </c>
      <c r="D2802" s="1852">
        <v>23848.004731121298</v>
      </c>
      <c r="E2802" s="1853">
        <v>3271.1707683736499</v>
      </c>
      <c r="F2802" s="1854">
        <v>0.59020739453518201</v>
      </c>
      <c r="G2802" s="1855">
        <v>7.9577873831244095E-2</v>
      </c>
    </row>
    <row r="2803" spans="1:7" x14ac:dyDescent="0.3">
      <c r="A2803" s="6" t="s">
        <v>999</v>
      </c>
      <c r="B2803" s="6" t="s">
        <v>3020</v>
      </c>
      <c r="C2803" s="1848">
        <v>24</v>
      </c>
      <c r="D2803" s="1848">
        <v>22424.500433571098</v>
      </c>
      <c r="E2803" s="1849">
        <v>4841.76603085241</v>
      </c>
      <c r="F2803" s="1850">
        <v>0.55497749702219101</v>
      </c>
      <c r="G2803" s="1851">
        <v>0.117916813285261</v>
      </c>
    </row>
    <row r="2804" spans="1:7" x14ac:dyDescent="0.3">
      <c r="A2804" s="11" t="s">
        <v>962</v>
      </c>
      <c r="B2804" s="11" t="s">
        <v>3011</v>
      </c>
      <c r="C2804" s="1852">
        <v>30</v>
      </c>
      <c r="D2804" s="1852">
        <v>14892.9724747869</v>
      </c>
      <c r="E2804" s="1853">
        <v>7401.50135575885</v>
      </c>
      <c r="F2804" s="1854">
        <v>0.36858188264938702</v>
      </c>
      <c r="G2804" s="1855">
        <v>0.18318824059615799</v>
      </c>
    </row>
    <row r="2805" spans="1:7" x14ac:dyDescent="0.3">
      <c r="A2805" s="6" t="s">
        <v>3051</v>
      </c>
      <c r="B2805" s="6" t="s">
        <v>3052</v>
      </c>
      <c r="C2805" s="1848">
        <v>7</v>
      </c>
      <c r="D2805" s="1848">
        <v>5739.6371687986002</v>
      </c>
      <c r="E2805" s="1849">
        <v>2649.8355831582599</v>
      </c>
      <c r="F2805" s="1850">
        <v>0.14204862575162</v>
      </c>
      <c r="G2805" s="1851">
        <v>6.5550180770191896E-2</v>
      </c>
    </row>
    <row r="2806" spans="1:7" x14ac:dyDescent="0.3">
      <c r="A2806" s="11" t="s">
        <v>3034</v>
      </c>
      <c r="B2806" s="11" t="s">
        <v>3035</v>
      </c>
      <c r="C2806" s="1852">
        <v>2</v>
      </c>
      <c r="D2806" s="1852">
        <v>3720.0940473526598</v>
      </c>
      <c r="E2806" s="1853">
        <v>2626.7303974909601</v>
      </c>
      <c r="F2806" s="1854">
        <v>9.2067535203420703E-2</v>
      </c>
      <c r="G2806" s="1855">
        <v>6.5317427942264E-2</v>
      </c>
    </row>
    <row r="2807" spans="1:7" x14ac:dyDescent="0.3">
      <c r="A2807" s="6" t="s">
        <v>972</v>
      </c>
      <c r="B2807" s="6" t="s">
        <v>3015</v>
      </c>
      <c r="C2807" s="1848">
        <v>8</v>
      </c>
      <c r="D2807" s="1848">
        <v>3455.61509402103</v>
      </c>
      <c r="E2807" s="1849">
        <v>1971.7963828709701</v>
      </c>
      <c r="F2807" s="1850">
        <v>8.5522021827555403E-2</v>
      </c>
      <c r="G2807" s="1851">
        <v>4.8605924315321798E-2</v>
      </c>
    </row>
    <row r="2808" spans="1:7" x14ac:dyDescent="0.3">
      <c r="A2808" s="11" t="s">
        <v>1059</v>
      </c>
      <c r="B2808" s="11" t="s">
        <v>3045</v>
      </c>
      <c r="C2808" s="1852">
        <v>1</v>
      </c>
      <c r="D2808" s="1852">
        <v>2903.3650785341802</v>
      </c>
      <c r="E2808" s="1853">
        <v>2909.7580415559701</v>
      </c>
      <c r="F2808" s="1854">
        <v>7.1854545388859603E-2</v>
      </c>
      <c r="G2808" s="1855">
        <v>7.1968327619833003E-2</v>
      </c>
    </row>
    <row r="2809" spans="1:7" x14ac:dyDescent="0.3">
      <c r="A2809" s="6" t="s">
        <v>1065</v>
      </c>
      <c r="B2809" s="6" t="s">
        <v>3059</v>
      </c>
      <c r="C2809" s="1848">
        <v>3</v>
      </c>
      <c r="D2809" s="1848">
        <v>2445.2305585150102</v>
      </c>
      <c r="E2809" s="1849">
        <v>1692.3305189067501</v>
      </c>
      <c r="F2809" s="1850">
        <v>6.0516306217249398E-2</v>
      </c>
      <c r="G2809" s="1851">
        <v>4.2113323575766901E-2</v>
      </c>
    </row>
    <row r="2810" spans="1:7" x14ac:dyDescent="0.3">
      <c r="A2810" s="11" t="s">
        <v>1061</v>
      </c>
      <c r="B2810" s="11" t="s">
        <v>3046</v>
      </c>
      <c r="C2810" s="1852">
        <v>4</v>
      </c>
      <c r="D2810" s="1852">
        <v>2428.1959941465102</v>
      </c>
      <c r="E2810" s="1853">
        <v>1751.2293346398401</v>
      </c>
      <c r="F2810" s="1854">
        <v>6.00947226941696E-2</v>
      </c>
      <c r="G2810" s="1855">
        <v>4.3402892171012501E-2</v>
      </c>
    </row>
    <row r="2811" spans="1:7" x14ac:dyDescent="0.3">
      <c r="A2811" s="6" t="s">
        <v>3067</v>
      </c>
      <c r="B2811" s="6" t="s">
        <v>3068</v>
      </c>
      <c r="C2811" s="1848">
        <v>6</v>
      </c>
      <c r="D2811" s="1848">
        <v>2349.99545092988</v>
      </c>
      <c r="E2811" s="1849">
        <v>1153.1255333976201</v>
      </c>
      <c r="F2811" s="1850">
        <v>5.8159359992614401E-2</v>
      </c>
      <c r="G2811" s="1851">
        <v>2.8457844691599E-2</v>
      </c>
    </row>
    <row r="2812" spans="1:7" x14ac:dyDescent="0.3">
      <c r="A2812" s="11" t="s">
        <v>3040</v>
      </c>
      <c r="B2812" s="11" t="s">
        <v>3041</v>
      </c>
      <c r="C2812" s="1852">
        <v>3</v>
      </c>
      <c r="D2812" s="1852">
        <v>2176.8979406113999</v>
      </c>
      <c r="E2812" s="1853">
        <v>1812.50341685904</v>
      </c>
      <c r="F2812" s="1854">
        <v>5.3875419607770703E-2</v>
      </c>
      <c r="G2812" s="1855">
        <v>4.48439573348152E-2</v>
      </c>
    </row>
    <row r="2813" spans="1:7" x14ac:dyDescent="0.3">
      <c r="A2813" s="6" t="s">
        <v>1009</v>
      </c>
      <c r="B2813" s="6" t="s">
        <v>3024</v>
      </c>
      <c r="C2813" s="1848">
        <v>5</v>
      </c>
      <c r="D2813" s="1848">
        <v>1499.9895148948201</v>
      </c>
      <c r="E2813" s="1849">
        <v>942.31757018823203</v>
      </c>
      <c r="F2813" s="1850">
        <v>3.7122808109009302E-2</v>
      </c>
      <c r="G2813" s="1851">
        <v>2.3284651328750801E-2</v>
      </c>
    </row>
    <row r="2814" spans="1:7" x14ac:dyDescent="0.3">
      <c r="A2814" s="11" t="s">
        <v>1071</v>
      </c>
      <c r="B2814" s="11" t="s">
        <v>3072</v>
      </c>
      <c r="C2814" s="1852">
        <v>3</v>
      </c>
      <c r="D2814" s="1852">
        <v>1375.6643282811699</v>
      </c>
      <c r="E2814" s="1853">
        <v>1221.3502755633799</v>
      </c>
      <c r="F2814" s="1854">
        <v>3.4045919904161497E-2</v>
      </c>
      <c r="G2814" s="1855">
        <v>3.0230798474120101E-2</v>
      </c>
    </row>
    <row r="2815" spans="1:7" x14ac:dyDescent="0.3">
      <c r="A2815" s="6" t="s">
        <v>993</v>
      </c>
      <c r="B2815" s="6" t="s">
        <v>3017</v>
      </c>
      <c r="C2815" s="1848">
        <v>1</v>
      </c>
      <c r="D2815" s="1848">
        <v>1344.1149426269701</v>
      </c>
      <c r="E2815" s="1849">
        <v>1358.4189584738899</v>
      </c>
      <c r="F2815" s="1850">
        <v>3.3265113253202999E-2</v>
      </c>
      <c r="G2815" s="1851">
        <v>3.3577504567316799E-2</v>
      </c>
    </row>
    <row r="2816" spans="1:7" x14ac:dyDescent="0.3">
      <c r="A2816" s="11" t="s">
        <v>1077</v>
      </c>
      <c r="B2816" s="11" t="s">
        <v>3074</v>
      </c>
      <c r="C2816" s="1852">
        <v>1</v>
      </c>
      <c r="D2816" s="1852">
        <v>956.19791471173198</v>
      </c>
      <c r="E2816" s="1853">
        <v>968.26434797957597</v>
      </c>
      <c r="F2816" s="1854">
        <v>2.3664666552397601E-2</v>
      </c>
      <c r="G2816" s="1855">
        <v>2.3992068265393501E-2</v>
      </c>
    </row>
    <row r="2817" spans="1:7" x14ac:dyDescent="0.3">
      <c r="A2817" s="6" t="s">
        <v>997</v>
      </c>
      <c r="B2817" s="6" t="s">
        <v>3019</v>
      </c>
      <c r="C2817" s="1848">
        <v>1</v>
      </c>
      <c r="D2817" s="1848">
        <v>838.27163993971601</v>
      </c>
      <c r="E2817" s="1849">
        <v>835.17668412053695</v>
      </c>
      <c r="F2817" s="1850">
        <v>2.0746143172133299E-2</v>
      </c>
      <c r="G2817" s="1851">
        <v>2.0648430879087399E-2</v>
      </c>
    </row>
    <row r="2818" spans="1:7" x14ac:dyDescent="0.3">
      <c r="A2818" s="11" t="s">
        <v>3049</v>
      </c>
      <c r="B2818" s="11" t="s">
        <v>3050</v>
      </c>
      <c r="C2818" s="1852">
        <v>2</v>
      </c>
      <c r="D2818" s="1852">
        <v>822.66778944446105</v>
      </c>
      <c r="E2818" s="1853">
        <v>826.81663468764896</v>
      </c>
      <c r="F2818" s="1854">
        <v>2.0359967974276898E-2</v>
      </c>
      <c r="G2818" s="1855">
        <v>2.0462650521164302E-2</v>
      </c>
    </row>
    <row r="2819" spans="1:7" x14ac:dyDescent="0.3">
      <c r="A2819" s="6" t="s">
        <v>1051</v>
      </c>
      <c r="B2819" s="6" t="s">
        <v>3030</v>
      </c>
      <c r="C2819" s="1848">
        <v>2</v>
      </c>
      <c r="D2819" s="1848">
        <v>793.04424616835195</v>
      </c>
      <c r="E2819" s="1849">
        <v>477.09914571370399</v>
      </c>
      <c r="F2819" s="1850">
        <v>1.96268234411799E-2</v>
      </c>
      <c r="G2819" s="1851">
        <v>1.18345227568311E-2</v>
      </c>
    </row>
    <row r="2820" spans="1:7" x14ac:dyDescent="0.3">
      <c r="A2820" s="11" t="s">
        <v>1049</v>
      </c>
      <c r="B2820" s="11" t="s">
        <v>3029</v>
      </c>
      <c r="C2820" s="1852">
        <v>1</v>
      </c>
      <c r="D2820" s="1852">
        <v>586.76444060260701</v>
      </c>
      <c r="E2820" s="1853">
        <v>595.96799090190302</v>
      </c>
      <c r="F2820" s="1854">
        <v>1.45216639965701E-2</v>
      </c>
      <c r="G2820" s="1855">
        <v>1.47463654069183E-2</v>
      </c>
    </row>
    <row r="2821" spans="1:7" x14ac:dyDescent="0.3">
      <c r="A2821" s="6" t="s">
        <v>1053</v>
      </c>
      <c r="B2821" s="6" t="s">
        <v>3031</v>
      </c>
      <c r="C2821" s="1848">
        <v>2</v>
      </c>
      <c r="D2821" s="1848">
        <v>432.605876424727</v>
      </c>
      <c r="E2821" s="1849">
        <v>437.45333822087599</v>
      </c>
      <c r="F2821" s="1850">
        <v>1.07064381303166E-2</v>
      </c>
      <c r="G2821" s="1851">
        <v>1.0828677396376401E-2</v>
      </c>
    </row>
    <row r="2822" spans="1:7" x14ac:dyDescent="0.3">
      <c r="A2822" s="11" t="s">
        <v>1011</v>
      </c>
      <c r="B2822" s="11" t="s">
        <v>3025</v>
      </c>
      <c r="C2822" s="1852">
        <v>1</v>
      </c>
      <c r="D2822" s="1852">
        <v>271.36735783042002</v>
      </c>
      <c r="E2822" s="1853">
        <v>274.740555823975</v>
      </c>
      <c r="F2822" s="1854">
        <v>6.7159925131169704E-3</v>
      </c>
      <c r="G2822" s="1855">
        <v>6.8045618631524902E-3</v>
      </c>
    </row>
    <row r="2823" spans="1:7" x14ac:dyDescent="0.3">
      <c r="A2823" s="6" t="s">
        <v>995</v>
      </c>
      <c r="B2823" s="6" t="s">
        <v>3018</v>
      </c>
      <c r="C2823" s="1848">
        <v>1</v>
      </c>
      <c r="D2823" s="1848">
        <v>256.93525170357498</v>
      </c>
      <c r="E2823" s="1849">
        <v>262.89964456892301</v>
      </c>
      <c r="F2823" s="1850">
        <v>6.3588164788609602E-3</v>
      </c>
      <c r="G2823" s="1851">
        <v>6.50802578512548E-3</v>
      </c>
    </row>
    <row r="2824" spans="1:7" x14ac:dyDescent="0.3">
      <c r="A2824" s="11" t="s">
        <v>1047</v>
      </c>
      <c r="B2824" s="11" t="s">
        <v>3028</v>
      </c>
      <c r="C2824" s="1852">
        <v>1</v>
      </c>
      <c r="D2824" s="1852">
        <v>236.83335958346501</v>
      </c>
      <c r="E2824" s="1853">
        <v>235.628868264738</v>
      </c>
      <c r="F2824" s="1854">
        <v>5.8613205454609296E-3</v>
      </c>
      <c r="G2824" s="1855">
        <v>5.8314936684129102E-3</v>
      </c>
    </row>
    <row r="2825" spans="1:7" x14ac:dyDescent="0.3">
      <c r="A2825" s="6" t="s">
        <v>968</v>
      </c>
      <c r="B2825" s="6" t="s">
        <v>3013</v>
      </c>
      <c r="C2825" s="1848">
        <v>2</v>
      </c>
      <c r="D2825" s="1848">
        <v>196.24804930432401</v>
      </c>
      <c r="E2825" s="1849">
        <v>196.51895458983699</v>
      </c>
      <c r="F2825" s="1850">
        <v>4.8568864007043902E-3</v>
      </c>
      <c r="G2825" s="1851">
        <v>4.8671542863146997E-3</v>
      </c>
    </row>
    <row r="2826" spans="1:7" x14ac:dyDescent="0.3">
      <c r="A2826" s="11" t="s">
        <v>1063</v>
      </c>
      <c r="B2826" s="11" t="s">
        <v>3058</v>
      </c>
      <c r="C2826" s="1852">
        <v>1</v>
      </c>
      <c r="D2826" s="1852">
        <v>193.01211142415499</v>
      </c>
      <c r="E2826" s="1853">
        <v>192.97265571920599</v>
      </c>
      <c r="F2826" s="1854">
        <v>4.7768011069171104E-3</v>
      </c>
      <c r="G2826" s="1855">
        <v>4.7773091049222397E-3</v>
      </c>
    </row>
    <row r="2827" spans="1:7" x14ac:dyDescent="0.3">
      <c r="A2827" s="6" t="s">
        <v>1007</v>
      </c>
      <c r="B2827" s="6" t="s">
        <v>3023</v>
      </c>
      <c r="C2827" s="1848">
        <v>1</v>
      </c>
      <c r="D2827" s="1848">
        <v>185.11977074519299</v>
      </c>
      <c r="E2827" s="1849">
        <v>184.77223154128299</v>
      </c>
      <c r="F2827" s="1850">
        <v>4.5814758425424601E-3</v>
      </c>
      <c r="G2827" s="1851">
        <v>4.5690080304531897E-3</v>
      </c>
    </row>
    <row r="2828" spans="1:7" x14ac:dyDescent="0.3">
      <c r="A2828" s="11" t="s">
        <v>974</v>
      </c>
      <c r="B2828" s="11" t="s">
        <v>975</v>
      </c>
      <c r="C2828" s="1852">
        <v>10730</v>
      </c>
      <c r="D2828" s="1852">
        <v>5524885.63587311</v>
      </c>
      <c r="E2828" s="1853">
        <v>36225.279630754798</v>
      </c>
      <c r="F2828" s="1854">
        <v>89.482763677761497</v>
      </c>
      <c r="G2828" s="1855">
        <v>6.1681991584149699E-2</v>
      </c>
    </row>
    <row r="2829" spans="1:7" x14ac:dyDescent="0.3">
      <c r="A2829" s="6" t="s">
        <v>960</v>
      </c>
      <c r="B2829" s="6"/>
      <c r="C2829" s="1848">
        <v>851</v>
      </c>
      <c r="D2829" s="1848">
        <v>649360.005185658</v>
      </c>
      <c r="E2829" s="1849">
        <v>7.74581865908651E-3</v>
      </c>
      <c r="F2829" s="1850">
        <v>10.517236322238499</v>
      </c>
      <c r="G2829" s="1851">
        <v>6.1681991584155701E-2</v>
      </c>
    </row>
    <row r="2830" spans="1:7" x14ac:dyDescent="0.3">
      <c r="A2830" s="11" t="s">
        <v>6269</v>
      </c>
      <c r="B2830" s="11" t="s">
        <v>6270</v>
      </c>
      <c r="C2830" s="1852">
        <v>6983</v>
      </c>
      <c r="D2830" s="1852">
        <v>4040614.3589412002</v>
      </c>
      <c r="E2830" s="1853">
        <v>36225.277400902298</v>
      </c>
      <c r="F2830" s="1854">
        <v>39.556238254280601</v>
      </c>
      <c r="G2830" s="1855">
        <v>0.35463312664980501</v>
      </c>
    </row>
    <row r="2831" spans="1:7" x14ac:dyDescent="0.3">
      <c r="A2831" s="6" t="s">
        <v>6269</v>
      </c>
      <c r="B2831" s="6" t="s">
        <v>6271</v>
      </c>
      <c r="C2831" s="1848">
        <v>18564</v>
      </c>
      <c r="D2831" s="1848">
        <v>10214860</v>
      </c>
      <c r="E2831" s="1849">
        <v>0</v>
      </c>
      <c r="F2831" s="1850">
        <v>100</v>
      </c>
      <c r="G2831" s="1851">
        <v>0</v>
      </c>
    </row>
    <row r="2832" spans="1:7" x14ac:dyDescent="0.3">
      <c r="A2832" s="3299" t="s">
        <v>42</v>
      </c>
      <c r="B2832" s="3298"/>
      <c r="C2832" s="3298"/>
      <c r="D2832" s="3298"/>
      <c r="E2832" s="3298"/>
      <c r="F2832" s="3298"/>
      <c r="G2832" s="3298"/>
    </row>
    <row r="2833" spans="1:7" x14ac:dyDescent="0.3">
      <c r="A2833" s="11" t="s">
        <v>966</v>
      </c>
      <c r="B2833" s="11" t="s">
        <v>986</v>
      </c>
      <c r="C2833" s="1860">
        <v>360</v>
      </c>
      <c r="D2833" s="1860">
        <v>250989.574370129</v>
      </c>
      <c r="E2833" s="1861">
        <v>20449.515947755099</v>
      </c>
      <c r="F2833" s="1862">
        <v>28.6657472338789</v>
      </c>
      <c r="G2833" s="1863">
        <v>1.76653661678483</v>
      </c>
    </row>
    <row r="2834" spans="1:7" x14ac:dyDescent="0.3">
      <c r="A2834" s="6" t="s">
        <v>991</v>
      </c>
      <c r="B2834" s="6" t="s">
        <v>992</v>
      </c>
      <c r="C2834" s="1856">
        <v>149</v>
      </c>
      <c r="D2834" s="1856">
        <v>144921.77197223701</v>
      </c>
      <c r="E2834" s="1857">
        <v>21320.588197680099</v>
      </c>
      <c r="F2834" s="1858">
        <v>16.551647192786401</v>
      </c>
      <c r="G2834" s="1859">
        <v>2.35495610563104</v>
      </c>
    </row>
    <row r="2835" spans="1:7" x14ac:dyDescent="0.3">
      <c r="A2835" s="11" t="s">
        <v>1009</v>
      </c>
      <c r="B2835" s="11" t="s">
        <v>1010</v>
      </c>
      <c r="C2835" s="1860">
        <v>231</v>
      </c>
      <c r="D2835" s="1860">
        <v>102606.245515091</v>
      </c>
      <c r="E2835" s="1861">
        <v>21259.181525391199</v>
      </c>
      <c r="F2835" s="1862">
        <v>11.7187524857725</v>
      </c>
      <c r="G2835" s="1863">
        <v>1.9686086518522901</v>
      </c>
    </row>
    <row r="2836" spans="1:7" x14ac:dyDescent="0.3">
      <c r="A2836" s="6" t="s">
        <v>1007</v>
      </c>
      <c r="B2836" s="6" t="s">
        <v>1008</v>
      </c>
      <c r="C2836" s="1856">
        <v>150</v>
      </c>
      <c r="D2836" s="1856">
        <v>77004.984670402293</v>
      </c>
      <c r="E2836" s="1857">
        <v>16107.9541020572</v>
      </c>
      <c r="F2836" s="1858">
        <v>8.7948092340093105</v>
      </c>
      <c r="G2836" s="1859">
        <v>1.7363244244481699</v>
      </c>
    </row>
    <row r="2837" spans="1:7" x14ac:dyDescent="0.3">
      <c r="A2837" s="11" t="s">
        <v>983</v>
      </c>
      <c r="B2837" s="11" t="s">
        <v>1015</v>
      </c>
      <c r="C2837" s="1860">
        <v>142</v>
      </c>
      <c r="D2837" s="1860">
        <v>60399.354703562101</v>
      </c>
      <c r="E2837" s="1861">
        <v>5827.9272080114097</v>
      </c>
      <c r="F2837" s="1862">
        <v>6.8982651545058298</v>
      </c>
      <c r="G2837" s="1863">
        <v>0.71981451472221103</v>
      </c>
    </row>
    <row r="2838" spans="1:7" x14ac:dyDescent="0.3">
      <c r="A2838" s="6" t="s">
        <v>997</v>
      </c>
      <c r="B2838" s="6" t="s">
        <v>998</v>
      </c>
      <c r="C2838" s="1856">
        <v>64</v>
      </c>
      <c r="D2838" s="1856">
        <v>33328.433005401697</v>
      </c>
      <c r="E2838" s="1857">
        <v>6356.0615825103296</v>
      </c>
      <c r="F2838" s="1858">
        <v>3.8064706019431198</v>
      </c>
      <c r="G2838" s="1859">
        <v>0.70886807370657601</v>
      </c>
    </row>
    <row r="2839" spans="1:7" x14ac:dyDescent="0.3">
      <c r="A2839" s="11" t="s">
        <v>968</v>
      </c>
      <c r="B2839" s="11" t="s">
        <v>987</v>
      </c>
      <c r="C2839" s="1860">
        <v>67</v>
      </c>
      <c r="D2839" s="1860">
        <v>30826.414051808901</v>
      </c>
      <c r="E2839" s="1861">
        <v>5390.6238818687098</v>
      </c>
      <c r="F2839" s="1862">
        <v>3.5207127449562101</v>
      </c>
      <c r="G2839" s="1863">
        <v>0.58259796504999295</v>
      </c>
    </row>
    <row r="2840" spans="1:7" x14ac:dyDescent="0.3">
      <c r="A2840" s="6" t="s">
        <v>1005</v>
      </c>
      <c r="B2840" s="6" t="s">
        <v>1006</v>
      </c>
      <c r="C2840" s="1856">
        <v>100</v>
      </c>
      <c r="D2840" s="1856">
        <v>30700.766468797399</v>
      </c>
      <c r="E2840" s="1857">
        <v>14650.9373630468</v>
      </c>
      <c r="F2840" s="1858">
        <v>3.5063624203891699</v>
      </c>
      <c r="G2840" s="1859">
        <v>1.6716583721851801</v>
      </c>
    </row>
    <row r="2841" spans="1:7" x14ac:dyDescent="0.3">
      <c r="A2841" s="11" t="s">
        <v>1011</v>
      </c>
      <c r="B2841" s="11" t="s">
        <v>1012</v>
      </c>
      <c r="C2841" s="1860">
        <v>56</v>
      </c>
      <c r="D2841" s="1860">
        <v>25644.971131213701</v>
      </c>
      <c r="E2841" s="1861">
        <v>7356.9492091836901</v>
      </c>
      <c r="F2841" s="1862">
        <v>2.9289354432842298</v>
      </c>
      <c r="G2841" s="1863">
        <v>0.88243993783017505</v>
      </c>
    </row>
    <row r="2842" spans="1:7" x14ac:dyDescent="0.3">
      <c r="A2842" s="6" t="s">
        <v>970</v>
      </c>
      <c r="B2842" s="6" t="s">
        <v>988</v>
      </c>
      <c r="C2842" s="1856">
        <v>38</v>
      </c>
      <c r="D2842" s="1856">
        <v>21836.0454748212</v>
      </c>
      <c r="E2842" s="1857">
        <v>7484.5906330134203</v>
      </c>
      <c r="F2842" s="1858">
        <v>2.4939145848569799</v>
      </c>
      <c r="G2842" s="1859">
        <v>0.90746371398604897</v>
      </c>
    </row>
    <row r="2843" spans="1:7" x14ac:dyDescent="0.3">
      <c r="A2843" s="11" t="s">
        <v>972</v>
      </c>
      <c r="B2843" s="11" t="s">
        <v>989</v>
      </c>
      <c r="C2843" s="1860">
        <v>31</v>
      </c>
      <c r="D2843" s="1860">
        <v>17563.020137889001</v>
      </c>
      <c r="E2843" s="1861">
        <v>6811.9686628905301</v>
      </c>
      <c r="F2843" s="1862">
        <v>2.0058884804267398</v>
      </c>
      <c r="G2843" s="1863">
        <v>0.76294360445222398</v>
      </c>
    </row>
    <row r="2844" spans="1:7" x14ac:dyDescent="0.3">
      <c r="A2844" s="6" t="s">
        <v>993</v>
      </c>
      <c r="B2844" s="6" t="s">
        <v>994</v>
      </c>
      <c r="C2844" s="1856">
        <v>24</v>
      </c>
      <c r="D2844" s="1856">
        <v>14990.215997498501</v>
      </c>
      <c r="E2844" s="1857">
        <v>6890.0823932864796</v>
      </c>
      <c r="F2844" s="1858">
        <v>1.7120461829695901</v>
      </c>
      <c r="G2844" s="1859">
        <v>0.77193157740704899</v>
      </c>
    </row>
    <row r="2845" spans="1:7" x14ac:dyDescent="0.3">
      <c r="A2845" s="11" t="s">
        <v>1013</v>
      </c>
      <c r="B2845" s="11" t="s">
        <v>1014</v>
      </c>
      <c r="C2845" s="1860">
        <v>47</v>
      </c>
      <c r="D2845" s="1860">
        <v>13865.9757900198</v>
      </c>
      <c r="E2845" s="1861">
        <v>5446.7448411186097</v>
      </c>
      <c r="F2845" s="1862">
        <v>1.5836456878549099</v>
      </c>
      <c r="G2845" s="1863">
        <v>0.59349104723950696</v>
      </c>
    </row>
    <row r="2846" spans="1:7" x14ac:dyDescent="0.3">
      <c r="A2846" s="6" t="s">
        <v>1001</v>
      </c>
      <c r="B2846" s="6" t="s">
        <v>1002</v>
      </c>
      <c r="C2846" s="1856">
        <v>17</v>
      </c>
      <c r="D2846" s="1856">
        <v>13357.9416716003</v>
      </c>
      <c r="E2846" s="1857">
        <v>3410.6645746254098</v>
      </c>
      <c r="F2846" s="1858">
        <v>1.5256226498010499</v>
      </c>
      <c r="G2846" s="1859">
        <v>0.42913840016030003</v>
      </c>
    </row>
    <row r="2847" spans="1:7" x14ac:dyDescent="0.3">
      <c r="A2847" s="11" t="s">
        <v>995</v>
      </c>
      <c r="B2847" s="11" t="s">
        <v>996</v>
      </c>
      <c r="C2847" s="1860">
        <v>15</v>
      </c>
      <c r="D2847" s="1860">
        <v>11325.913231693001</v>
      </c>
      <c r="E2847" s="1861">
        <v>4700.4306601397002</v>
      </c>
      <c r="F2847" s="1862">
        <v>1.29354283622067</v>
      </c>
      <c r="G2847" s="1863">
        <v>0.51723594715575105</v>
      </c>
    </row>
    <row r="2848" spans="1:7" x14ac:dyDescent="0.3">
      <c r="A2848" s="6" t="s">
        <v>981</v>
      </c>
      <c r="B2848" s="6" t="s">
        <v>990</v>
      </c>
      <c r="C2848" s="1856">
        <v>15</v>
      </c>
      <c r="D2848" s="1856">
        <v>9784.5364410051207</v>
      </c>
      <c r="E2848" s="1857">
        <v>3179.2657896728401</v>
      </c>
      <c r="F2848" s="1858">
        <v>1.11750079310032</v>
      </c>
      <c r="G2848" s="1859">
        <v>0.39612317803831798</v>
      </c>
    </row>
    <row r="2849" spans="1:7" x14ac:dyDescent="0.3">
      <c r="A2849" s="11" t="s">
        <v>1003</v>
      </c>
      <c r="B2849" s="11" t="s">
        <v>1004</v>
      </c>
      <c r="C2849" s="1860">
        <v>17</v>
      </c>
      <c r="D2849" s="1860">
        <v>9143.1368623251801</v>
      </c>
      <c r="E2849" s="1861">
        <v>4540.9442294834698</v>
      </c>
      <c r="F2849" s="1862">
        <v>1.0442459647095499</v>
      </c>
      <c r="G2849" s="1863">
        <v>0.54387895498197802</v>
      </c>
    </row>
    <row r="2850" spans="1:7" x14ac:dyDescent="0.3">
      <c r="A2850" s="6" t="s">
        <v>999</v>
      </c>
      <c r="B2850" s="6" t="s">
        <v>1000</v>
      </c>
      <c r="C2850" s="1856">
        <v>10</v>
      </c>
      <c r="D2850" s="1856">
        <v>7283.8078407015901</v>
      </c>
      <c r="E2850" s="1857">
        <v>3910.03790730126</v>
      </c>
      <c r="F2850" s="1858">
        <v>0.831890308534453</v>
      </c>
      <c r="G2850" s="1859">
        <v>0.42763733999275899</v>
      </c>
    </row>
    <row r="2851" spans="1:7" x14ac:dyDescent="0.3">
      <c r="A2851" s="11" t="s">
        <v>960</v>
      </c>
      <c r="B2851" s="11" t="s">
        <v>961</v>
      </c>
      <c r="C2851" s="1860">
        <v>17024</v>
      </c>
      <c r="D2851" s="1860">
        <v>9330166.8989079706</v>
      </c>
      <c r="E2851" s="1861">
        <v>51693.436943464098</v>
      </c>
      <c r="F2851" s="1862">
        <v>99.902348092926104</v>
      </c>
      <c r="G2851" s="1863">
        <v>4.56842743374586E-2</v>
      </c>
    </row>
    <row r="2852" spans="1:7" x14ac:dyDescent="0.3">
      <c r="A2852" s="6" t="s">
        <v>958</v>
      </c>
      <c r="B2852" s="6" t="s">
        <v>959</v>
      </c>
      <c r="C2852" s="1856">
        <v>7</v>
      </c>
      <c r="D2852" s="1856">
        <v>5050.6811113144404</v>
      </c>
      <c r="E2852" s="1857">
        <v>4498.6917437232396</v>
      </c>
      <c r="F2852" s="1858">
        <v>5.4079943901963697E-2</v>
      </c>
      <c r="G2852" s="1859">
        <v>4.8149343100490301E-2</v>
      </c>
    </row>
    <row r="2853" spans="1:7" x14ac:dyDescent="0.3">
      <c r="A2853" s="11" t="s">
        <v>956</v>
      </c>
      <c r="B2853" s="11" t="s">
        <v>957</v>
      </c>
      <c r="C2853" s="1860">
        <v>2</v>
      </c>
      <c r="D2853" s="1860">
        <v>2329.0611810197702</v>
      </c>
      <c r="E2853" s="1861">
        <v>2337.6586482873799</v>
      </c>
      <c r="F2853" s="1862">
        <v>2.4938319255917302E-2</v>
      </c>
      <c r="G2853" s="1863">
        <v>2.50429681300075E-2</v>
      </c>
    </row>
    <row r="2854" spans="1:7" x14ac:dyDescent="0.3">
      <c r="A2854" s="6" t="s">
        <v>974</v>
      </c>
      <c r="B2854" s="6" t="s">
        <v>975</v>
      </c>
      <c r="C2854" s="1856">
        <v>4</v>
      </c>
      <c r="D2854" s="1856">
        <v>1740.2494635057001</v>
      </c>
      <c r="E2854" s="1857">
        <v>1275.8738568804899</v>
      </c>
      <c r="F2854" s="1858">
        <v>1.8633643916061399E-2</v>
      </c>
      <c r="G2854" s="1859">
        <v>1.3686842394118701E-2</v>
      </c>
    </row>
    <row r="2855" spans="1:7" x14ac:dyDescent="0.3">
      <c r="A2855" s="11" t="s">
        <v>6269</v>
      </c>
      <c r="B2855" s="11" t="s">
        <v>6270</v>
      </c>
      <c r="C2855" s="1860">
        <v>1533</v>
      </c>
      <c r="D2855" s="1860">
        <v>875573.10933619703</v>
      </c>
      <c r="E2855" s="1861">
        <v>51079.879934242002</v>
      </c>
      <c r="F2855" s="1862">
        <v>8.5715625014556807</v>
      </c>
      <c r="G2855" s="1863">
        <v>0.50005462565554804</v>
      </c>
    </row>
    <row r="2856" spans="1:7" x14ac:dyDescent="0.3">
      <c r="A2856" s="6" t="s">
        <v>6269</v>
      </c>
      <c r="B2856" s="6" t="s">
        <v>6271</v>
      </c>
      <c r="C2856" s="1856">
        <v>18570</v>
      </c>
      <c r="D2856" s="1856">
        <v>10214860</v>
      </c>
      <c r="E2856" s="1857">
        <v>0</v>
      </c>
      <c r="F2856" s="1858">
        <v>100</v>
      </c>
      <c r="G2856" s="1859">
        <v>0</v>
      </c>
    </row>
    <row r="2857" spans="1:7" x14ac:dyDescent="0.3">
      <c r="A2857" s="3299" t="s">
        <v>44</v>
      </c>
      <c r="B2857" s="3298"/>
      <c r="C2857" s="3298"/>
      <c r="D2857" s="3298"/>
      <c r="E2857" s="3298"/>
      <c r="F2857" s="3298"/>
      <c r="G2857" s="3298"/>
    </row>
    <row r="2858" spans="1:7" x14ac:dyDescent="0.3">
      <c r="A2858" s="11" t="s">
        <v>962</v>
      </c>
      <c r="B2858" s="11" t="s">
        <v>1016</v>
      </c>
      <c r="C2858" s="1868">
        <v>386</v>
      </c>
      <c r="D2858" s="1868">
        <v>201059.38378948101</v>
      </c>
      <c r="E2858" s="1869">
        <v>28464.621356239499</v>
      </c>
      <c r="F2858" s="1870">
        <v>33.6895593889151</v>
      </c>
      <c r="G2858" s="1871">
        <v>3.1840375877559999</v>
      </c>
    </row>
    <row r="2859" spans="1:7" x14ac:dyDescent="0.3">
      <c r="A2859" s="6" t="s">
        <v>966</v>
      </c>
      <c r="B2859" s="6" t="s">
        <v>986</v>
      </c>
      <c r="C2859" s="1864">
        <v>210</v>
      </c>
      <c r="D2859" s="1864">
        <v>148663.10239925899</v>
      </c>
      <c r="E2859" s="1865">
        <v>15758.791156868499</v>
      </c>
      <c r="F2859" s="1866">
        <v>24.9100256989956</v>
      </c>
      <c r="G2859" s="1867">
        <v>2.2479564827927101</v>
      </c>
    </row>
    <row r="2860" spans="1:7" x14ac:dyDescent="0.3">
      <c r="A2860" s="11" t="s">
        <v>1009</v>
      </c>
      <c r="B2860" s="11" t="s">
        <v>1010</v>
      </c>
      <c r="C2860" s="1868">
        <v>182</v>
      </c>
      <c r="D2860" s="1868">
        <v>84600.465452778197</v>
      </c>
      <c r="E2860" s="1869">
        <v>20403.940535520302</v>
      </c>
      <c r="F2860" s="1870">
        <v>14.1756746264849</v>
      </c>
      <c r="G2860" s="1871">
        <v>2.77944811458207</v>
      </c>
    </row>
    <row r="2861" spans="1:7" x14ac:dyDescent="0.3">
      <c r="A2861" s="6" t="s">
        <v>991</v>
      </c>
      <c r="B2861" s="6" t="s">
        <v>992</v>
      </c>
      <c r="C2861" s="1864">
        <v>37</v>
      </c>
      <c r="D2861" s="1864">
        <v>47369.239821060801</v>
      </c>
      <c r="E2861" s="1865">
        <v>9378.9124192560303</v>
      </c>
      <c r="F2861" s="1866">
        <v>7.9372013784261899</v>
      </c>
      <c r="G2861" s="1867">
        <v>1.14826421274472</v>
      </c>
    </row>
    <row r="2862" spans="1:7" x14ac:dyDescent="0.3">
      <c r="A2862" s="11" t="s">
        <v>968</v>
      </c>
      <c r="B2862" s="11" t="s">
        <v>987</v>
      </c>
      <c r="C2862" s="1868">
        <v>52</v>
      </c>
      <c r="D2862" s="1868">
        <v>24750.168246008401</v>
      </c>
      <c r="E2862" s="1869">
        <v>4278.1249524100003</v>
      </c>
      <c r="F2862" s="1870">
        <v>4.14714422820769</v>
      </c>
      <c r="G2862" s="1871">
        <v>0.554501886371351</v>
      </c>
    </row>
    <row r="2863" spans="1:7" x14ac:dyDescent="0.3">
      <c r="A2863" s="6" t="s">
        <v>1005</v>
      </c>
      <c r="B2863" s="6" t="s">
        <v>1006</v>
      </c>
      <c r="C2863" s="1864">
        <v>85</v>
      </c>
      <c r="D2863" s="1864">
        <v>22620.557525308101</v>
      </c>
      <c r="E2863" s="1865">
        <v>12062.0437612396</v>
      </c>
      <c r="F2863" s="1866">
        <v>3.7903061364058002</v>
      </c>
      <c r="G2863" s="1867">
        <v>1.9514663746388501</v>
      </c>
    </row>
    <row r="2864" spans="1:7" x14ac:dyDescent="0.3">
      <c r="A2864" s="11" t="s">
        <v>983</v>
      </c>
      <c r="B2864" s="11" t="s">
        <v>1015</v>
      </c>
      <c r="C2864" s="1868">
        <v>33</v>
      </c>
      <c r="D2864" s="1868">
        <v>18280.684456041501</v>
      </c>
      <c r="E2864" s="1869">
        <v>3971.5497733549701</v>
      </c>
      <c r="F2864" s="1870">
        <v>3.0631159463647299</v>
      </c>
      <c r="G2864" s="1871">
        <v>0.64719127338761195</v>
      </c>
    </row>
    <row r="2865" spans="1:7" x14ac:dyDescent="0.3">
      <c r="A2865" s="6" t="s">
        <v>1011</v>
      </c>
      <c r="B2865" s="6" t="s">
        <v>1012</v>
      </c>
      <c r="C2865" s="1864">
        <v>32</v>
      </c>
      <c r="D2865" s="1864">
        <v>15528.960329850601</v>
      </c>
      <c r="E2865" s="1865">
        <v>5135.3150322384799</v>
      </c>
      <c r="F2865" s="1866">
        <v>2.6020363805968199</v>
      </c>
      <c r="G2865" s="1867">
        <v>0.749552976906386</v>
      </c>
    </row>
    <row r="2866" spans="1:7" x14ac:dyDescent="0.3">
      <c r="A2866" s="11" t="s">
        <v>997</v>
      </c>
      <c r="B2866" s="11" t="s">
        <v>998</v>
      </c>
      <c r="C2866" s="1868">
        <v>15</v>
      </c>
      <c r="D2866" s="1868">
        <v>10463.0403999232</v>
      </c>
      <c r="E2866" s="1869">
        <v>3991.37792929955</v>
      </c>
      <c r="F2866" s="1870">
        <v>1.7531896014906301</v>
      </c>
      <c r="G2866" s="1871">
        <v>0.76956607589112302</v>
      </c>
    </row>
    <row r="2867" spans="1:7" x14ac:dyDescent="0.3">
      <c r="A2867" s="6" t="s">
        <v>1007</v>
      </c>
      <c r="B2867" s="6" t="s">
        <v>1008</v>
      </c>
      <c r="C2867" s="1864">
        <v>11</v>
      </c>
      <c r="D2867" s="1864">
        <v>4642.2970501479003</v>
      </c>
      <c r="E2867" s="1865">
        <v>2904.6872693230798</v>
      </c>
      <c r="F2867" s="1866">
        <v>0.77786442604289596</v>
      </c>
      <c r="G2867" s="1867">
        <v>0.49143164785760901</v>
      </c>
    </row>
    <row r="2868" spans="1:7" x14ac:dyDescent="0.3">
      <c r="A2868" s="11" t="s">
        <v>1003</v>
      </c>
      <c r="B2868" s="11" t="s">
        <v>1004</v>
      </c>
      <c r="C2868" s="1868">
        <v>7</v>
      </c>
      <c r="D2868" s="1868">
        <v>4474.74724364745</v>
      </c>
      <c r="E2868" s="1869">
        <v>2310.25849119237</v>
      </c>
      <c r="F2868" s="1870">
        <v>0.74978973959797801</v>
      </c>
      <c r="G2868" s="1871">
        <v>0.39534655194367802</v>
      </c>
    </row>
    <row r="2869" spans="1:7" x14ac:dyDescent="0.3">
      <c r="A2869" s="6" t="s">
        <v>981</v>
      </c>
      <c r="B2869" s="6" t="s">
        <v>990</v>
      </c>
      <c r="C2869" s="1864">
        <v>9</v>
      </c>
      <c r="D2869" s="1864">
        <v>2966.8881722221199</v>
      </c>
      <c r="E2869" s="1865">
        <v>1551.0978691205701</v>
      </c>
      <c r="F2869" s="1866">
        <v>0.497132505802379</v>
      </c>
      <c r="G2869" s="1867">
        <v>0.28249655526657902</v>
      </c>
    </row>
    <row r="2870" spans="1:7" x14ac:dyDescent="0.3">
      <c r="A2870" s="11" t="s">
        <v>964</v>
      </c>
      <c r="B2870" s="11" t="s">
        <v>1017</v>
      </c>
      <c r="C2870" s="1868">
        <v>3</v>
      </c>
      <c r="D2870" s="1868">
        <v>2729.5557081347602</v>
      </c>
      <c r="E2870" s="1869">
        <v>1499.1554227173001</v>
      </c>
      <c r="F2870" s="1870">
        <v>0.45736502023124698</v>
      </c>
      <c r="G2870" s="1871">
        <v>0.27182622115704402</v>
      </c>
    </row>
    <row r="2871" spans="1:7" x14ac:dyDescent="0.3">
      <c r="A2871" s="6" t="s">
        <v>1013</v>
      </c>
      <c r="B2871" s="6" t="s">
        <v>1014</v>
      </c>
      <c r="C2871" s="1864">
        <v>16</v>
      </c>
      <c r="D2871" s="1864">
        <v>2228.5750599760399</v>
      </c>
      <c r="E2871" s="1865">
        <v>1285.15344416826</v>
      </c>
      <c r="F2871" s="1866">
        <v>0.37342058062970002</v>
      </c>
      <c r="G2871" s="1867">
        <v>0.23236503810329401</v>
      </c>
    </row>
    <row r="2872" spans="1:7" x14ac:dyDescent="0.3">
      <c r="A2872" s="11" t="s">
        <v>972</v>
      </c>
      <c r="B2872" s="11" t="s">
        <v>989</v>
      </c>
      <c r="C2872" s="1868">
        <v>6</v>
      </c>
      <c r="D2872" s="1868">
        <v>2055.7910515538802</v>
      </c>
      <c r="E2872" s="1869">
        <v>1151.9418416517899</v>
      </c>
      <c r="F2872" s="1870">
        <v>0.344468850034086</v>
      </c>
      <c r="G2872" s="1871">
        <v>0.20675781352795899</v>
      </c>
    </row>
    <row r="2873" spans="1:7" x14ac:dyDescent="0.3">
      <c r="A2873" s="6" t="s">
        <v>1001</v>
      </c>
      <c r="B2873" s="6" t="s">
        <v>1002</v>
      </c>
      <c r="C2873" s="1864">
        <v>4</v>
      </c>
      <c r="D2873" s="1864">
        <v>1961.96142208166</v>
      </c>
      <c r="E2873" s="1865">
        <v>1090.35745534532</v>
      </c>
      <c r="F2873" s="1866">
        <v>0.32874673443338398</v>
      </c>
      <c r="G2873" s="1867">
        <v>0.176070792691811</v>
      </c>
    </row>
    <row r="2874" spans="1:7" x14ac:dyDescent="0.3">
      <c r="A2874" s="11" t="s">
        <v>970</v>
      </c>
      <c r="B2874" s="11" t="s">
        <v>988</v>
      </c>
      <c r="C2874" s="1868">
        <v>6</v>
      </c>
      <c r="D2874" s="1868">
        <v>1064.5680719250699</v>
      </c>
      <c r="E2874" s="1869">
        <v>1100.3787182916899</v>
      </c>
      <c r="F2874" s="1870">
        <v>0.178379285794563</v>
      </c>
      <c r="G2874" s="1871">
        <v>0.18788775547735201</v>
      </c>
    </row>
    <row r="2875" spans="1:7" x14ac:dyDescent="0.3">
      <c r="A2875" s="6" t="s">
        <v>995</v>
      </c>
      <c r="B2875" s="6" t="s">
        <v>996</v>
      </c>
      <c r="C2875" s="1864">
        <v>4</v>
      </c>
      <c r="D2875" s="1864">
        <v>937.15745335918598</v>
      </c>
      <c r="E2875" s="1865">
        <v>400.580508644671</v>
      </c>
      <c r="F2875" s="1866">
        <v>0.15703033147046</v>
      </c>
      <c r="G2875" s="1867">
        <v>5.78564144341649E-2</v>
      </c>
    </row>
    <row r="2876" spans="1:7" x14ac:dyDescent="0.3">
      <c r="A2876" s="11" t="s">
        <v>999</v>
      </c>
      <c r="B2876" s="11" t="s">
        <v>1000</v>
      </c>
      <c r="C2876" s="1868">
        <v>1</v>
      </c>
      <c r="D2876" s="1868">
        <v>403.13345515654498</v>
      </c>
      <c r="E2876" s="1869">
        <v>410.49937142703197</v>
      </c>
      <c r="F2876" s="1870">
        <v>6.75491400758262E-2</v>
      </c>
      <c r="G2876" s="1871">
        <v>6.9434413280228896E-2</v>
      </c>
    </row>
    <row r="2877" spans="1:7" x14ac:dyDescent="0.3">
      <c r="A2877" s="6" t="s">
        <v>960</v>
      </c>
      <c r="B2877" s="6" t="s">
        <v>961</v>
      </c>
      <c r="C2877" s="1864">
        <v>17470</v>
      </c>
      <c r="D2877" s="1864">
        <v>9615730.6617110595</v>
      </c>
      <c r="E2877" s="1865">
        <v>61515.987044494803</v>
      </c>
      <c r="F2877" s="1866">
        <v>99.975784500740005</v>
      </c>
      <c r="G2877" s="1867">
        <v>2.4322694114384501E-2</v>
      </c>
    </row>
    <row r="2878" spans="1:7" x14ac:dyDescent="0.3">
      <c r="A2878" s="11" t="s">
        <v>956</v>
      </c>
      <c r="B2878" s="11" t="s">
        <v>957</v>
      </c>
      <c r="C2878" s="1868">
        <v>1</v>
      </c>
      <c r="D2878" s="1868">
        <v>2329.0611810197702</v>
      </c>
      <c r="E2878" s="1869">
        <v>2337.6586482873799</v>
      </c>
      <c r="F2878" s="1870">
        <v>2.4215499259963399E-2</v>
      </c>
      <c r="G2878" s="1871">
        <v>2.4322694114382301E-2</v>
      </c>
    </row>
    <row r="2879" spans="1:7" x14ac:dyDescent="0.3">
      <c r="A2879" s="6" t="s">
        <v>6269</v>
      </c>
      <c r="B2879" s="6" t="s">
        <v>6270</v>
      </c>
      <c r="C2879" s="1864">
        <v>1099</v>
      </c>
      <c r="D2879" s="1864">
        <v>596800.27710791596</v>
      </c>
      <c r="E2879" s="1865">
        <v>60846.169541104202</v>
      </c>
      <c r="F2879" s="1866">
        <v>5.8424714299355598</v>
      </c>
      <c r="G2879" s="1867">
        <v>0.59566327429941601</v>
      </c>
    </row>
    <row r="2880" spans="1:7" x14ac:dyDescent="0.3">
      <c r="A2880" s="11" t="s">
        <v>6269</v>
      </c>
      <c r="B2880" s="11" t="s">
        <v>6271</v>
      </c>
      <c r="C2880" s="1868">
        <v>18570</v>
      </c>
      <c r="D2880" s="1868">
        <v>10214860</v>
      </c>
      <c r="E2880" s="1869">
        <v>0</v>
      </c>
      <c r="F2880" s="1870">
        <v>100</v>
      </c>
      <c r="G2880" s="1871">
        <v>0</v>
      </c>
    </row>
    <row r="2881" spans="1:7" x14ac:dyDescent="0.3">
      <c r="A2881" s="3299" t="s">
        <v>152</v>
      </c>
      <c r="B2881" s="3298"/>
      <c r="C2881" s="3298"/>
      <c r="D2881" s="3298"/>
      <c r="E2881" s="3298"/>
      <c r="F2881" s="3298"/>
      <c r="G2881" s="3298"/>
    </row>
    <row r="2882" spans="1:7" x14ac:dyDescent="0.3">
      <c r="A2882" s="11" t="s">
        <v>962</v>
      </c>
      <c r="B2882" s="11" t="s">
        <v>1039</v>
      </c>
      <c r="C2882" s="1876">
        <v>14325</v>
      </c>
      <c r="D2882" s="1876">
        <v>7031797.5332274297</v>
      </c>
      <c r="E2882" s="1877">
        <v>42220.5364243285</v>
      </c>
      <c r="F2882" s="1878">
        <v>68.838902669516898</v>
      </c>
      <c r="G2882" s="1879">
        <v>0.41332467037561799</v>
      </c>
    </row>
    <row r="2883" spans="1:7" x14ac:dyDescent="0.3">
      <c r="A2883" s="6" t="s">
        <v>964</v>
      </c>
      <c r="B2883" s="6" t="s">
        <v>1040</v>
      </c>
      <c r="C2883" s="1872">
        <v>4245</v>
      </c>
      <c r="D2883" s="1872">
        <v>3183062.4667725898</v>
      </c>
      <c r="E2883" s="1873">
        <v>42220.536424330799</v>
      </c>
      <c r="F2883" s="1874">
        <v>31.161097330483098</v>
      </c>
      <c r="G2883" s="1875">
        <v>0.41332467037560999</v>
      </c>
    </row>
    <row r="2884" spans="1:7" x14ac:dyDescent="0.3">
      <c r="A2884" s="11" t="s">
        <v>6269</v>
      </c>
      <c r="B2884" s="11" t="s">
        <v>6270</v>
      </c>
      <c r="C2884" s="1876">
        <v>18570</v>
      </c>
      <c r="D2884" s="1876">
        <v>10214860</v>
      </c>
      <c r="E2884" s="1877">
        <v>2.39962320847035E-7</v>
      </c>
      <c r="F2884" s="1878">
        <v>100</v>
      </c>
      <c r="G2884" s="1879">
        <v>2.29838001744816E-14</v>
      </c>
    </row>
    <row r="2885" spans="1:7" x14ac:dyDescent="0.3">
      <c r="A2885" s="6" t="s">
        <v>6269</v>
      </c>
      <c r="B2885" s="6" t="s">
        <v>6271</v>
      </c>
      <c r="C2885" s="1872">
        <v>18570</v>
      </c>
      <c r="D2885" s="1872">
        <v>10214860</v>
      </c>
      <c r="E2885" s="1873">
        <v>0</v>
      </c>
      <c r="F2885" s="1874">
        <v>100</v>
      </c>
      <c r="G2885" s="1875">
        <v>0</v>
      </c>
    </row>
    <row r="2886" spans="1:7" x14ac:dyDescent="0.3">
      <c r="A2886" s="3299" t="s">
        <v>602</v>
      </c>
      <c r="B2886" s="3298"/>
      <c r="C2886" s="3298"/>
      <c r="D2886" s="3298"/>
      <c r="E2886" s="3298"/>
      <c r="F2886" s="3298"/>
      <c r="G2886" s="3298"/>
    </row>
    <row r="2887" spans="1:7" x14ac:dyDescent="0.3">
      <c r="A2887" s="11" t="s">
        <v>962</v>
      </c>
      <c r="B2887" s="11" t="s">
        <v>1039</v>
      </c>
      <c r="C2887" s="1884">
        <v>10506</v>
      </c>
      <c r="D2887" s="1884">
        <v>5314306.6902046902</v>
      </c>
      <c r="E2887" s="1885">
        <v>71918.484254522395</v>
      </c>
      <c r="F2887" s="1886">
        <v>52.025252330474501</v>
      </c>
      <c r="G2887" s="1887">
        <v>0.70405746387613699</v>
      </c>
    </row>
    <row r="2888" spans="1:7" x14ac:dyDescent="0.3">
      <c r="A2888" s="6" t="s">
        <v>964</v>
      </c>
      <c r="B2888" s="6" t="s">
        <v>1040</v>
      </c>
      <c r="C2888" s="1880">
        <v>8064</v>
      </c>
      <c r="D2888" s="1880">
        <v>4900553.30979528</v>
      </c>
      <c r="E2888" s="1881">
        <v>71918.484254477502</v>
      </c>
      <c r="F2888" s="1882">
        <v>47.974747669525499</v>
      </c>
      <c r="G2888" s="1883">
        <v>0.70405746387615098</v>
      </c>
    </row>
    <row r="2889" spans="1:7" x14ac:dyDescent="0.3">
      <c r="A2889" s="11" t="s">
        <v>6269</v>
      </c>
      <c r="B2889" s="11" t="s">
        <v>6270</v>
      </c>
      <c r="C2889" s="1884">
        <v>18570</v>
      </c>
      <c r="D2889" s="1884">
        <v>10214860</v>
      </c>
      <c r="E2889" s="1885">
        <v>2.1834187626636299E-7</v>
      </c>
      <c r="F2889" s="1886">
        <v>100</v>
      </c>
      <c r="G2889" s="1887">
        <v>2.0557335828564899E-14</v>
      </c>
    </row>
    <row r="2890" spans="1:7" x14ac:dyDescent="0.3">
      <c r="A2890" s="6" t="s">
        <v>6269</v>
      </c>
      <c r="B2890" s="6" t="s">
        <v>6271</v>
      </c>
      <c r="C2890" s="1880">
        <v>18570</v>
      </c>
      <c r="D2890" s="1880">
        <v>10214860</v>
      </c>
      <c r="E2890" s="1881">
        <v>0</v>
      </c>
      <c r="F2890" s="1882">
        <v>100</v>
      </c>
      <c r="G2890" s="1883">
        <v>0</v>
      </c>
    </row>
    <row r="2891" spans="1:7" x14ac:dyDescent="0.3">
      <c r="A2891" s="3299" t="s">
        <v>434</v>
      </c>
      <c r="B2891" s="3298"/>
      <c r="C2891" s="3298"/>
      <c r="D2891" s="3298"/>
      <c r="E2891" s="3298"/>
      <c r="F2891" s="3298"/>
      <c r="G2891" s="3298"/>
    </row>
    <row r="2892" spans="1:7" x14ac:dyDescent="0.3">
      <c r="A2892" s="11" t="s">
        <v>964</v>
      </c>
      <c r="B2892" s="11" t="s">
        <v>1040</v>
      </c>
      <c r="C2892" s="1892">
        <v>17091</v>
      </c>
      <c r="D2892" s="1892">
        <v>9213264.3720529806</v>
      </c>
      <c r="E2892" s="1893">
        <v>37487.665179955598</v>
      </c>
      <c r="F2892" s="1894">
        <v>90.194719967311997</v>
      </c>
      <c r="G2892" s="1895">
        <v>0.36699147301065399</v>
      </c>
    </row>
    <row r="2893" spans="1:7" x14ac:dyDescent="0.3">
      <c r="A2893" s="6" t="s">
        <v>962</v>
      </c>
      <c r="B2893" s="6" t="s">
        <v>1039</v>
      </c>
      <c r="C2893" s="1888">
        <v>1479</v>
      </c>
      <c r="D2893" s="1888">
        <v>1001595.62794703</v>
      </c>
      <c r="E2893" s="1889">
        <v>37487.665179978998</v>
      </c>
      <c r="F2893" s="1890">
        <v>9.8052800326879908</v>
      </c>
      <c r="G2893" s="1891">
        <v>0.36699147301065899</v>
      </c>
    </row>
    <row r="2894" spans="1:7" x14ac:dyDescent="0.3">
      <c r="A2894" s="11" t="s">
        <v>6269</v>
      </c>
      <c r="B2894" s="11" t="s">
        <v>6270</v>
      </c>
      <c r="C2894" s="1892">
        <v>18570</v>
      </c>
      <c r="D2894" s="1892">
        <v>10214860</v>
      </c>
      <c r="E2894" s="1893">
        <v>1.4007572744460101E-7</v>
      </c>
      <c r="F2894" s="1894">
        <v>100</v>
      </c>
      <c r="G2894" s="1895">
        <v>9.4764635797477106E-14</v>
      </c>
    </row>
    <row r="2895" spans="1:7" x14ac:dyDescent="0.3">
      <c r="A2895" s="6" t="s">
        <v>6269</v>
      </c>
      <c r="B2895" s="6" t="s">
        <v>6271</v>
      </c>
      <c r="C2895" s="1888">
        <v>18570</v>
      </c>
      <c r="D2895" s="1888">
        <v>10214860</v>
      </c>
      <c r="E2895" s="1889">
        <v>0</v>
      </c>
      <c r="F2895" s="1890">
        <v>100</v>
      </c>
      <c r="G2895" s="1891">
        <v>0</v>
      </c>
    </row>
    <row r="2896" spans="1:7" x14ac:dyDescent="0.3">
      <c r="A2896" s="3299" t="s">
        <v>150</v>
      </c>
      <c r="B2896" s="3298"/>
      <c r="C2896" s="3298"/>
      <c r="D2896" s="3298"/>
      <c r="E2896" s="3298"/>
      <c r="F2896" s="3298"/>
      <c r="G2896" s="3298"/>
    </row>
    <row r="2897" spans="1:7" x14ac:dyDescent="0.3">
      <c r="A2897" s="11" t="s">
        <v>974</v>
      </c>
      <c r="B2897" s="11" t="s">
        <v>975</v>
      </c>
      <c r="C2897" s="1900">
        <v>10730</v>
      </c>
      <c r="D2897" s="1900">
        <v>5524857.5593522303</v>
      </c>
      <c r="E2897" s="1901">
        <v>35940.088641142996</v>
      </c>
      <c r="F2897" s="1902">
        <v>89.482715851878794</v>
      </c>
      <c r="G2897" s="1903">
        <v>6.1194052879286802E-2</v>
      </c>
    </row>
    <row r="2898" spans="1:7" x14ac:dyDescent="0.3">
      <c r="A2898" s="6" t="s">
        <v>960</v>
      </c>
      <c r="B2898" s="6" t="s">
        <v>961</v>
      </c>
      <c r="C2898" s="1896">
        <v>851</v>
      </c>
      <c r="D2898" s="1896">
        <v>649360.005185658</v>
      </c>
      <c r="E2898" s="1897">
        <v>7.74581865908651E-3</v>
      </c>
      <c r="F2898" s="1898">
        <v>10.517284148121201</v>
      </c>
      <c r="G2898" s="1899">
        <v>6.11940528792888E-2</v>
      </c>
    </row>
    <row r="2899" spans="1:7" x14ac:dyDescent="0.3">
      <c r="A2899" s="11" t="s">
        <v>6269</v>
      </c>
      <c r="B2899" s="11" t="s">
        <v>6270</v>
      </c>
      <c r="C2899" s="1900">
        <v>6662</v>
      </c>
      <c r="D2899" s="1900">
        <v>4040642.4354620799</v>
      </c>
      <c r="E2899" s="1901">
        <v>35940.086410224998</v>
      </c>
      <c r="F2899" s="1902">
        <v>39.556513113856603</v>
      </c>
      <c r="G2899" s="1903">
        <v>0.35184120399320101</v>
      </c>
    </row>
    <row r="2900" spans="1:7" x14ac:dyDescent="0.3">
      <c r="A2900" s="6" t="s">
        <v>6269</v>
      </c>
      <c r="B2900" s="6" t="s">
        <v>6271</v>
      </c>
      <c r="C2900" s="1896">
        <v>18243</v>
      </c>
      <c r="D2900" s="1896">
        <v>10214860</v>
      </c>
      <c r="E2900" s="1897">
        <v>0</v>
      </c>
      <c r="F2900" s="1898">
        <v>100</v>
      </c>
      <c r="G2900" s="1899">
        <v>0</v>
      </c>
    </row>
    <row r="2901" spans="1:7" x14ac:dyDescent="0.3">
      <c r="A2901" s="3299" t="s">
        <v>148</v>
      </c>
      <c r="B2901" s="3298"/>
      <c r="C2901" s="3298"/>
      <c r="D2901" s="3298"/>
      <c r="E2901" s="3298"/>
      <c r="F2901" s="3298"/>
      <c r="G2901" s="3298"/>
    </row>
    <row r="2902" spans="1:7" x14ac:dyDescent="0.3">
      <c r="A2902" s="11" t="s">
        <v>974</v>
      </c>
      <c r="B2902" s="11" t="s">
        <v>975</v>
      </c>
      <c r="C2902" s="1908">
        <v>15445</v>
      </c>
      <c r="D2902" s="1908">
        <v>7857949.4834500803</v>
      </c>
      <c r="E2902" s="1909">
        <v>15770.3751591821</v>
      </c>
      <c r="F2902" s="1910">
        <v>92.372564544785604</v>
      </c>
      <c r="G2902" s="1911">
        <v>1.50998914393783E-2</v>
      </c>
    </row>
    <row r="2903" spans="1:7" x14ac:dyDescent="0.3">
      <c r="A2903" s="6" t="s">
        <v>960</v>
      </c>
      <c r="B2903" s="6" t="s">
        <v>961</v>
      </c>
      <c r="C2903" s="1904">
        <v>850</v>
      </c>
      <c r="D2903" s="1904">
        <v>648850.69274321105</v>
      </c>
      <c r="E2903" s="1905">
        <v>514.87599032803496</v>
      </c>
      <c r="F2903" s="1906">
        <v>7.6274354552144299</v>
      </c>
      <c r="G2903" s="1907">
        <v>1.5099891439373901E-2</v>
      </c>
    </row>
    <row r="2904" spans="1:7" x14ac:dyDescent="0.3">
      <c r="A2904" s="11" t="s">
        <v>6269</v>
      </c>
      <c r="B2904" s="11" t="s">
        <v>6270</v>
      </c>
      <c r="C2904" s="1908">
        <v>2149</v>
      </c>
      <c r="D2904" s="1908">
        <v>1708059.8238067101</v>
      </c>
      <c r="E2904" s="1909">
        <v>15788.8232807884</v>
      </c>
      <c r="F2904" s="1910">
        <v>16.721323873324899</v>
      </c>
      <c r="G2904" s="1911">
        <v>0.154567201907678</v>
      </c>
    </row>
    <row r="2905" spans="1:7" x14ac:dyDescent="0.3">
      <c r="A2905" s="6" t="s">
        <v>6269</v>
      </c>
      <c r="B2905" s="6" t="s">
        <v>6271</v>
      </c>
      <c r="C2905" s="1904">
        <v>18444</v>
      </c>
      <c r="D2905" s="1904">
        <v>10214860</v>
      </c>
      <c r="E2905" s="1905">
        <v>0</v>
      </c>
      <c r="F2905" s="1906">
        <v>100</v>
      </c>
      <c r="G2905" s="1907">
        <v>0</v>
      </c>
    </row>
    <row r="2906" spans="1:7" x14ac:dyDescent="0.3">
      <c r="A2906" s="3299" t="s">
        <v>534</v>
      </c>
      <c r="B2906" s="3298"/>
      <c r="C2906" s="3298"/>
      <c r="D2906" s="3298"/>
      <c r="E2906" s="3298"/>
      <c r="F2906" s="3298"/>
      <c r="G2906" s="3298"/>
    </row>
    <row r="2907" spans="1:7" x14ac:dyDescent="0.3">
      <c r="A2907" s="11" t="s">
        <v>966</v>
      </c>
      <c r="B2907" s="11" t="s">
        <v>5980</v>
      </c>
      <c r="C2907" s="1916">
        <v>12644</v>
      </c>
      <c r="D2907" s="1916">
        <v>7221224.2752729403</v>
      </c>
      <c r="E2907" s="1917">
        <v>59130.902312075901</v>
      </c>
      <c r="F2907" s="1918">
        <v>70.693325951338906</v>
      </c>
      <c r="G2907" s="1919">
        <v>0.57887139238394003</v>
      </c>
    </row>
    <row r="2908" spans="1:7" x14ac:dyDescent="0.3">
      <c r="A2908" s="6" t="s">
        <v>964</v>
      </c>
      <c r="B2908" s="6" t="s">
        <v>5979</v>
      </c>
      <c r="C2908" s="1912">
        <v>5926</v>
      </c>
      <c r="D2908" s="1912">
        <v>2993635.7247270602</v>
      </c>
      <c r="E2908" s="1913">
        <v>59130.902312067898</v>
      </c>
      <c r="F2908" s="1914">
        <v>29.306674048661101</v>
      </c>
      <c r="G2908" s="1915">
        <v>0.57887139238394003</v>
      </c>
    </row>
    <row r="2909" spans="1:7" x14ac:dyDescent="0.3">
      <c r="A2909" s="11" t="s">
        <v>6269</v>
      </c>
      <c r="B2909" s="11" t="s">
        <v>6270</v>
      </c>
      <c r="C2909" s="1916">
        <v>18570</v>
      </c>
      <c r="D2909" s="1916">
        <v>10214860</v>
      </c>
      <c r="E2909" s="1917">
        <v>3.6955287480357499E-7</v>
      </c>
      <c r="F2909" s="1918">
        <v>100</v>
      </c>
      <c r="G2909" s="1919">
        <v>2.71947991102104E-14</v>
      </c>
    </row>
    <row r="2910" spans="1:7" x14ac:dyDescent="0.3">
      <c r="A2910" s="6" t="s">
        <v>6269</v>
      </c>
      <c r="B2910" s="6" t="s">
        <v>6271</v>
      </c>
      <c r="C2910" s="1912">
        <v>18570</v>
      </c>
      <c r="D2910" s="1912">
        <v>10214860</v>
      </c>
      <c r="E2910" s="1913">
        <v>0</v>
      </c>
      <c r="F2910" s="1914">
        <v>100</v>
      </c>
      <c r="G2910" s="1915">
        <v>0</v>
      </c>
    </row>
    <row r="2911" spans="1:7" x14ac:dyDescent="0.3">
      <c r="A2911" s="3299" t="s">
        <v>509</v>
      </c>
      <c r="B2911" s="3298"/>
      <c r="C2911" s="3298"/>
      <c r="D2911" s="3298"/>
      <c r="E2911" s="3298"/>
      <c r="F2911" s="3298"/>
      <c r="G2911" s="3298"/>
    </row>
    <row r="2912" spans="1:7" x14ac:dyDescent="0.3">
      <c r="A2912" s="11" t="s">
        <v>1011</v>
      </c>
      <c r="B2912" s="11"/>
      <c r="C2912" s="1924">
        <v>175</v>
      </c>
      <c r="D2912" s="1924">
        <v>198688.62482251201</v>
      </c>
      <c r="E2912" s="1925">
        <v>20471.9846574453</v>
      </c>
      <c r="F2912" s="1926">
        <v>1.94509395941317</v>
      </c>
      <c r="G2912" s="1927">
        <v>0.20041375660014399</v>
      </c>
    </row>
    <row r="2913" spans="1:7" x14ac:dyDescent="0.3">
      <c r="A2913" s="6" t="s">
        <v>999</v>
      </c>
      <c r="B2913" s="6"/>
      <c r="C2913" s="1920">
        <v>231</v>
      </c>
      <c r="D2913" s="1920">
        <v>185613.68019496501</v>
      </c>
      <c r="E2913" s="1921">
        <v>16500.691026230299</v>
      </c>
      <c r="F2913" s="1922">
        <v>1.8170947051155399</v>
      </c>
      <c r="G2913" s="1923">
        <v>0.161536144658178</v>
      </c>
    </row>
    <row r="2914" spans="1:7" x14ac:dyDescent="0.3">
      <c r="A2914" s="11" t="s">
        <v>1067</v>
      </c>
      <c r="B2914" s="11"/>
      <c r="C2914" s="1924">
        <v>244</v>
      </c>
      <c r="D2914" s="1924">
        <v>183543.00213926</v>
      </c>
      <c r="E2914" s="1925">
        <v>7961.9740600955001</v>
      </c>
      <c r="F2914" s="1926">
        <v>1.7968234722674601</v>
      </c>
      <c r="G2914" s="1927">
        <v>7.7945014029516604E-2</v>
      </c>
    </row>
    <row r="2915" spans="1:7" x14ac:dyDescent="0.3">
      <c r="A2915" s="6" t="s">
        <v>1005</v>
      </c>
      <c r="B2915" s="6"/>
      <c r="C2915" s="1920">
        <v>220</v>
      </c>
      <c r="D2915" s="1920">
        <v>161812.49428797999</v>
      </c>
      <c r="E2915" s="1921">
        <v>19794.235362594602</v>
      </c>
      <c r="F2915" s="1922">
        <v>1.58408920227963</v>
      </c>
      <c r="G2915" s="1923">
        <v>0.19377882185947301</v>
      </c>
    </row>
    <row r="2916" spans="1:7" x14ac:dyDescent="0.3">
      <c r="A2916" s="11" t="s">
        <v>1049</v>
      </c>
      <c r="B2916" s="11"/>
      <c r="C2916" s="1924">
        <v>154</v>
      </c>
      <c r="D2916" s="1924">
        <v>161313.45843115501</v>
      </c>
      <c r="E2916" s="1925">
        <v>14120.600288752001</v>
      </c>
      <c r="F2916" s="1926">
        <v>1.5792038112236</v>
      </c>
      <c r="G2916" s="1927">
        <v>0.13823586704812299</v>
      </c>
    </row>
    <row r="2917" spans="1:7" x14ac:dyDescent="0.3">
      <c r="A2917" s="6" t="s">
        <v>1055</v>
      </c>
      <c r="B2917" s="6"/>
      <c r="C2917" s="1920">
        <v>225</v>
      </c>
      <c r="D2917" s="1920">
        <v>159698.05535165701</v>
      </c>
      <c r="E2917" s="1921">
        <v>17168.405642446101</v>
      </c>
      <c r="F2917" s="1922">
        <v>1.56338956531618</v>
      </c>
      <c r="G2917" s="1923">
        <v>0.16807284331303701</v>
      </c>
    </row>
    <row r="2918" spans="1:7" x14ac:dyDescent="0.3">
      <c r="A2918" s="11" t="s">
        <v>1061</v>
      </c>
      <c r="B2918" s="11"/>
      <c r="C2918" s="1924">
        <v>224</v>
      </c>
      <c r="D2918" s="1924">
        <v>158280.39223335401</v>
      </c>
      <c r="E2918" s="1925">
        <v>10335.5401008763</v>
      </c>
      <c r="F2918" s="1926">
        <v>1.5495111262744099</v>
      </c>
      <c r="G2918" s="1927">
        <v>0.101181417081353</v>
      </c>
    </row>
    <row r="2919" spans="1:7" x14ac:dyDescent="0.3">
      <c r="A2919" s="6" t="s">
        <v>1007</v>
      </c>
      <c r="B2919" s="6"/>
      <c r="C2919" s="1920">
        <v>202</v>
      </c>
      <c r="D2919" s="1920">
        <v>157798.80636956901</v>
      </c>
      <c r="E2919" s="1921">
        <v>22524.653815560399</v>
      </c>
      <c r="F2919" s="1922">
        <v>1.5447965647064099</v>
      </c>
      <c r="G2919" s="1923">
        <v>0.220508688475029</v>
      </c>
    </row>
    <row r="2920" spans="1:7" x14ac:dyDescent="0.3">
      <c r="A2920" s="11" t="s">
        <v>3053</v>
      </c>
      <c r="B2920" s="11"/>
      <c r="C2920" s="1924">
        <v>225</v>
      </c>
      <c r="D2920" s="1924">
        <v>157788.81585160099</v>
      </c>
      <c r="E2920" s="1925">
        <v>18838.167965649202</v>
      </c>
      <c r="F2920" s="1926">
        <v>1.5446987609384799</v>
      </c>
      <c r="G2920" s="1927">
        <v>0.1844192477004</v>
      </c>
    </row>
    <row r="2921" spans="1:7" x14ac:dyDescent="0.3">
      <c r="A2921" s="6" t="s">
        <v>1075</v>
      </c>
      <c r="B2921" s="6"/>
      <c r="C2921" s="1920">
        <v>326</v>
      </c>
      <c r="D2921" s="1920">
        <v>156805.28506826601</v>
      </c>
      <c r="E2921" s="1921">
        <v>14612.204503860999</v>
      </c>
      <c r="F2921" s="1922">
        <v>1.53507032958128</v>
      </c>
      <c r="G2921" s="1923">
        <v>0.14304850486312001</v>
      </c>
    </row>
    <row r="2922" spans="1:7" x14ac:dyDescent="0.3">
      <c r="A2922" s="11" t="s">
        <v>3077</v>
      </c>
      <c r="B2922" s="11"/>
      <c r="C2922" s="1924">
        <v>321</v>
      </c>
      <c r="D2922" s="1924">
        <v>151801.828607192</v>
      </c>
      <c r="E2922" s="1925">
        <v>17323.6721711145</v>
      </c>
      <c r="F2922" s="1926">
        <v>1.4860881951117499</v>
      </c>
      <c r="G2922" s="1927">
        <v>0.169592849741596</v>
      </c>
    </row>
    <row r="2923" spans="1:7" x14ac:dyDescent="0.3">
      <c r="A2923" s="6" t="s">
        <v>3049</v>
      </c>
      <c r="B2923" s="6"/>
      <c r="C2923" s="1920">
        <v>195</v>
      </c>
      <c r="D2923" s="1920">
        <v>151703.89998202099</v>
      </c>
      <c r="E2923" s="1921">
        <v>17035.4284680522</v>
      </c>
      <c r="F2923" s="1922">
        <v>1.48512950722792</v>
      </c>
      <c r="G2923" s="1923">
        <v>0.16677104207059201</v>
      </c>
    </row>
    <row r="2924" spans="1:7" x14ac:dyDescent="0.3">
      <c r="A2924" s="11" t="s">
        <v>1053</v>
      </c>
      <c r="B2924" s="11"/>
      <c r="C2924" s="1924">
        <v>156</v>
      </c>
      <c r="D2924" s="1924">
        <v>151613.76635369199</v>
      </c>
      <c r="E2924" s="1925">
        <v>27997.868932250101</v>
      </c>
      <c r="F2924" s="1926">
        <v>1.48424712970802</v>
      </c>
      <c r="G2924" s="1927">
        <v>0.27408960017318001</v>
      </c>
    </row>
    <row r="2925" spans="1:7" x14ac:dyDescent="0.3">
      <c r="A2925" s="6" t="s">
        <v>3161</v>
      </c>
      <c r="B2925" s="6"/>
      <c r="C2925" s="1920">
        <v>341</v>
      </c>
      <c r="D2925" s="1920">
        <v>151571.10579595101</v>
      </c>
      <c r="E2925" s="1921">
        <v>8169.23500574628</v>
      </c>
      <c r="F2925" s="1922">
        <v>1.48382949737883</v>
      </c>
      <c r="G2925" s="1923">
        <v>7.9974028089922503E-2</v>
      </c>
    </row>
    <row r="2926" spans="1:7" x14ac:dyDescent="0.3">
      <c r="A2926" s="11" t="s">
        <v>6274</v>
      </c>
      <c r="B2926" s="11"/>
      <c r="C2926" s="1924">
        <v>190</v>
      </c>
      <c r="D2926" s="1924">
        <v>151085.255229284</v>
      </c>
      <c r="E2926" s="1925">
        <v>10380.362975926901</v>
      </c>
      <c r="F2926" s="1926">
        <v>1.4790731858222601</v>
      </c>
      <c r="G2926" s="1927">
        <v>0.10162021776046699</v>
      </c>
    </row>
    <row r="2927" spans="1:7" x14ac:dyDescent="0.3">
      <c r="A2927" s="6" t="s">
        <v>6276</v>
      </c>
      <c r="B2927" s="6"/>
      <c r="C2927" s="1920">
        <v>186</v>
      </c>
      <c r="D2927" s="1920">
        <v>149231.734942335</v>
      </c>
      <c r="E2927" s="1921">
        <v>13695.1284623229</v>
      </c>
      <c r="F2927" s="1922">
        <v>1.4609278535617201</v>
      </c>
      <c r="G2927" s="1923">
        <v>0.13407064279219599</v>
      </c>
    </row>
    <row r="2928" spans="1:7" x14ac:dyDescent="0.3">
      <c r="A2928" s="11" t="s">
        <v>1057</v>
      </c>
      <c r="B2928" s="11"/>
      <c r="C2928" s="1924">
        <v>207</v>
      </c>
      <c r="D2928" s="1924">
        <v>148981.60204131401</v>
      </c>
      <c r="E2928" s="1925">
        <v>14654.374440431</v>
      </c>
      <c r="F2928" s="1926">
        <v>1.45847913766135</v>
      </c>
      <c r="G2928" s="1927">
        <v>0.14346133417816001</v>
      </c>
    </row>
    <row r="2929" spans="1:7" x14ac:dyDescent="0.3">
      <c r="A2929" s="6" t="s">
        <v>3051</v>
      </c>
      <c r="B2929" s="6"/>
      <c r="C2929" s="1920">
        <v>221</v>
      </c>
      <c r="D2929" s="1920">
        <v>148854.196395465</v>
      </c>
      <c r="E2929" s="1921">
        <v>16265.7821139359</v>
      </c>
      <c r="F2929" s="1922">
        <v>1.4572318797855801</v>
      </c>
      <c r="G2929" s="1923">
        <v>0.15923646642181999</v>
      </c>
    </row>
    <row r="2930" spans="1:7" x14ac:dyDescent="0.3">
      <c r="A2930" s="11" t="s">
        <v>1161</v>
      </c>
      <c r="B2930" s="11"/>
      <c r="C2930" s="1924">
        <v>301</v>
      </c>
      <c r="D2930" s="1924">
        <v>148141.305753461</v>
      </c>
      <c r="E2930" s="1925">
        <v>16457.458833649802</v>
      </c>
      <c r="F2930" s="1926">
        <v>1.4502529232261701</v>
      </c>
      <c r="G2930" s="1927">
        <v>0.161112916218624</v>
      </c>
    </row>
    <row r="2931" spans="1:7" x14ac:dyDescent="0.3">
      <c r="A2931" s="6" t="s">
        <v>6280</v>
      </c>
      <c r="B2931" s="6"/>
      <c r="C2931" s="1920">
        <v>194</v>
      </c>
      <c r="D2931" s="1920">
        <v>146839.59044154899</v>
      </c>
      <c r="E2931" s="1921">
        <v>11341.6569925145</v>
      </c>
      <c r="F2931" s="1922">
        <v>1.4375095737146599</v>
      </c>
      <c r="G2931" s="1923">
        <v>0.11103095874553801</v>
      </c>
    </row>
    <row r="2932" spans="1:7" x14ac:dyDescent="0.3">
      <c r="A2932" s="11" t="s">
        <v>1163</v>
      </c>
      <c r="B2932" s="11"/>
      <c r="C2932" s="1924">
        <v>369</v>
      </c>
      <c r="D2932" s="1924">
        <v>145802.93370700799</v>
      </c>
      <c r="E2932" s="1925">
        <v>15329.9525088829</v>
      </c>
      <c r="F2932" s="1926">
        <v>1.4273610573909801</v>
      </c>
      <c r="G2932" s="1927">
        <v>0.150075013351949</v>
      </c>
    </row>
    <row r="2933" spans="1:7" x14ac:dyDescent="0.3">
      <c r="A2933" s="6" t="s">
        <v>1009</v>
      </c>
      <c r="B2933" s="6"/>
      <c r="C2933" s="1920">
        <v>181</v>
      </c>
      <c r="D2933" s="1920">
        <v>143266.33474029601</v>
      </c>
      <c r="E2933" s="1921">
        <v>7201.8143453387602</v>
      </c>
      <c r="F2933" s="1922">
        <v>1.4025286175267799</v>
      </c>
      <c r="G2933" s="1923">
        <v>7.0503309348720802E-2</v>
      </c>
    </row>
    <row r="2934" spans="1:7" x14ac:dyDescent="0.3">
      <c r="A2934" s="11" t="s">
        <v>3047</v>
      </c>
      <c r="B2934" s="11"/>
      <c r="C2934" s="1924">
        <v>204</v>
      </c>
      <c r="D2934" s="1924">
        <v>141782.884907014</v>
      </c>
      <c r="E2934" s="1925">
        <v>14526.3852456596</v>
      </c>
      <c r="F2934" s="1926">
        <v>1.3880061489537201</v>
      </c>
      <c r="G2934" s="1927">
        <v>0.14220836355720501</v>
      </c>
    </row>
    <row r="2935" spans="1:7" x14ac:dyDescent="0.3">
      <c r="A2935" s="6" t="s">
        <v>1063</v>
      </c>
      <c r="B2935" s="6"/>
      <c r="C2935" s="1920">
        <v>182</v>
      </c>
      <c r="D2935" s="1920">
        <v>141711.72952084901</v>
      </c>
      <c r="E2935" s="1921">
        <v>10929.206803765999</v>
      </c>
      <c r="F2935" s="1922">
        <v>1.38730956196022</v>
      </c>
      <c r="G2935" s="1923">
        <v>0.106993211887055</v>
      </c>
    </row>
    <row r="2936" spans="1:7" x14ac:dyDescent="0.3">
      <c r="A2936" s="11" t="s">
        <v>1155</v>
      </c>
      <c r="B2936" s="11"/>
      <c r="C2936" s="1924">
        <v>119</v>
      </c>
      <c r="D2936" s="1924">
        <v>141591.31099378399</v>
      </c>
      <c r="E2936" s="1925">
        <v>14283.161533785</v>
      </c>
      <c r="F2936" s="1926">
        <v>1.3861307055973799</v>
      </c>
      <c r="G2936" s="1927">
        <v>0.139827286265157</v>
      </c>
    </row>
    <row r="2937" spans="1:7" x14ac:dyDescent="0.3">
      <c r="A2937" s="6" t="s">
        <v>995</v>
      </c>
      <c r="B2937" s="6"/>
      <c r="C2937" s="1920">
        <v>178</v>
      </c>
      <c r="D2937" s="1920">
        <v>139966.70419083899</v>
      </c>
      <c r="E2937" s="1921">
        <v>8550.9341856908304</v>
      </c>
      <c r="F2937" s="1922">
        <v>1.3702263583723999</v>
      </c>
      <c r="G2937" s="1923">
        <v>8.3710733046667707E-2</v>
      </c>
    </row>
    <row r="2938" spans="1:7" x14ac:dyDescent="0.3">
      <c r="A2938" s="11" t="s">
        <v>3075</v>
      </c>
      <c r="B2938" s="11"/>
      <c r="C2938" s="1924">
        <v>307</v>
      </c>
      <c r="D2938" s="1924">
        <v>139711.000143932</v>
      </c>
      <c r="E2938" s="1925">
        <v>10259.9972684968</v>
      </c>
      <c r="F2938" s="1926">
        <v>1.36772310285146</v>
      </c>
      <c r="G2938" s="1927">
        <v>0.100441878483864</v>
      </c>
    </row>
    <row r="2939" spans="1:7" x14ac:dyDescent="0.3">
      <c r="A2939" s="6" t="s">
        <v>6277</v>
      </c>
      <c r="B2939" s="6"/>
      <c r="C2939" s="1920">
        <v>171</v>
      </c>
      <c r="D2939" s="1920">
        <v>139076.40498991701</v>
      </c>
      <c r="E2939" s="1921">
        <v>15121.1176729319</v>
      </c>
      <c r="F2939" s="1922">
        <v>1.3615106324503401</v>
      </c>
      <c r="G2939" s="1923">
        <v>0.14803059144160599</v>
      </c>
    </row>
    <row r="2940" spans="1:7" x14ac:dyDescent="0.3">
      <c r="A2940" s="11" t="s">
        <v>3040</v>
      </c>
      <c r="B2940" s="11"/>
      <c r="C2940" s="1924">
        <v>202</v>
      </c>
      <c r="D2940" s="1924">
        <v>138847.386564043</v>
      </c>
      <c r="E2940" s="1925">
        <v>19725.165154234299</v>
      </c>
      <c r="F2940" s="1926">
        <v>1.35926862006961</v>
      </c>
      <c r="G2940" s="1927">
        <v>0.193102648046418</v>
      </c>
    </row>
    <row r="2941" spans="1:7" x14ac:dyDescent="0.3">
      <c r="A2941" s="6" t="s">
        <v>1157</v>
      </c>
      <c r="B2941" s="6"/>
      <c r="C2941" s="1920">
        <v>214</v>
      </c>
      <c r="D2941" s="1920">
        <v>138327.61981322401</v>
      </c>
      <c r="E2941" s="1921">
        <v>14815.9997921185</v>
      </c>
      <c r="F2941" s="1922">
        <v>1.3541802806227801</v>
      </c>
      <c r="G2941" s="1923">
        <v>0.145043591318124</v>
      </c>
    </row>
    <row r="2942" spans="1:7" x14ac:dyDescent="0.3">
      <c r="A2942" s="11" t="s">
        <v>1059</v>
      </c>
      <c r="B2942" s="11"/>
      <c r="C2942" s="1924">
        <v>181</v>
      </c>
      <c r="D2942" s="1924">
        <v>138254.18592590501</v>
      </c>
      <c r="E2942" s="1925">
        <v>10785.015224323601</v>
      </c>
      <c r="F2942" s="1926">
        <v>1.35346138787908</v>
      </c>
      <c r="G2942" s="1927">
        <v>0.105581625439052</v>
      </c>
    </row>
    <row r="2943" spans="1:7" x14ac:dyDescent="0.3">
      <c r="A2943" s="6" t="s">
        <v>997</v>
      </c>
      <c r="B2943" s="6"/>
      <c r="C2943" s="1920">
        <v>199</v>
      </c>
      <c r="D2943" s="1920">
        <v>138231.17487295499</v>
      </c>
      <c r="E2943" s="1921">
        <v>12673.3991105634</v>
      </c>
      <c r="F2943" s="1922">
        <v>1.3532361175087599</v>
      </c>
      <c r="G2943" s="1923">
        <v>0.124068260461361</v>
      </c>
    </row>
    <row r="2944" spans="1:7" x14ac:dyDescent="0.3">
      <c r="A2944" s="11" t="s">
        <v>6273</v>
      </c>
      <c r="B2944" s="11"/>
      <c r="C2944" s="1924">
        <v>172</v>
      </c>
      <c r="D2944" s="1924">
        <v>137608.87508583101</v>
      </c>
      <c r="E2944" s="1925">
        <v>13971.4902441371</v>
      </c>
      <c r="F2944" s="1926">
        <v>1.34714401456144</v>
      </c>
      <c r="G2944" s="1927">
        <v>0.13677613050141799</v>
      </c>
    </row>
    <row r="2945" spans="1:7" x14ac:dyDescent="0.3">
      <c r="A2945" s="6" t="s">
        <v>6272</v>
      </c>
      <c r="B2945" s="6"/>
      <c r="C2945" s="1920">
        <v>202</v>
      </c>
      <c r="D2945" s="1920">
        <v>137538.688875664</v>
      </c>
      <c r="E2945" s="1921">
        <v>7869.9381946144304</v>
      </c>
      <c r="F2945" s="1922">
        <v>1.3464569154708399</v>
      </c>
      <c r="G2945" s="1923">
        <v>7.7044014255843701E-2</v>
      </c>
    </row>
    <row r="2946" spans="1:7" x14ac:dyDescent="0.3">
      <c r="A2946" s="11" t="s">
        <v>3065</v>
      </c>
      <c r="B2946" s="11"/>
      <c r="C2946" s="1924">
        <v>244</v>
      </c>
      <c r="D2946" s="1924">
        <v>137342.03398253801</v>
      </c>
      <c r="E2946" s="1925">
        <v>16657.897407106098</v>
      </c>
      <c r="F2946" s="1926">
        <v>1.344531731052</v>
      </c>
      <c r="G2946" s="1927">
        <v>0.163075141579093</v>
      </c>
    </row>
    <row r="2947" spans="1:7" x14ac:dyDescent="0.3">
      <c r="A2947" s="6" t="s">
        <v>1069</v>
      </c>
      <c r="B2947" s="6"/>
      <c r="C2947" s="1920">
        <v>190</v>
      </c>
      <c r="D2947" s="1920">
        <v>136198.81722075801</v>
      </c>
      <c r="E2947" s="1921">
        <v>11566.6595300032</v>
      </c>
      <c r="F2947" s="1922">
        <v>1.3333400283582799</v>
      </c>
      <c r="G2947" s="1923">
        <v>0.113233656946871</v>
      </c>
    </row>
    <row r="2948" spans="1:7" x14ac:dyDescent="0.3">
      <c r="A2948" s="11" t="s">
        <v>1003</v>
      </c>
      <c r="B2948" s="11"/>
      <c r="C2948" s="1924">
        <v>181</v>
      </c>
      <c r="D2948" s="1924">
        <v>136182.70500569799</v>
      </c>
      <c r="E2948" s="1925">
        <v>9066.9998727239908</v>
      </c>
      <c r="F2948" s="1926">
        <v>1.333182295261</v>
      </c>
      <c r="G2948" s="1927">
        <v>8.8762840339700499E-2</v>
      </c>
    </row>
    <row r="2949" spans="1:7" x14ac:dyDescent="0.3">
      <c r="A2949" s="6" t="s">
        <v>3165</v>
      </c>
      <c r="B2949" s="6"/>
      <c r="C2949" s="1920">
        <v>328</v>
      </c>
      <c r="D2949" s="1920">
        <v>136151.659697556</v>
      </c>
      <c r="E2949" s="1921">
        <v>8447.0835022781903</v>
      </c>
      <c r="F2949" s="1922">
        <v>1.3328783722689901</v>
      </c>
      <c r="G2949" s="1923">
        <v>8.2694070229824404E-2</v>
      </c>
    </row>
    <row r="2950" spans="1:7" x14ac:dyDescent="0.3">
      <c r="A2950" s="11" t="s">
        <v>1051</v>
      </c>
      <c r="B2950" s="11"/>
      <c r="C2950" s="1924">
        <v>129</v>
      </c>
      <c r="D2950" s="1924">
        <v>134757.51940998199</v>
      </c>
      <c r="E2950" s="1925">
        <v>14052.2677651907</v>
      </c>
      <c r="F2950" s="1926">
        <v>1.3192302137276699</v>
      </c>
      <c r="G2950" s="1927">
        <v>0.13756691491798001</v>
      </c>
    </row>
    <row r="2951" spans="1:7" x14ac:dyDescent="0.3">
      <c r="A2951" s="6" t="s">
        <v>3063</v>
      </c>
      <c r="B2951" s="6"/>
      <c r="C2951" s="1920">
        <v>238</v>
      </c>
      <c r="D2951" s="1920">
        <v>133485.94360322299</v>
      </c>
      <c r="E2951" s="1921">
        <v>12188.283942026699</v>
      </c>
      <c r="F2951" s="1922">
        <v>1.30678191970544</v>
      </c>
      <c r="G2951" s="1923">
        <v>0.119319148202</v>
      </c>
    </row>
    <row r="2952" spans="1:7" x14ac:dyDescent="0.3">
      <c r="A2952" s="11" t="s">
        <v>1071</v>
      </c>
      <c r="B2952" s="11"/>
      <c r="C2952" s="1924">
        <v>226</v>
      </c>
      <c r="D2952" s="1924">
        <v>133263.96900095799</v>
      </c>
      <c r="E2952" s="1925">
        <v>11515.953187986101</v>
      </c>
      <c r="F2952" s="1926">
        <v>1.30460886395857</v>
      </c>
      <c r="G2952" s="1927">
        <v>0.11273725913019</v>
      </c>
    </row>
    <row r="2953" spans="1:7" x14ac:dyDescent="0.3">
      <c r="A2953" s="6" t="s">
        <v>1001</v>
      </c>
      <c r="B2953" s="6"/>
      <c r="C2953" s="1920">
        <v>190</v>
      </c>
      <c r="D2953" s="1920">
        <v>132038.08012739301</v>
      </c>
      <c r="E2953" s="1921">
        <v>14215.875884916901</v>
      </c>
      <c r="F2953" s="1922">
        <v>1.29260782945036</v>
      </c>
      <c r="G2953" s="1923">
        <v>0.13916858268167101</v>
      </c>
    </row>
    <row r="2954" spans="1:7" x14ac:dyDescent="0.3">
      <c r="A2954" s="11" t="s">
        <v>1013</v>
      </c>
      <c r="B2954" s="11"/>
      <c r="C2954" s="1924">
        <v>114</v>
      </c>
      <c r="D2954" s="1924">
        <v>132003.89645237799</v>
      </c>
      <c r="E2954" s="1925">
        <v>7962.3321210944996</v>
      </c>
      <c r="F2954" s="1926">
        <v>1.29227318291566</v>
      </c>
      <c r="G2954" s="1927">
        <v>7.7948519324733803E-2</v>
      </c>
    </row>
    <row r="2955" spans="1:7" x14ac:dyDescent="0.3">
      <c r="A2955" s="6" t="s">
        <v>6279</v>
      </c>
      <c r="B2955" s="6"/>
      <c r="C2955" s="1920">
        <v>174</v>
      </c>
      <c r="D2955" s="1920">
        <v>130859.128158619</v>
      </c>
      <c r="E2955" s="1921">
        <v>11106.8277933108</v>
      </c>
      <c r="F2955" s="1922">
        <v>1.2810662912523401</v>
      </c>
      <c r="G2955" s="1923">
        <v>0.108732060873186</v>
      </c>
    </row>
    <row r="2956" spans="1:7" x14ac:dyDescent="0.3">
      <c r="A2956" s="11" t="s">
        <v>3036</v>
      </c>
      <c r="B2956" s="11"/>
      <c r="C2956" s="1924">
        <v>160</v>
      </c>
      <c r="D2956" s="1924">
        <v>129516.989317488</v>
      </c>
      <c r="E2956" s="1925">
        <v>15796.665626857</v>
      </c>
      <c r="F2956" s="1926">
        <v>1.26792720915889</v>
      </c>
      <c r="G2956" s="1927">
        <v>0.15464397580443501</v>
      </c>
    </row>
    <row r="2957" spans="1:7" x14ac:dyDescent="0.3">
      <c r="A2957" s="6" t="s">
        <v>3055</v>
      </c>
      <c r="B2957" s="6"/>
      <c r="C2957" s="1920">
        <v>181</v>
      </c>
      <c r="D2957" s="1920">
        <v>127992.87878771601</v>
      </c>
      <c r="E2957" s="1921">
        <v>17975.001690610501</v>
      </c>
      <c r="F2957" s="1922">
        <v>1.2530066862171001</v>
      </c>
      <c r="G2957" s="1923">
        <v>0.17596914388068499</v>
      </c>
    </row>
    <row r="2958" spans="1:7" x14ac:dyDescent="0.3">
      <c r="A2958" s="11" t="s">
        <v>1159</v>
      </c>
      <c r="B2958" s="11"/>
      <c r="C2958" s="1924">
        <v>209</v>
      </c>
      <c r="D2958" s="1924">
        <v>127783.34411389699</v>
      </c>
      <c r="E2958" s="1925">
        <v>19930.978013971198</v>
      </c>
      <c r="F2958" s="1926">
        <v>1.2509554131324101</v>
      </c>
      <c r="G2958" s="1927">
        <v>0.19511748583897501</v>
      </c>
    </row>
    <row r="2959" spans="1:7" x14ac:dyDescent="0.3">
      <c r="A2959" s="6" t="s">
        <v>1085</v>
      </c>
      <c r="B2959" s="6"/>
      <c r="C2959" s="1920">
        <v>376</v>
      </c>
      <c r="D2959" s="1920">
        <v>127338.47978683301</v>
      </c>
      <c r="E2959" s="1921">
        <v>14454.8932808684</v>
      </c>
      <c r="F2959" s="1922">
        <v>1.2466003429007699</v>
      </c>
      <c r="G2959" s="1923">
        <v>0.141508481573594</v>
      </c>
    </row>
    <row r="2960" spans="1:7" x14ac:dyDescent="0.3">
      <c r="A2960" s="11" t="s">
        <v>1081</v>
      </c>
      <c r="B2960" s="11"/>
      <c r="C2960" s="1924">
        <v>349</v>
      </c>
      <c r="D2960" s="1924">
        <v>127033.23166657401</v>
      </c>
      <c r="E2960" s="1925">
        <v>10844.375527001501</v>
      </c>
      <c r="F2960" s="1926">
        <v>1.24361206777747</v>
      </c>
      <c r="G2960" s="1927">
        <v>0.10616274258288</v>
      </c>
    </row>
    <row r="2961" spans="1:7" x14ac:dyDescent="0.3">
      <c r="A2961" s="6" t="s">
        <v>3163</v>
      </c>
      <c r="B2961" s="6"/>
      <c r="C2961" s="1920">
        <v>317</v>
      </c>
      <c r="D2961" s="1920">
        <v>126789.965555537</v>
      </c>
      <c r="E2961" s="1921">
        <v>9591.6314225999304</v>
      </c>
      <c r="F2961" s="1922">
        <v>1.2412305754120601</v>
      </c>
      <c r="G2961" s="1923">
        <v>9.3898804512248996E-2</v>
      </c>
    </row>
    <row r="2962" spans="1:7" x14ac:dyDescent="0.3">
      <c r="A2962" s="11" t="s">
        <v>3172</v>
      </c>
      <c r="B2962" s="11"/>
      <c r="C2962" s="1924">
        <v>401</v>
      </c>
      <c r="D2962" s="1924">
        <v>126645.98027116799</v>
      </c>
      <c r="E2962" s="1925">
        <v>9840.5761303877298</v>
      </c>
      <c r="F2962" s="1926">
        <v>1.2398210085225601</v>
      </c>
      <c r="G2962" s="1927">
        <v>9.6335888405594802E-2</v>
      </c>
    </row>
    <row r="2963" spans="1:7" x14ac:dyDescent="0.3">
      <c r="A2963" s="6" t="s">
        <v>1065</v>
      </c>
      <c r="B2963" s="6"/>
      <c r="C2963" s="1920">
        <v>190</v>
      </c>
      <c r="D2963" s="1920">
        <v>123813.424341896</v>
      </c>
      <c r="E2963" s="1921">
        <v>15678.563953286601</v>
      </c>
      <c r="F2963" s="1922">
        <v>1.2120912508041799</v>
      </c>
      <c r="G2963" s="1923">
        <v>0.15348780064813999</v>
      </c>
    </row>
    <row r="2964" spans="1:7" x14ac:dyDescent="0.3">
      <c r="A2964" s="11" t="s">
        <v>1073</v>
      </c>
      <c r="B2964" s="11"/>
      <c r="C2964" s="1924">
        <v>266</v>
      </c>
      <c r="D2964" s="1924">
        <v>123483.14717583499</v>
      </c>
      <c r="E2964" s="1925">
        <v>8456.9742239275001</v>
      </c>
      <c r="F2964" s="1926">
        <v>1.2088579498479199</v>
      </c>
      <c r="G2964" s="1927">
        <v>8.2790897025778798E-2</v>
      </c>
    </row>
    <row r="2965" spans="1:7" x14ac:dyDescent="0.3">
      <c r="A2965" s="6" t="s">
        <v>3061</v>
      </c>
      <c r="B2965" s="6"/>
      <c r="C2965" s="1920">
        <v>230</v>
      </c>
      <c r="D2965" s="1920">
        <v>123285.77741142501</v>
      </c>
      <c r="E2965" s="1921">
        <v>10475.4922200205</v>
      </c>
      <c r="F2965" s="1922">
        <v>1.20692576708271</v>
      </c>
      <c r="G2965" s="1923">
        <v>0.102551500657087</v>
      </c>
    </row>
    <row r="2966" spans="1:7" x14ac:dyDescent="0.3">
      <c r="A2966" s="11" t="s">
        <v>6275</v>
      </c>
      <c r="B2966" s="11"/>
      <c r="C2966" s="1924">
        <v>159</v>
      </c>
      <c r="D2966" s="1924">
        <v>122494.734563809</v>
      </c>
      <c r="E2966" s="1925">
        <v>15324.385291696801</v>
      </c>
      <c r="F2966" s="1926">
        <v>1.1991817270506799</v>
      </c>
      <c r="G2966" s="1927">
        <v>0.15002051219201101</v>
      </c>
    </row>
    <row r="2967" spans="1:7" x14ac:dyDescent="0.3">
      <c r="A2967" s="6" t="s">
        <v>6278</v>
      </c>
      <c r="B2967" s="6"/>
      <c r="C2967" s="1920">
        <v>182</v>
      </c>
      <c r="D2967" s="1920">
        <v>118874.155669578</v>
      </c>
      <c r="E2967" s="1921">
        <v>9416.2157637189794</v>
      </c>
      <c r="F2967" s="1922">
        <v>1.1637374929228499</v>
      </c>
      <c r="G2967" s="1923">
        <v>9.2181544962133197E-2</v>
      </c>
    </row>
    <row r="2968" spans="1:7" x14ac:dyDescent="0.3">
      <c r="A2968" s="11" t="s">
        <v>1083</v>
      </c>
      <c r="B2968" s="11"/>
      <c r="C2968" s="1924">
        <v>343</v>
      </c>
      <c r="D2968" s="1924">
        <v>118458.857482872</v>
      </c>
      <c r="E2968" s="1925">
        <v>8119.5883945472997</v>
      </c>
      <c r="F2968" s="1926">
        <v>1.15967186513444</v>
      </c>
      <c r="G2968" s="1927">
        <v>7.9488004676982804E-2</v>
      </c>
    </row>
    <row r="2969" spans="1:7" x14ac:dyDescent="0.3">
      <c r="A2969" s="6" t="s">
        <v>1077</v>
      </c>
      <c r="B2969" s="6"/>
      <c r="C2969" s="1920">
        <v>267</v>
      </c>
      <c r="D2969" s="1920">
        <v>114840.998653767</v>
      </c>
      <c r="E2969" s="1921">
        <v>7499.3317044048999</v>
      </c>
      <c r="F2969" s="1922">
        <v>1.1242542595176801</v>
      </c>
      <c r="G2969" s="1923">
        <v>7.3415902953196804E-2</v>
      </c>
    </row>
    <row r="2970" spans="1:7" x14ac:dyDescent="0.3">
      <c r="A2970" s="11" t="s">
        <v>3032</v>
      </c>
      <c r="B2970" s="11"/>
      <c r="C2970" s="1924">
        <v>156</v>
      </c>
      <c r="D2970" s="1924">
        <v>111470.44488515799</v>
      </c>
      <c r="E2970" s="1925">
        <v>11730.437931181599</v>
      </c>
      <c r="F2970" s="1926">
        <v>1.0912576862057599</v>
      </c>
      <c r="G2970" s="1927">
        <v>0.114836991707977</v>
      </c>
    </row>
    <row r="2971" spans="1:7" x14ac:dyDescent="0.3">
      <c r="A2971" s="6" t="s">
        <v>1047</v>
      </c>
      <c r="B2971" s="6"/>
      <c r="C2971" s="1920">
        <v>114</v>
      </c>
      <c r="D2971" s="1920">
        <v>108710.422135965</v>
      </c>
      <c r="E2971" s="1921">
        <v>17112.076785314199</v>
      </c>
      <c r="F2971" s="1922">
        <v>1.064238003614</v>
      </c>
      <c r="G2971" s="1923">
        <v>0.16752140298852999</v>
      </c>
    </row>
    <row r="2972" spans="1:7" x14ac:dyDescent="0.3">
      <c r="A2972" s="11" t="s">
        <v>3034</v>
      </c>
      <c r="B2972" s="11"/>
      <c r="C2972" s="1924">
        <v>161</v>
      </c>
      <c r="D2972" s="1924">
        <v>108010.025878758</v>
      </c>
      <c r="E2972" s="1925">
        <v>16964.130999917499</v>
      </c>
      <c r="F2972" s="1926">
        <v>1.0573813628258999</v>
      </c>
      <c r="G2972" s="1927">
        <v>0.16607306414299799</v>
      </c>
    </row>
    <row r="2973" spans="1:7" x14ac:dyDescent="0.3">
      <c r="A2973" s="6" t="s">
        <v>3069</v>
      </c>
      <c r="B2973" s="6"/>
      <c r="C2973" s="1920">
        <v>216</v>
      </c>
      <c r="D2973" s="1920">
        <v>107372.12179958299</v>
      </c>
      <c r="E2973" s="1921">
        <v>9979.4204594400107</v>
      </c>
      <c r="F2973" s="1922">
        <v>1.05113649917457</v>
      </c>
      <c r="G2973" s="1923">
        <v>9.7695127093665901E-2</v>
      </c>
    </row>
    <row r="2974" spans="1:7" x14ac:dyDescent="0.3">
      <c r="A2974" s="11" t="s">
        <v>1079</v>
      </c>
      <c r="B2974" s="11"/>
      <c r="C2974" s="1924">
        <v>316</v>
      </c>
      <c r="D2974" s="1924">
        <v>106035.515748593</v>
      </c>
      <c r="E2974" s="1925">
        <v>12938.798854009599</v>
      </c>
      <c r="F2974" s="1926">
        <v>1.0380515812120099</v>
      </c>
      <c r="G2974" s="1927">
        <v>0.126666433548864</v>
      </c>
    </row>
    <row r="2975" spans="1:7" x14ac:dyDescent="0.3">
      <c r="A2975" s="6" t="s">
        <v>3067</v>
      </c>
      <c r="B2975" s="6"/>
      <c r="C2975" s="1920">
        <v>217</v>
      </c>
      <c r="D2975" s="1920">
        <v>100831.830634243</v>
      </c>
      <c r="E2975" s="1921">
        <v>13787.4781323064</v>
      </c>
      <c r="F2975" s="1922">
        <v>0.98710927642907598</v>
      </c>
      <c r="G2975" s="1923">
        <v>0.134974714605059</v>
      </c>
    </row>
    <row r="2976" spans="1:7" x14ac:dyDescent="0.3">
      <c r="A2976" s="11" t="s">
        <v>3038</v>
      </c>
      <c r="B2976" s="11"/>
      <c r="C2976" s="1924">
        <v>161</v>
      </c>
      <c r="D2976" s="1924">
        <v>98901.311790905398</v>
      </c>
      <c r="E2976" s="1925">
        <v>8797.9571863838592</v>
      </c>
      <c r="F2976" s="1926">
        <v>0.96821015452884696</v>
      </c>
      <c r="G2976" s="1927">
        <v>8.6129004082130395E-2</v>
      </c>
    </row>
    <row r="2977" spans="1:7" x14ac:dyDescent="0.3">
      <c r="A2977" s="6" t="s">
        <v>3176</v>
      </c>
      <c r="B2977" s="6"/>
      <c r="C2977" s="1920">
        <v>336</v>
      </c>
      <c r="D2977" s="1920">
        <v>94419.300478472898</v>
      </c>
      <c r="E2977" s="1921">
        <v>7323.8224609933204</v>
      </c>
      <c r="F2977" s="1922">
        <v>0.92433279044913896</v>
      </c>
      <c r="G2977" s="1923">
        <v>7.1697727242403406E-2</v>
      </c>
    </row>
    <row r="2978" spans="1:7" x14ac:dyDescent="0.3">
      <c r="A2978" s="11" t="s">
        <v>6282</v>
      </c>
      <c r="B2978" s="11"/>
      <c r="C2978" s="1924">
        <v>317</v>
      </c>
      <c r="D2978" s="1924">
        <v>89167.865318141296</v>
      </c>
      <c r="E2978" s="1925">
        <v>11037.506666950399</v>
      </c>
      <c r="F2978" s="1926">
        <v>0.87292302898073304</v>
      </c>
      <c r="G2978" s="1927">
        <v>0.108053430658378</v>
      </c>
    </row>
    <row r="2979" spans="1:7" x14ac:dyDescent="0.3">
      <c r="A2979" s="6" t="s">
        <v>6465</v>
      </c>
      <c r="B2979" s="6"/>
      <c r="C2979" s="1920">
        <v>291</v>
      </c>
      <c r="D2979" s="1920">
        <v>88667.803379380493</v>
      </c>
      <c r="E2979" s="1921">
        <v>7119.65469190561</v>
      </c>
      <c r="F2979" s="1922">
        <v>0.86802759293206699</v>
      </c>
      <c r="G2979" s="1923">
        <v>6.9698994326946803E-2</v>
      </c>
    </row>
    <row r="2980" spans="1:7" x14ac:dyDescent="0.3">
      <c r="A2980" s="11" t="s">
        <v>1165</v>
      </c>
      <c r="B2980" s="11"/>
      <c r="C2980" s="1924">
        <v>289</v>
      </c>
      <c r="D2980" s="1924">
        <v>87716.380451087694</v>
      </c>
      <c r="E2980" s="1925">
        <v>11341.675263216101</v>
      </c>
      <c r="F2980" s="1926">
        <v>0.85871348653909796</v>
      </c>
      <c r="G2980" s="1927">
        <v>0.11103113760948401</v>
      </c>
    </row>
    <row r="2981" spans="1:7" x14ac:dyDescent="0.3">
      <c r="A2981" s="6" t="s">
        <v>3174</v>
      </c>
      <c r="B2981" s="6"/>
      <c r="C2981" s="1920">
        <v>289</v>
      </c>
      <c r="D2981" s="1920">
        <v>84886.015209930294</v>
      </c>
      <c r="E2981" s="1921">
        <v>7091.7385783821601</v>
      </c>
      <c r="F2981" s="1922">
        <v>0.83100517491116299</v>
      </c>
      <c r="G2981" s="1923">
        <v>6.9425705084378397E-2</v>
      </c>
    </row>
    <row r="2982" spans="1:7" x14ac:dyDescent="0.3">
      <c r="A2982" s="11" t="s">
        <v>1152</v>
      </c>
      <c r="B2982" s="11"/>
      <c r="C2982" s="1924">
        <v>101</v>
      </c>
      <c r="D2982" s="1924">
        <v>73895.451052543096</v>
      </c>
      <c r="E2982" s="1925">
        <v>12729.6506317368</v>
      </c>
      <c r="F2982" s="1926">
        <v>0.72341129543178395</v>
      </c>
      <c r="G2982" s="1927">
        <v>0.124618943693176</v>
      </c>
    </row>
    <row r="2983" spans="1:7" x14ac:dyDescent="0.3">
      <c r="A2983" s="6" t="s">
        <v>1089</v>
      </c>
      <c r="B2983" s="6"/>
      <c r="C2983" s="1920">
        <v>251</v>
      </c>
      <c r="D2983" s="1920">
        <v>69286.061756728799</v>
      </c>
      <c r="E2983" s="1921">
        <v>6992.1586160811303</v>
      </c>
      <c r="F2983" s="1922">
        <v>0.67828694428243597</v>
      </c>
      <c r="G2983" s="1923">
        <v>6.8450851172518798E-2</v>
      </c>
    </row>
    <row r="2984" spans="1:7" x14ac:dyDescent="0.3">
      <c r="A2984" s="11" t="s">
        <v>1087</v>
      </c>
      <c r="B2984" s="11"/>
      <c r="C2984" s="1924">
        <v>215</v>
      </c>
      <c r="D2984" s="1924">
        <v>67717.940142339794</v>
      </c>
      <c r="E2984" s="1925">
        <v>8998.2036985989998</v>
      </c>
      <c r="F2984" s="1926">
        <v>0.66293556781336105</v>
      </c>
      <c r="G2984" s="1927">
        <v>8.8089349228467298E-2</v>
      </c>
    </row>
    <row r="2985" spans="1:7" x14ac:dyDescent="0.3">
      <c r="A2985" s="6" t="s">
        <v>3083</v>
      </c>
      <c r="B2985" s="6"/>
      <c r="C2985" s="1920">
        <v>179</v>
      </c>
      <c r="D2985" s="1920">
        <v>61118.895996340601</v>
      </c>
      <c r="E2985" s="1921">
        <v>7519.5208106489799</v>
      </c>
      <c r="F2985" s="1922">
        <v>0.59833317339974001</v>
      </c>
      <c r="G2985" s="1923">
        <v>7.3613547426484696E-2</v>
      </c>
    </row>
    <row r="2986" spans="1:7" x14ac:dyDescent="0.3">
      <c r="A2986" s="11" t="s">
        <v>1091</v>
      </c>
      <c r="B2986" s="11"/>
      <c r="C2986" s="1924">
        <v>255</v>
      </c>
      <c r="D2986" s="1924">
        <v>60149.9251893404</v>
      </c>
      <c r="E2986" s="1925">
        <v>8285.0588559157204</v>
      </c>
      <c r="F2986" s="1926">
        <v>0.58884727925140901</v>
      </c>
      <c r="G2986" s="1927">
        <v>8.1107904130998901E-2</v>
      </c>
    </row>
    <row r="2987" spans="1:7" x14ac:dyDescent="0.3">
      <c r="A2987" s="6" t="s">
        <v>1093</v>
      </c>
      <c r="B2987" s="6"/>
      <c r="C2987" s="1920">
        <v>200</v>
      </c>
      <c r="D2987" s="1920">
        <v>55241.655248862902</v>
      </c>
      <c r="E2987" s="1921">
        <v>8266.5381009716803</v>
      </c>
      <c r="F2987" s="1922">
        <v>0.54079698839595403</v>
      </c>
      <c r="G2987" s="1923">
        <v>8.0926592248662096E-2</v>
      </c>
    </row>
    <row r="2988" spans="1:7" x14ac:dyDescent="0.3">
      <c r="A2988" s="11" t="s">
        <v>3186</v>
      </c>
      <c r="B2988" s="11"/>
      <c r="C2988" s="1924">
        <v>155</v>
      </c>
      <c r="D2988" s="1924">
        <v>48397.381243167998</v>
      </c>
      <c r="E2988" s="1925">
        <v>6648.2431558482604</v>
      </c>
      <c r="F2988" s="1926">
        <v>0.47379387718645199</v>
      </c>
      <c r="G2988" s="1927">
        <v>6.5084035961807396E-2</v>
      </c>
    </row>
    <row r="2989" spans="1:7" x14ac:dyDescent="0.3">
      <c r="A2989" s="6" t="s">
        <v>6287</v>
      </c>
      <c r="B2989" s="6"/>
      <c r="C2989" s="1920">
        <v>141</v>
      </c>
      <c r="D2989" s="1920">
        <v>42824.065623586997</v>
      </c>
      <c r="E2989" s="1921">
        <v>4984.73659385271</v>
      </c>
      <c r="F2989" s="1922">
        <v>0.41923301566137</v>
      </c>
      <c r="G2989" s="1923">
        <v>4.8798873345818797E-2</v>
      </c>
    </row>
    <row r="2990" spans="1:7" x14ac:dyDescent="0.3">
      <c r="A2990" s="11" t="s">
        <v>3184</v>
      </c>
      <c r="B2990" s="11"/>
      <c r="C2990" s="1924">
        <v>154</v>
      </c>
      <c r="D2990" s="1924">
        <v>39588.870564605102</v>
      </c>
      <c r="E2990" s="1925">
        <v>3589.5427479568498</v>
      </c>
      <c r="F2990" s="1926">
        <v>0.38756155801063502</v>
      </c>
      <c r="G2990" s="1927">
        <v>3.5140400827390901E-2</v>
      </c>
    </row>
    <row r="2991" spans="1:7" x14ac:dyDescent="0.3">
      <c r="A2991" s="6" t="s">
        <v>1167</v>
      </c>
      <c r="B2991" s="6"/>
      <c r="C2991" s="1920">
        <v>133</v>
      </c>
      <c r="D2991" s="1920">
        <v>38263.986657173198</v>
      </c>
      <c r="E2991" s="1921">
        <v>4675.1862154403798</v>
      </c>
      <c r="F2991" s="1922">
        <v>0.374591395840699</v>
      </c>
      <c r="G2991" s="1923">
        <v>4.5768480580648002E-2</v>
      </c>
    </row>
    <row r="2992" spans="1:7" x14ac:dyDescent="0.3">
      <c r="A2992" s="11" t="s">
        <v>6284</v>
      </c>
      <c r="B2992" s="11"/>
      <c r="C2992" s="1924">
        <v>150</v>
      </c>
      <c r="D2992" s="1924">
        <v>38137.196085485302</v>
      </c>
      <c r="E2992" s="1925">
        <v>5778.3366460981997</v>
      </c>
      <c r="F2992" s="1926">
        <v>0.37335015933145699</v>
      </c>
      <c r="G2992" s="1927">
        <v>5.6567947540134403E-2</v>
      </c>
    </row>
    <row r="2993" spans="1:7" x14ac:dyDescent="0.3">
      <c r="A2993" s="6" t="s">
        <v>1099</v>
      </c>
      <c r="B2993" s="6"/>
      <c r="C2993" s="1920">
        <v>87</v>
      </c>
      <c r="D2993" s="1920">
        <v>30329.3307467472</v>
      </c>
      <c r="E2993" s="1921">
        <v>3454.68894262814</v>
      </c>
      <c r="F2993" s="1922">
        <v>0.2969138171913</v>
      </c>
      <c r="G2993" s="1923">
        <v>3.38202280073161E-2</v>
      </c>
    </row>
    <row r="2994" spans="1:7" x14ac:dyDescent="0.3">
      <c r="A2994" s="11" t="s">
        <v>1095</v>
      </c>
      <c r="B2994" s="11"/>
      <c r="C2994" s="1924">
        <v>105</v>
      </c>
      <c r="D2994" s="1924">
        <v>29478.489759428201</v>
      </c>
      <c r="E2994" s="1925">
        <v>3793.2113829599298</v>
      </c>
      <c r="F2994" s="1926">
        <v>0.28858437374010298</v>
      </c>
      <c r="G2994" s="1927">
        <v>3.7134247390174097E-2</v>
      </c>
    </row>
    <row r="2995" spans="1:7" x14ac:dyDescent="0.3">
      <c r="A2995" s="6" t="s">
        <v>1097</v>
      </c>
      <c r="B2995" s="6"/>
      <c r="C2995" s="1920">
        <v>104</v>
      </c>
      <c r="D2995" s="1920">
        <v>24452.2667086236</v>
      </c>
      <c r="E2995" s="1921">
        <v>2844.2661504595799</v>
      </c>
      <c r="F2995" s="1922">
        <v>0.239379362111899</v>
      </c>
      <c r="G2995" s="1923">
        <v>2.7844396795057201E-2</v>
      </c>
    </row>
    <row r="2996" spans="1:7" x14ac:dyDescent="0.3">
      <c r="A2996" s="11" t="s">
        <v>1101</v>
      </c>
      <c r="B2996" s="11"/>
      <c r="C2996" s="1924">
        <v>75</v>
      </c>
      <c r="D2996" s="1924">
        <v>22704.879328148902</v>
      </c>
      <c r="E2996" s="1925">
        <v>3338.3571340004601</v>
      </c>
      <c r="F2996" s="1926">
        <v>0.22227303485460401</v>
      </c>
      <c r="G2996" s="1927">
        <v>3.2681379225955799E-2</v>
      </c>
    </row>
    <row r="2997" spans="1:7" x14ac:dyDescent="0.3">
      <c r="A2997" s="6" t="s">
        <v>3199</v>
      </c>
      <c r="B2997" s="6"/>
      <c r="C2997" s="1920">
        <v>43</v>
      </c>
      <c r="D2997" s="1920">
        <v>18192.912238580899</v>
      </c>
      <c r="E2997" s="1921">
        <v>4284.3458193264496</v>
      </c>
      <c r="F2997" s="1922">
        <v>0.178102413920317</v>
      </c>
      <c r="G2997" s="1923">
        <v>4.1942286231298802E-2</v>
      </c>
    </row>
    <row r="2998" spans="1:7" x14ac:dyDescent="0.3">
      <c r="A2998" s="11" t="s">
        <v>3193</v>
      </c>
      <c r="B2998" s="11"/>
      <c r="C2998" s="1924">
        <v>62</v>
      </c>
      <c r="D2998" s="1924">
        <v>15526.8422613087</v>
      </c>
      <c r="E2998" s="1925">
        <v>3163.9468464326101</v>
      </c>
      <c r="F2998" s="1926">
        <v>0.15200249696333301</v>
      </c>
      <c r="G2998" s="1927">
        <v>3.0973961918544301E-2</v>
      </c>
    </row>
    <row r="2999" spans="1:7" x14ac:dyDescent="0.3">
      <c r="A2999" s="6" t="s">
        <v>3195</v>
      </c>
      <c r="B2999" s="6"/>
      <c r="C2999" s="1920">
        <v>56</v>
      </c>
      <c r="D2999" s="1920">
        <v>13855.5556943517</v>
      </c>
      <c r="E2999" s="1921">
        <v>2912.0376920047302</v>
      </c>
      <c r="F2999" s="1922">
        <v>0.13564117074880799</v>
      </c>
      <c r="G2999" s="1923">
        <v>2.85078571023464E-2</v>
      </c>
    </row>
    <row r="3000" spans="1:7" x14ac:dyDescent="0.3">
      <c r="A3000" s="11" t="s">
        <v>3201</v>
      </c>
      <c r="B3000" s="11"/>
      <c r="C3000" s="1924">
        <v>37</v>
      </c>
      <c r="D3000" s="1924">
        <v>10990.091792790699</v>
      </c>
      <c r="E3000" s="1925">
        <v>4196.2242004522795</v>
      </c>
      <c r="F3000" s="1926">
        <v>0.107589255190876</v>
      </c>
      <c r="G3000" s="1927">
        <v>4.1079605598630602E-2</v>
      </c>
    </row>
    <row r="3001" spans="1:7" x14ac:dyDescent="0.3">
      <c r="A3001" s="6" t="s">
        <v>3197</v>
      </c>
      <c r="B3001" s="6"/>
      <c r="C3001" s="1920">
        <v>49</v>
      </c>
      <c r="D3001" s="1920">
        <v>10776.4533980705</v>
      </c>
      <c r="E3001" s="1921">
        <v>1866.43591880794</v>
      </c>
      <c r="F3001" s="1922">
        <v>0.105497808076376</v>
      </c>
      <c r="G3001" s="1923">
        <v>1.8271771897098301E-2</v>
      </c>
    </row>
    <row r="3002" spans="1:7" x14ac:dyDescent="0.3">
      <c r="A3002" s="11" t="s">
        <v>1169</v>
      </c>
      <c r="B3002" s="11"/>
      <c r="C3002" s="1924">
        <v>23</v>
      </c>
      <c r="D3002" s="1924">
        <v>10692.754749920899</v>
      </c>
      <c r="E3002" s="1925">
        <v>3006.0406796708899</v>
      </c>
      <c r="F3002" s="1926">
        <v>0.104678426820543</v>
      </c>
      <c r="G3002" s="1927">
        <v>2.9428114332167899E-2</v>
      </c>
    </row>
    <row r="3003" spans="1:7" x14ac:dyDescent="0.3">
      <c r="A3003" s="6" t="s">
        <v>1103</v>
      </c>
      <c r="B3003" s="6"/>
      <c r="C3003" s="1920">
        <v>18</v>
      </c>
      <c r="D3003" s="1920">
        <v>4838.4451993972998</v>
      </c>
      <c r="E3003" s="1921">
        <v>1252.0370734199801</v>
      </c>
      <c r="F3003" s="1922">
        <v>4.7366730424081203E-2</v>
      </c>
      <c r="G3003" s="1923">
        <v>1.22570164781503E-2</v>
      </c>
    </row>
    <row r="3004" spans="1:7" x14ac:dyDescent="0.3">
      <c r="A3004" s="11" t="s">
        <v>1105</v>
      </c>
      <c r="B3004" s="11"/>
      <c r="C3004" s="1924">
        <v>16</v>
      </c>
      <c r="D3004" s="1924">
        <v>4634.2494223376998</v>
      </c>
      <c r="E3004" s="1925">
        <v>1337.2064086599801</v>
      </c>
      <c r="F3004" s="1926">
        <v>4.5367723320120901E-2</v>
      </c>
      <c r="G3004" s="1927">
        <v>1.3090795259650999E-2</v>
      </c>
    </row>
    <row r="3005" spans="1:7" x14ac:dyDescent="0.3">
      <c r="A3005" s="6" t="s">
        <v>1107</v>
      </c>
      <c r="B3005" s="6"/>
      <c r="C3005" s="1920">
        <v>10</v>
      </c>
      <c r="D3005" s="1920">
        <v>4010.19379435773</v>
      </c>
      <c r="E3005" s="1921">
        <v>2214.9835070357899</v>
      </c>
      <c r="F3005" s="1922">
        <v>3.9258431288904001E-2</v>
      </c>
      <c r="G3005" s="1923">
        <v>2.16839340630786E-2</v>
      </c>
    </row>
    <row r="3006" spans="1:7" x14ac:dyDescent="0.3">
      <c r="A3006" s="11" t="s">
        <v>6466</v>
      </c>
      <c r="B3006" s="11"/>
      <c r="C3006" s="1924">
        <v>6</v>
      </c>
      <c r="D3006" s="1924">
        <v>2772.6827925504299</v>
      </c>
      <c r="E3006" s="1925">
        <v>963.00178636525402</v>
      </c>
      <c r="F3006" s="1926">
        <v>2.71436201039509E-2</v>
      </c>
      <c r="G3006" s="1927">
        <v>9.4274594694910598E-3</v>
      </c>
    </row>
    <row r="3007" spans="1:7" x14ac:dyDescent="0.3">
      <c r="A3007" s="6" t="s">
        <v>1171</v>
      </c>
      <c r="B3007" s="6"/>
      <c r="C3007" s="1920">
        <v>9</v>
      </c>
      <c r="D3007" s="1920">
        <v>2316.1987454902201</v>
      </c>
      <c r="E3007" s="1921">
        <v>950.84556093361698</v>
      </c>
      <c r="F3007" s="1922">
        <v>2.2674796771470399E-2</v>
      </c>
      <c r="G3007" s="1923">
        <v>9.3084541631859499E-3</v>
      </c>
    </row>
    <row r="3008" spans="1:7" x14ac:dyDescent="0.3">
      <c r="A3008" s="11" t="s">
        <v>3210</v>
      </c>
      <c r="B3008" s="11"/>
      <c r="C3008" s="1924">
        <v>2</v>
      </c>
      <c r="D3008" s="1924">
        <v>2254.8587120700499</v>
      </c>
      <c r="E3008" s="1925">
        <v>2268.95501568277</v>
      </c>
      <c r="F3008" s="1926">
        <v>2.2074298738015499E-2</v>
      </c>
      <c r="G3008" s="1927">
        <v>2.22122967488812E-2</v>
      </c>
    </row>
    <row r="3009" spans="1:7" x14ac:dyDescent="0.3">
      <c r="A3009" s="6" t="s">
        <v>3208</v>
      </c>
      <c r="B3009" s="6"/>
      <c r="C3009" s="1920">
        <v>2</v>
      </c>
      <c r="D3009" s="1920">
        <v>1619.5688584853999</v>
      </c>
      <c r="E3009" s="1921">
        <v>1621.9096862881299</v>
      </c>
      <c r="F3009" s="1922">
        <v>1.5855027464746499E-2</v>
      </c>
      <c r="G3009" s="1923">
        <v>1.5877943371599101E-2</v>
      </c>
    </row>
    <row r="3010" spans="1:7" x14ac:dyDescent="0.3">
      <c r="A3010" s="11" t="s">
        <v>1109</v>
      </c>
      <c r="B3010" s="11"/>
      <c r="C3010" s="1924">
        <v>5</v>
      </c>
      <c r="D3010" s="1924">
        <v>859.62489171292805</v>
      </c>
      <c r="E3010" s="1925">
        <v>555.84170177695</v>
      </c>
      <c r="F3010" s="1926">
        <v>8.41543488322824E-3</v>
      </c>
      <c r="G3010" s="1927">
        <v>5.4415009288130197E-3</v>
      </c>
    </row>
    <row r="3011" spans="1:7" x14ac:dyDescent="0.3">
      <c r="A3011" s="6" t="s">
        <v>4286</v>
      </c>
      <c r="B3011" s="6"/>
      <c r="C3011" s="1920">
        <v>1</v>
      </c>
      <c r="D3011" s="1920">
        <v>224.281553883871</v>
      </c>
      <c r="E3011" s="1921">
        <v>224.69715845005001</v>
      </c>
      <c r="F3011" s="1922">
        <v>2.1956400174243302E-3</v>
      </c>
      <c r="G3011" s="1923">
        <v>2.1997086445634099E-3</v>
      </c>
    </row>
    <row r="3012" spans="1:7" x14ac:dyDescent="0.3">
      <c r="A3012" s="11" t="s">
        <v>6269</v>
      </c>
      <c r="B3012" s="11" t="s">
        <v>6270</v>
      </c>
      <c r="C3012" s="1924">
        <v>18570</v>
      </c>
      <c r="D3012" s="1924">
        <v>10214860</v>
      </c>
      <c r="E3012" s="1925">
        <v>9.8037540398916605E-8</v>
      </c>
      <c r="F3012" s="1926">
        <v>100</v>
      </c>
      <c r="G3012" s="1927">
        <v>9.6422451950283797E-14</v>
      </c>
    </row>
    <row r="3013" spans="1:7" x14ac:dyDescent="0.3">
      <c r="A3013" s="6" t="s">
        <v>6269</v>
      </c>
      <c r="B3013" s="6" t="s">
        <v>6271</v>
      </c>
      <c r="C3013" s="1920">
        <v>18570</v>
      </c>
      <c r="D3013" s="1920">
        <v>10214860</v>
      </c>
      <c r="E3013" s="1921">
        <v>0</v>
      </c>
      <c r="F3013" s="1922">
        <v>100</v>
      </c>
      <c r="G3013" s="1923">
        <v>0</v>
      </c>
    </row>
    <row r="3014" spans="1:7" x14ac:dyDescent="0.3">
      <c r="A3014" s="3299" t="s">
        <v>538</v>
      </c>
      <c r="B3014" s="3298"/>
      <c r="C3014" s="3298"/>
      <c r="D3014" s="3298"/>
      <c r="E3014" s="3298"/>
      <c r="F3014" s="3298"/>
      <c r="G3014" s="3298"/>
    </row>
    <row r="3015" spans="1:7" x14ac:dyDescent="0.3">
      <c r="A3015" s="11" t="s">
        <v>964</v>
      </c>
      <c r="B3015" s="11"/>
      <c r="C3015" s="1932">
        <v>9986</v>
      </c>
      <c r="D3015" s="1932">
        <v>5239401.99197092</v>
      </c>
      <c r="E3015" s="1933">
        <v>1.6093824353302501E-2</v>
      </c>
      <c r="F3015" s="1934">
        <v>51.291960848909703</v>
      </c>
      <c r="G3015" s="1935">
        <v>1.57552989917148E-7</v>
      </c>
    </row>
    <row r="3016" spans="1:7" x14ac:dyDescent="0.3">
      <c r="A3016" s="6" t="s">
        <v>962</v>
      </c>
      <c r="B3016" s="6"/>
      <c r="C3016" s="1928">
        <v>8584</v>
      </c>
      <c r="D3016" s="1928">
        <v>4975458.0080290502</v>
      </c>
      <c r="E3016" s="1929">
        <v>1.6093808895248401E-2</v>
      </c>
      <c r="F3016" s="1930">
        <v>48.708039151090297</v>
      </c>
      <c r="G3016" s="1931">
        <v>1.57552977361133E-7</v>
      </c>
    </row>
    <row r="3017" spans="1:7" x14ac:dyDescent="0.3">
      <c r="A3017" s="11" t="s">
        <v>6269</v>
      </c>
      <c r="B3017" s="11" t="s">
        <v>6270</v>
      </c>
      <c r="C3017" s="1932">
        <v>18570</v>
      </c>
      <c r="D3017" s="1932">
        <v>10214860</v>
      </c>
      <c r="E3017" s="1933">
        <v>1.8723852652222101E-7</v>
      </c>
      <c r="F3017" s="1934">
        <v>100</v>
      </c>
      <c r="G3017" s="1935">
        <v>9.5320444878948101E-14</v>
      </c>
    </row>
    <row r="3018" spans="1:7" x14ac:dyDescent="0.3">
      <c r="A3018" s="6" t="s">
        <v>6269</v>
      </c>
      <c r="B3018" s="6" t="s">
        <v>6271</v>
      </c>
      <c r="C3018" s="1928">
        <v>18570</v>
      </c>
      <c r="D3018" s="1928">
        <v>10214860</v>
      </c>
      <c r="E3018" s="1929">
        <v>0</v>
      </c>
      <c r="F3018" s="1930">
        <v>100</v>
      </c>
      <c r="G3018" s="1931">
        <v>0</v>
      </c>
    </row>
    <row r="3019" spans="1:7" x14ac:dyDescent="0.3">
      <c r="A3019" s="3299" t="s">
        <v>522</v>
      </c>
      <c r="B3019" s="3298"/>
      <c r="C3019" s="3298"/>
      <c r="D3019" s="3298"/>
      <c r="E3019" s="3298"/>
      <c r="F3019" s="3298"/>
      <c r="G3019" s="3298"/>
    </row>
    <row r="3020" spans="1:7" x14ac:dyDescent="0.3">
      <c r="A3020" s="11" t="s">
        <v>964</v>
      </c>
      <c r="B3020" s="11"/>
      <c r="C3020" s="1940">
        <v>17778</v>
      </c>
      <c r="D3020" s="1940">
        <v>9264766.9800339695</v>
      </c>
      <c r="E3020" s="1941">
        <v>1.7152319621602401E-2</v>
      </c>
      <c r="F3020" s="1942">
        <v>90.698912956555105</v>
      </c>
      <c r="G3020" s="1943">
        <v>1.67915322903086E-7</v>
      </c>
    </row>
    <row r="3021" spans="1:7" x14ac:dyDescent="0.3">
      <c r="A3021" s="6" t="s">
        <v>962</v>
      </c>
      <c r="B3021" s="6"/>
      <c r="C3021" s="1936">
        <v>792</v>
      </c>
      <c r="D3021" s="1936">
        <v>950093.01996603201</v>
      </c>
      <c r="E3021" s="1937">
        <v>1.71523158963909E-2</v>
      </c>
      <c r="F3021" s="1938">
        <v>9.3010870434448503</v>
      </c>
      <c r="G3021" s="1939">
        <v>1.6791533414976601E-7</v>
      </c>
    </row>
    <row r="3022" spans="1:7" x14ac:dyDescent="0.3">
      <c r="A3022" s="11" t="s">
        <v>6269</v>
      </c>
      <c r="B3022" s="11" t="s">
        <v>6270</v>
      </c>
      <c r="C3022" s="1940">
        <v>18570</v>
      </c>
      <c r="D3022" s="1940">
        <v>10214860</v>
      </c>
      <c r="E3022" s="1941">
        <v>3.9352791093964001E-7</v>
      </c>
      <c r="F3022" s="1942">
        <v>100</v>
      </c>
      <c r="G3022" s="1943">
        <v>1.00184062299098E-13</v>
      </c>
    </row>
    <row r="3023" spans="1:7" x14ac:dyDescent="0.3">
      <c r="A3023" s="6" t="s">
        <v>6269</v>
      </c>
      <c r="B3023" s="6" t="s">
        <v>6271</v>
      </c>
      <c r="C3023" s="1936">
        <v>18570</v>
      </c>
      <c r="D3023" s="1936">
        <v>10214860</v>
      </c>
      <c r="E3023" s="1937">
        <v>0</v>
      </c>
      <c r="F3023" s="1938">
        <v>100</v>
      </c>
      <c r="G3023" s="1939">
        <v>0</v>
      </c>
    </row>
    <row r="3024" spans="1:7" x14ac:dyDescent="0.3">
      <c r="A3024" s="3299" t="s">
        <v>529</v>
      </c>
      <c r="B3024" s="3298"/>
      <c r="C3024" s="3298"/>
      <c r="D3024" s="3298"/>
      <c r="E3024" s="3298"/>
      <c r="F3024" s="3298"/>
      <c r="G3024" s="3298"/>
    </row>
    <row r="3025" spans="1:7" x14ac:dyDescent="0.3">
      <c r="A3025" s="11" t="s">
        <v>962</v>
      </c>
      <c r="B3025" s="11"/>
      <c r="C3025" s="1948">
        <v>13117</v>
      </c>
      <c r="D3025" s="1948">
        <v>6008004.1108043799</v>
      </c>
      <c r="E3025" s="1949">
        <v>66328.751434362697</v>
      </c>
      <c r="F3025" s="1950">
        <v>58.8163137899529</v>
      </c>
      <c r="G3025" s="1951">
        <v>0.64933588354965199</v>
      </c>
    </row>
    <row r="3026" spans="1:7" x14ac:dyDescent="0.3">
      <c r="A3026" s="6" t="s">
        <v>964</v>
      </c>
      <c r="B3026" s="6"/>
      <c r="C3026" s="1944">
        <v>4065</v>
      </c>
      <c r="D3026" s="1944">
        <v>3197929.02149523</v>
      </c>
      <c r="E3026" s="1945">
        <v>0.12548764121393799</v>
      </c>
      <c r="F3026" s="1946">
        <v>31.306635837350999</v>
      </c>
      <c r="G3026" s="1947">
        <v>1.2284813276751599E-6</v>
      </c>
    </row>
    <row r="3027" spans="1:7" x14ac:dyDescent="0.3">
      <c r="A3027" s="11" t="s">
        <v>966</v>
      </c>
      <c r="B3027" s="11"/>
      <c r="C3027" s="1948">
        <v>531</v>
      </c>
      <c r="D3027" s="1948">
        <v>388334.56028117402</v>
      </c>
      <c r="E3027" s="1949">
        <v>30014.242764193001</v>
      </c>
      <c r="F3027" s="1950">
        <v>3.80166307008784</v>
      </c>
      <c r="G3027" s="1951">
        <v>0.29382921316779897</v>
      </c>
    </row>
    <row r="3028" spans="1:7" x14ac:dyDescent="0.3">
      <c r="A3028" s="6" t="s">
        <v>972</v>
      </c>
      <c r="B3028" s="6"/>
      <c r="C3028" s="1944">
        <v>575</v>
      </c>
      <c r="D3028" s="1944">
        <v>364152.01104654802</v>
      </c>
      <c r="E3028" s="1945">
        <v>37678.199074196003</v>
      </c>
      <c r="F3028" s="1946">
        <v>3.5649241501748299</v>
      </c>
      <c r="G3028" s="1947">
        <v>0.36885673493515497</v>
      </c>
    </row>
    <row r="3029" spans="1:7" x14ac:dyDescent="0.3">
      <c r="A3029" s="11" t="s">
        <v>983</v>
      </c>
      <c r="B3029" s="11"/>
      <c r="C3029" s="1948">
        <v>212</v>
      </c>
      <c r="D3029" s="1948">
        <v>215217.03295860201</v>
      </c>
      <c r="E3029" s="1949">
        <v>26442.0638092599</v>
      </c>
      <c r="F3029" s="1950">
        <v>2.1069014451358301</v>
      </c>
      <c r="G3029" s="1951">
        <v>0.25885879795963401</v>
      </c>
    </row>
    <row r="3030" spans="1:7" x14ac:dyDescent="0.3">
      <c r="A3030" s="6" t="s">
        <v>968</v>
      </c>
      <c r="B3030" s="6"/>
      <c r="C3030" s="1944">
        <v>57</v>
      </c>
      <c r="D3030" s="1944">
        <v>32109.0624749167</v>
      </c>
      <c r="E3030" s="1945">
        <v>6414.0070303247003</v>
      </c>
      <c r="F3030" s="1946">
        <v>0.31433678459535203</v>
      </c>
      <c r="G3030" s="1947">
        <v>6.2790944078770797E-2</v>
      </c>
    </row>
    <row r="3031" spans="1:7" x14ac:dyDescent="0.3">
      <c r="A3031" s="11" t="s">
        <v>970</v>
      </c>
      <c r="B3031" s="11"/>
      <c r="C3031" s="1948">
        <v>13</v>
      </c>
      <c r="D3031" s="1948">
        <v>9114.2009391382708</v>
      </c>
      <c r="E3031" s="1949">
        <v>3874.4849995406198</v>
      </c>
      <c r="F3031" s="1950">
        <v>8.9224922702203405E-2</v>
      </c>
      <c r="G3031" s="1951">
        <v>3.79298884129654E-2</v>
      </c>
    </row>
    <row r="3032" spans="1:7" x14ac:dyDescent="0.3">
      <c r="A3032" s="6" t="s">
        <v>6269</v>
      </c>
      <c r="B3032" s="6" t="s">
        <v>6270</v>
      </c>
      <c r="C3032" s="1944">
        <v>18570</v>
      </c>
      <c r="D3032" s="1944">
        <v>10214860</v>
      </c>
      <c r="E3032" s="1945">
        <v>1.9736003976059699E-7</v>
      </c>
      <c r="F3032" s="1946">
        <v>100</v>
      </c>
      <c r="G3032" s="1947">
        <v>1.90085893268012E-13</v>
      </c>
    </row>
    <row r="3033" spans="1:7" x14ac:dyDescent="0.3">
      <c r="A3033" s="11" t="s">
        <v>6269</v>
      </c>
      <c r="B3033" s="11" t="s">
        <v>6271</v>
      </c>
      <c r="C3033" s="1948">
        <v>18570</v>
      </c>
      <c r="D3033" s="1948">
        <v>10214860</v>
      </c>
      <c r="E3033" s="1949">
        <v>0</v>
      </c>
      <c r="F3033" s="1950">
        <v>100</v>
      </c>
      <c r="G3033" s="1951">
        <v>0</v>
      </c>
    </row>
    <row r="3034" spans="1:7" x14ac:dyDescent="0.3">
      <c r="A3034" s="3299" t="s">
        <v>906</v>
      </c>
      <c r="B3034" s="3298"/>
      <c r="C3034" s="3298"/>
      <c r="D3034" s="3298"/>
      <c r="E3034" s="3298"/>
      <c r="F3034" s="3298"/>
      <c r="G3034" s="3298"/>
    </row>
    <row r="3035" spans="1:7" x14ac:dyDescent="0.3">
      <c r="A3035" s="11" t="s">
        <v>962</v>
      </c>
      <c r="B3035" s="11"/>
      <c r="C3035" s="1956">
        <v>8378</v>
      </c>
      <c r="D3035" s="1956">
        <v>4837872.6726699499</v>
      </c>
      <c r="E3035" s="1957">
        <v>37670.779584063901</v>
      </c>
      <c r="F3035" s="1958">
        <v>60.338078163763797</v>
      </c>
      <c r="G3035" s="1959">
        <v>0.53805716607176102</v>
      </c>
    </row>
    <row r="3036" spans="1:7" x14ac:dyDescent="0.3">
      <c r="A3036" s="6" t="s">
        <v>964</v>
      </c>
      <c r="B3036" s="6"/>
      <c r="C3036" s="1952">
        <v>7264</v>
      </c>
      <c r="D3036" s="1952">
        <v>3180070.2580602299</v>
      </c>
      <c r="E3036" s="1953">
        <v>48167.0829426419</v>
      </c>
      <c r="F3036" s="1954">
        <v>39.661921836236203</v>
      </c>
      <c r="G3036" s="1955">
        <v>0.53805716607176202</v>
      </c>
    </row>
    <row r="3037" spans="1:7" x14ac:dyDescent="0.3">
      <c r="A3037" s="11" t="s">
        <v>960</v>
      </c>
      <c r="B3037" s="11"/>
      <c r="C3037" s="1956">
        <v>2928</v>
      </c>
      <c r="D3037" s="1956">
        <v>2196917.0692698299</v>
      </c>
      <c r="E3037" s="1957">
        <v>20714.3716053467</v>
      </c>
      <c r="F3037" s="1958">
        <v>100</v>
      </c>
      <c r="G3037" s="1959">
        <v>0</v>
      </c>
    </row>
    <row r="3038" spans="1:7" x14ac:dyDescent="0.3">
      <c r="A3038" s="6" t="s">
        <v>6269</v>
      </c>
      <c r="B3038" s="6" t="s">
        <v>6270</v>
      </c>
      <c r="C3038" s="1952">
        <v>15642</v>
      </c>
      <c r="D3038" s="1952">
        <v>8017942.9307301696</v>
      </c>
      <c r="E3038" s="1953">
        <v>20714.3716053471</v>
      </c>
      <c r="F3038" s="1954">
        <v>78.492930208834693</v>
      </c>
      <c r="G3038" s="1955">
        <v>0.20278664225791501</v>
      </c>
    </row>
    <row r="3039" spans="1:7" x14ac:dyDescent="0.3">
      <c r="A3039" s="11" t="s">
        <v>6269</v>
      </c>
      <c r="B3039" s="11" t="s">
        <v>6271</v>
      </c>
      <c r="C3039" s="1956">
        <v>18570</v>
      </c>
      <c r="D3039" s="1956">
        <v>10214860</v>
      </c>
      <c r="E3039" s="1957">
        <v>0</v>
      </c>
      <c r="F3039" s="1958">
        <v>100</v>
      </c>
      <c r="G3039" s="1959">
        <v>0</v>
      </c>
    </row>
    <row r="3040" spans="1:7" x14ac:dyDescent="0.3">
      <c r="A3040" s="3297" t="s">
        <v>985</v>
      </c>
      <c r="B3040" s="3298"/>
      <c r="C3040" s="3298"/>
      <c r="D3040" s="3298"/>
      <c r="E3040" s="3298"/>
      <c r="F3040" s="3298"/>
      <c r="G3040" s="3298"/>
    </row>
    <row r="3041" spans="1:7" x14ac:dyDescent="0.3">
      <c r="A3041" s="3299" t="s">
        <v>273</v>
      </c>
      <c r="B3041" s="3298"/>
      <c r="C3041" s="3298"/>
      <c r="D3041" s="3298"/>
      <c r="E3041" s="3298"/>
      <c r="F3041" s="3298"/>
      <c r="G3041" s="3298"/>
    </row>
    <row r="3042" spans="1:7" x14ac:dyDescent="0.3">
      <c r="A3042" s="11" t="s">
        <v>6269</v>
      </c>
      <c r="B3042" s="11" t="s">
        <v>6270</v>
      </c>
      <c r="C3042" s="1964">
        <v>13901</v>
      </c>
      <c r="D3042" s="1964">
        <v>7034549.2925445</v>
      </c>
      <c r="E3042" s="1965">
        <v>26049.863883809001</v>
      </c>
      <c r="F3042" s="1966">
        <v>100</v>
      </c>
      <c r="G3042" s="1967">
        <v>1.02786679142825E-14</v>
      </c>
    </row>
    <row r="3043" spans="1:7" x14ac:dyDescent="0.3">
      <c r="A3043" s="6" t="s">
        <v>6269</v>
      </c>
      <c r="B3043" s="6" t="s">
        <v>6271</v>
      </c>
      <c r="C3043" s="1960">
        <v>13901</v>
      </c>
      <c r="D3043" s="1960">
        <v>7034549.2925445</v>
      </c>
      <c r="E3043" s="1961">
        <v>0</v>
      </c>
      <c r="F3043" s="1962">
        <v>100</v>
      </c>
      <c r="G3043" s="1963">
        <v>0</v>
      </c>
    </row>
    <row r="3044" spans="1:7" x14ac:dyDescent="0.3">
      <c r="A3044" s="3299" t="s">
        <v>786</v>
      </c>
      <c r="B3044" s="3298"/>
      <c r="C3044" s="3298"/>
      <c r="D3044" s="3298"/>
      <c r="E3044" s="3298"/>
      <c r="F3044" s="3298"/>
      <c r="G3044" s="3298"/>
    </row>
    <row r="3045" spans="1:7" x14ac:dyDescent="0.3">
      <c r="A3045" s="11" t="s">
        <v>962</v>
      </c>
      <c r="B3045" s="11" t="s">
        <v>6096</v>
      </c>
      <c r="C3045" s="1972">
        <v>8185</v>
      </c>
      <c r="D3045" s="1972">
        <v>3402150.6507685599</v>
      </c>
      <c r="E3045" s="1973">
        <v>699.15637927294699</v>
      </c>
      <c r="F3045" s="1974">
        <v>48.363448876167404</v>
      </c>
      <c r="G3045" s="1975">
        <v>0.18260697925897801</v>
      </c>
    </row>
    <row r="3046" spans="1:7" x14ac:dyDescent="0.3">
      <c r="A3046" s="6" t="s">
        <v>964</v>
      </c>
      <c r="B3046" s="6" t="s">
        <v>6097</v>
      </c>
      <c r="C3046" s="1968">
        <v>5443</v>
      </c>
      <c r="D3046" s="1968">
        <v>2172918.4836452799</v>
      </c>
      <c r="E3046" s="1969">
        <v>2.8942778580269501</v>
      </c>
      <c r="F3046" s="1970">
        <v>30.889235305355399</v>
      </c>
      <c r="G3046" s="1971">
        <v>0.114396047330469</v>
      </c>
    </row>
    <row r="3047" spans="1:7" x14ac:dyDescent="0.3">
      <c r="A3047" s="11" t="s">
        <v>966</v>
      </c>
      <c r="B3047" s="11" t="s">
        <v>6098</v>
      </c>
      <c r="C3047" s="1972">
        <v>2154</v>
      </c>
      <c r="D3047" s="1972">
        <v>922410.47954355099</v>
      </c>
      <c r="E3047" s="1973">
        <v>19290.977746915101</v>
      </c>
      <c r="F3047" s="1974">
        <v>13.112573971457699</v>
      </c>
      <c r="G3047" s="1975">
        <v>0.24103122843326399</v>
      </c>
    </row>
    <row r="3048" spans="1:7" x14ac:dyDescent="0.3">
      <c r="A3048" s="6" t="s">
        <v>968</v>
      </c>
      <c r="B3048" s="6" t="s">
        <v>6099</v>
      </c>
      <c r="C3048" s="1968">
        <v>784</v>
      </c>
      <c r="D3048" s="1968">
        <v>338134.70542990201</v>
      </c>
      <c r="E3048" s="1969">
        <v>8791.6153718304104</v>
      </c>
      <c r="F3048" s="1970">
        <v>4.8067714272508004</v>
      </c>
      <c r="G3048" s="1971">
        <v>0.115701852854287</v>
      </c>
    </row>
    <row r="3049" spans="1:7" x14ac:dyDescent="0.3">
      <c r="A3049" s="11" t="s">
        <v>970</v>
      </c>
      <c r="B3049" s="11" t="s">
        <v>6100</v>
      </c>
      <c r="C3049" s="1972">
        <v>264</v>
      </c>
      <c r="D3049" s="1972">
        <v>122167.17552106699</v>
      </c>
      <c r="E3049" s="1973">
        <v>6740.6721087208598</v>
      </c>
      <c r="F3049" s="1974">
        <v>1.73667381434863</v>
      </c>
      <c r="G3049" s="1975">
        <v>9.3576986236488205E-2</v>
      </c>
    </row>
    <row r="3050" spans="1:7" x14ac:dyDescent="0.3">
      <c r="A3050" s="6" t="s">
        <v>972</v>
      </c>
      <c r="B3050" s="6" t="s">
        <v>6101</v>
      </c>
      <c r="C3050" s="1968">
        <v>90</v>
      </c>
      <c r="D3050" s="1968">
        <v>44715.340771335701</v>
      </c>
      <c r="E3050" s="1969">
        <v>4822.1841005246097</v>
      </c>
      <c r="F3050" s="1970">
        <v>0.63565324389334799</v>
      </c>
      <c r="G3050" s="1971">
        <v>6.7346761426058097E-2</v>
      </c>
    </row>
    <row r="3051" spans="1:7" x14ac:dyDescent="0.3">
      <c r="A3051" s="11" t="s">
        <v>981</v>
      </c>
      <c r="B3051" s="11" t="s">
        <v>6102</v>
      </c>
      <c r="C3051" s="1972">
        <v>31</v>
      </c>
      <c r="D3051" s="1972">
        <v>14539.7998769036</v>
      </c>
      <c r="E3051" s="1973">
        <v>3696.8032073341701</v>
      </c>
      <c r="F3051" s="1974">
        <v>0.206691278605631</v>
      </c>
      <c r="G3051" s="1975">
        <v>5.2432844975488599E-2</v>
      </c>
    </row>
    <row r="3052" spans="1:7" x14ac:dyDescent="0.3">
      <c r="A3052" s="6" t="s">
        <v>991</v>
      </c>
      <c r="B3052" s="6" t="s">
        <v>6103</v>
      </c>
      <c r="C3052" s="1968">
        <v>19</v>
      </c>
      <c r="D3052" s="1968">
        <v>8716.6780804170303</v>
      </c>
      <c r="E3052" s="1969">
        <v>2188.1940367539501</v>
      </c>
      <c r="F3052" s="1970">
        <v>0.123912388952272</v>
      </c>
      <c r="G3052" s="1971">
        <v>3.10935474272678E-2</v>
      </c>
    </row>
    <row r="3053" spans="1:7" x14ac:dyDescent="0.3">
      <c r="A3053" s="11" t="s">
        <v>993</v>
      </c>
      <c r="B3053" s="11" t="s">
        <v>6104</v>
      </c>
      <c r="C3053" s="1972">
        <v>11</v>
      </c>
      <c r="D3053" s="1972">
        <v>4069.6443510142599</v>
      </c>
      <c r="E3053" s="1973">
        <v>1779.7753680476401</v>
      </c>
      <c r="F3053" s="1974">
        <v>5.7852240161674999E-2</v>
      </c>
      <c r="G3053" s="1975">
        <v>2.5226126939197901E-2</v>
      </c>
    </row>
    <row r="3054" spans="1:7" x14ac:dyDescent="0.3">
      <c r="A3054" s="6" t="s">
        <v>995</v>
      </c>
      <c r="B3054" s="6" t="s">
        <v>6105</v>
      </c>
      <c r="C3054" s="1968">
        <v>6</v>
      </c>
      <c r="D3054" s="1968">
        <v>3227.84094715315</v>
      </c>
      <c r="E3054" s="1969">
        <v>1508.5704653612399</v>
      </c>
      <c r="F3054" s="1970">
        <v>4.5885540251656802E-2</v>
      </c>
      <c r="G3054" s="1971">
        <v>2.1381295265175501E-2</v>
      </c>
    </row>
    <row r="3055" spans="1:7" x14ac:dyDescent="0.3">
      <c r="A3055" s="11" t="s">
        <v>997</v>
      </c>
      <c r="B3055" s="11" t="s">
        <v>6106</v>
      </c>
      <c r="C3055" s="1972">
        <v>1</v>
      </c>
      <c r="D3055" s="1972">
        <v>749.24680465877998</v>
      </c>
      <c r="E3055" s="1973">
        <v>747.77695243216397</v>
      </c>
      <c r="F3055" s="1974">
        <v>1.06509567777549E-2</v>
      </c>
      <c r="G3055" s="1975">
        <v>1.06298967390503E-2</v>
      </c>
    </row>
    <row r="3056" spans="1:7" x14ac:dyDescent="0.3">
      <c r="A3056" s="6" t="s">
        <v>999</v>
      </c>
      <c r="B3056" s="6" t="s">
        <v>6107</v>
      </c>
      <c r="C3056" s="1968">
        <v>1</v>
      </c>
      <c r="D3056" s="1968">
        <v>749.24680465877998</v>
      </c>
      <c r="E3056" s="1969">
        <v>747.77695243216397</v>
      </c>
      <c r="F3056" s="1970">
        <v>1.06509567777549E-2</v>
      </c>
      <c r="G3056" s="1971">
        <v>1.06298967390503E-2</v>
      </c>
    </row>
    <row r="3057" spans="1:7" x14ac:dyDescent="0.3">
      <c r="A3057" s="11" t="s">
        <v>6269</v>
      </c>
      <c r="B3057" s="11" t="s">
        <v>6270</v>
      </c>
      <c r="C3057" s="1972">
        <v>16989</v>
      </c>
      <c r="D3057" s="1972">
        <v>7034549.2925445</v>
      </c>
      <c r="E3057" s="1973">
        <v>26049.863883800801</v>
      </c>
      <c r="F3057" s="1974">
        <v>100</v>
      </c>
      <c r="G3057" s="1975">
        <v>1.45362315675074E-14</v>
      </c>
    </row>
    <row r="3058" spans="1:7" x14ac:dyDescent="0.3">
      <c r="A3058" s="6" t="s">
        <v>6269</v>
      </c>
      <c r="B3058" s="6" t="s">
        <v>6271</v>
      </c>
      <c r="C3058" s="1968">
        <v>16989</v>
      </c>
      <c r="D3058" s="1968">
        <v>7034549.2925445</v>
      </c>
      <c r="E3058" s="1969">
        <v>0</v>
      </c>
      <c r="F3058" s="1970">
        <v>100</v>
      </c>
      <c r="G3058" s="1971">
        <v>0</v>
      </c>
    </row>
    <row r="3059" spans="1:7" x14ac:dyDescent="0.3">
      <c r="A3059" s="3299" t="s">
        <v>806</v>
      </c>
      <c r="B3059" s="3298"/>
      <c r="C3059" s="3298"/>
      <c r="D3059" s="3298"/>
      <c r="E3059" s="3298"/>
      <c r="F3059" s="3298"/>
      <c r="G3059" s="3298"/>
    </row>
    <row r="3060" spans="1:7" x14ac:dyDescent="0.3">
      <c r="A3060" s="11" t="s">
        <v>6494</v>
      </c>
      <c r="B3060" s="11"/>
      <c r="C3060" s="1980">
        <v>1067</v>
      </c>
      <c r="D3060" s="1980">
        <v>454982.46764468797</v>
      </c>
      <c r="E3060" s="1981">
        <v>23412.947038545299</v>
      </c>
      <c r="F3060" s="1982">
        <v>6.5190638814974298</v>
      </c>
      <c r="G3060" s="1983">
        <v>0.33122456187579202</v>
      </c>
    </row>
    <row r="3061" spans="1:7" x14ac:dyDescent="0.3">
      <c r="A3061" s="6" t="s">
        <v>6512</v>
      </c>
      <c r="B3061" s="6"/>
      <c r="C3061" s="1976">
        <v>1069</v>
      </c>
      <c r="D3061" s="1976">
        <v>428374.64959669102</v>
      </c>
      <c r="E3061" s="1977">
        <v>19718.879393416599</v>
      </c>
      <c r="F3061" s="1978">
        <v>6.1378226734568297</v>
      </c>
      <c r="G3061" s="1979">
        <v>0.28644194991995098</v>
      </c>
    </row>
    <row r="3062" spans="1:7" x14ac:dyDescent="0.3">
      <c r="A3062" s="11" t="s">
        <v>6493</v>
      </c>
      <c r="B3062" s="11"/>
      <c r="C3062" s="1980">
        <v>1056</v>
      </c>
      <c r="D3062" s="1980">
        <v>403619.28213036602</v>
      </c>
      <c r="E3062" s="1981">
        <v>14590.117905661</v>
      </c>
      <c r="F3062" s="1982">
        <v>5.7831236830576103</v>
      </c>
      <c r="G3062" s="1983">
        <v>0.20704713730341301</v>
      </c>
    </row>
    <row r="3063" spans="1:7" x14ac:dyDescent="0.3">
      <c r="A3063" s="6" t="s">
        <v>6516</v>
      </c>
      <c r="B3063" s="6"/>
      <c r="C3063" s="1976">
        <v>913</v>
      </c>
      <c r="D3063" s="1976">
        <v>395618.19227559399</v>
      </c>
      <c r="E3063" s="1977">
        <v>25597.932800069801</v>
      </c>
      <c r="F3063" s="1978">
        <v>5.6684827472103896</v>
      </c>
      <c r="G3063" s="1979">
        <v>0.35926026576396403</v>
      </c>
    </row>
    <row r="3064" spans="1:7" x14ac:dyDescent="0.3">
      <c r="A3064" s="11" t="s">
        <v>6496</v>
      </c>
      <c r="B3064" s="11"/>
      <c r="C3064" s="1980">
        <v>955</v>
      </c>
      <c r="D3064" s="1980">
        <v>391444.03492121701</v>
      </c>
      <c r="E3064" s="1981">
        <v>15959.474803724999</v>
      </c>
      <c r="F3064" s="1982">
        <v>5.6086747317818597</v>
      </c>
      <c r="G3064" s="1983">
        <v>0.22930475555900201</v>
      </c>
    </row>
    <row r="3065" spans="1:7" x14ac:dyDescent="0.3">
      <c r="A3065" s="6" t="s">
        <v>6503</v>
      </c>
      <c r="B3065" s="6"/>
      <c r="C3065" s="1976">
        <v>865</v>
      </c>
      <c r="D3065" s="1976">
        <v>385443.691427699</v>
      </c>
      <c r="E3065" s="1977">
        <v>25137.915848217301</v>
      </c>
      <c r="F3065" s="1978">
        <v>5.52270081997891</v>
      </c>
      <c r="G3065" s="1979">
        <v>0.360642130036197</v>
      </c>
    </row>
    <row r="3066" spans="1:7" x14ac:dyDescent="0.3">
      <c r="A3066" s="11" t="s">
        <v>6518</v>
      </c>
      <c r="B3066" s="11"/>
      <c r="C3066" s="1980">
        <v>913</v>
      </c>
      <c r="D3066" s="1980">
        <v>375815.07898156799</v>
      </c>
      <c r="E3066" s="1981">
        <v>18761.886370746601</v>
      </c>
      <c r="F3066" s="1982">
        <v>5.3847404718550704</v>
      </c>
      <c r="G3066" s="1983">
        <v>0.26634255003553597</v>
      </c>
    </row>
    <row r="3067" spans="1:7" x14ac:dyDescent="0.3">
      <c r="A3067" s="6" t="s">
        <v>6497</v>
      </c>
      <c r="B3067" s="6"/>
      <c r="C3067" s="1976">
        <v>830</v>
      </c>
      <c r="D3067" s="1976">
        <v>363370.78911675699</v>
      </c>
      <c r="E3067" s="1977">
        <v>22727.5203290971</v>
      </c>
      <c r="F3067" s="1978">
        <v>5.2064366330092904</v>
      </c>
      <c r="G3067" s="1979">
        <v>0.33141432812595201</v>
      </c>
    </row>
    <row r="3068" spans="1:7" x14ac:dyDescent="0.3">
      <c r="A3068" s="11" t="s">
        <v>6525</v>
      </c>
      <c r="B3068" s="11"/>
      <c r="C3068" s="1980">
        <v>791</v>
      </c>
      <c r="D3068" s="1980">
        <v>344170.67063730501</v>
      </c>
      <c r="E3068" s="1981">
        <v>25308.922729930699</v>
      </c>
      <c r="F3068" s="1982">
        <v>4.9313341668685098</v>
      </c>
      <c r="G3068" s="1983">
        <v>0.37014374732196198</v>
      </c>
    </row>
    <row r="3069" spans="1:7" x14ac:dyDescent="0.3">
      <c r="A3069" s="6" t="s">
        <v>6499</v>
      </c>
      <c r="B3069" s="6"/>
      <c r="C3069" s="1976">
        <v>775</v>
      </c>
      <c r="D3069" s="1976">
        <v>331042.83228994103</v>
      </c>
      <c r="E3069" s="1977">
        <v>20031.489241755899</v>
      </c>
      <c r="F3069" s="1978">
        <v>4.7432363325597304</v>
      </c>
      <c r="G3069" s="1979">
        <v>0.287083083946787</v>
      </c>
    </row>
    <row r="3070" spans="1:7" x14ac:dyDescent="0.3">
      <c r="A3070" s="11" t="s">
        <v>6509</v>
      </c>
      <c r="B3070" s="11"/>
      <c r="C3070" s="1980">
        <v>768</v>
      </c>
      <c r="D3070" s="1980">
        <v>324073.29451919702</v>
      </c>
      <c r="E3070" s="1981">
        <v>25627.489299117999</v>
      </c>
      <c r="F3070" s="1982">
        <v>4.6433756452079802</v>
      </c>
      <c r="G3070" s="1983">
        <v>0.36349280731449202</v>
      </c>
    </row>
    <row r="3071" spans="1:7" x14ac:dyDescent="0.3">
      <c r="A3071" s="6" t="s">
        <v>6498</v>
      </c>
      <c r="B3071" s="6"/>
      <c r="C3071" s="1976">
        <v>865</v>
      </c>
      <c r="D3071" s="1976">
        <v>321270.46812462399</v>
      </c>
      <c r="E3071" s="1977">
        <v>29220.893170136202</v>
      </c>
      <c r="F3071" s="1978">
        <v>4.6032162860802499</v>
      </c>
      <c r="G3071" s="1979">
        <v>0.41986209246633099</v>
      </c>
    </row>
    <row r="3072" spans="1:7" x14ac:dyDescent="0.3">
      <c r="A3072" s="11" t="s">
        <v>6517</v>
      </c>
      <c r="B3072" s="11"/>
      <c r="C3072" s="1980">
        <v>812</v>
      </c>
      <c r="D3072" s="1980">
        <v>314930.29303088202</v>
      </c>
      <c r="E3072" s="1981">
        <v>18035.562469590899</v>
      </c>
      <c r="F3072" s="1982">
        <v>4.5123732110273798</v>
      </c>
      <c r="G3072" s="1983">
        <v>0.25850836635042901</v>
      </c>
    </row>
    <row r="3073" spans="1:7" x14ac:dyDescent="0.3">
      <c r="A3073" s="6" t="s">
        <v>6513</v>
      </c>
      <c r="B3073" s="6"/>
      <c r="C3073" s="1976">
        <v>641</v>
      </c>
      <c r="D3073" s="1976">
        <v>278965.94929594302</v>
      </c>
      <c r="E3073" s="1977">
        <v>9265.2202317674491</v>
      </c>
      <c r="F3073" s="1978">
        <v>3.9970701588506601</v>
      </c>
      <c r="G3073" s="1979">
        <v>0.13256904457635901</v>
      </c>
    </row>
    <row r="3074" spans="1:7" x14ac:dyDescent="0.3">
      <c r="A3074" s="11" t="s">
        <v>3247</v>
      </c>
      <c r="B3074" s="11"/>
      <c r="C3074" s="1980">
        <v>590</v>
      </c>
      <c r="D3074" s="1980">
        <v>258517.94929878099</v>
      </c>
      <c r="E3074" s="1981">
        <v>19641.428848179199</v>
      </c>
      <c r="F3074" s="1982">
        <v>3.7040878403880999</v>
      </c>
      <c r="G3074" s="1983">
        <v>0.28374987363666998</v>
      </c>
    </row>
    <row r="3075" spans="1:7" x14ac:dyDescent="0.3">
      <c r="A3075" s="6" t="s">
        <v>6507</v>
      </c>
      <c r="B3075" s="6"/>
      <c r="C3075" s="1976">
        <v>573</v>
      </c>
      <c r="D3075" s="1976">
        <v>246932.026623688</v>
      </c>
      <c r="E3075" s="1977">
        <v>18933.732079788399</v>
      </c>
      <c r="F3075" s="1978">
        <v>3.5380828282916799</v>
      </c>
      <c r="G3075" s="1979">
        <v>0.26796794446371802</v>
      </c>
    </row>
    <row r="3076" spans="1:7" x14ac:dyDescent="0.3">
      <c r="A3076" s="11" t="s">
        <v>6500</v>
      </c>
      <c r="B3076" s="11"/>
      <c r="C3076" s="1980">
        <v>520</v>
      </c>
      <c r="D3076" s="1980">
        <v>226044.366377283</v>
      </c>
      <c r="E3076" s="1981">
        <v>15704.6926111143</v>
      </c>
      <c r="F3076" s="1982">
        <v>3.2388009852214799</v>
      </c>
      <c r="G3076" s="1983">
        <v>0.22412708221739999</v>
      </c>
    </row>
    <row r="3077" spans="1:7" x14ac:dyDescent="0.3">
      <c r="A3077" s="6" t="s">
        <v>6510</v>
      </c>
      <c r="B3077" s="6"/>
      <c r="C3077" s="1976">
        <v>465</v>
      </c>
      <c r="D3077" s="1976">
        <v>172037.01647097999</v>
      </c>
      <c r="E3077" s="1977">
        <v>17778.9677119443</v>
      </c>
      <c r="F3077" s="1978">
        <v>2.4649747630108201</v>
      </c>
      <c r="G3077" s="1979">
        <v>0.250615525270725</v>
      </c>
    </row>
    <row r="3078" spans="1:7" x14ac:dyDescent="0.3">
      <c r="A3078" s="11" t="s">
        <v>6506</v>
      </c>
      <c r="B3078" s="11"/>
      <c r="C3078" s="1980">
        <v>355</v>
      </c>
      <c r="D3078" s="1980">
        <v>154695.219174203</v>
      </c>
      <c r="E3078" s="1981">
        <v>9965.2270232172395</v>
      </c>
      <c r="F3078" s="1982">
        <v>2.2164986294514102</v>
      </c>
      <c r="G3078" s="1983">
        <v>0.14279767424176501</v>
      </c>
    </row>
    <row r="3079" spans="1:7" x14ac:dyDescent="0.3">
      <c r="A3079" s="6" t="s">
        <v>6511</v>
      </c>
      <c r="B3079" s="6"/>
      <c r="C3079" s="1976">
        <v>300</v>
      </c>
      <c r="D3079" s="1976">
        <v>122766.447384449</v>
      </c>
      <c r="E3079" s="1977">
        <v>13187.789531890099</v>
      </c>
      <c r="F3079" s="1978">
        <v>1.75901791808979</v>
      </c>
      <c r="G3079" s="1979">
        <v>0.18812735755923701</v>
      </c>
    </row>
    <row r="3080" spans="1:7" x14ac:dyDescent="0.3">
      <c r="A3080" s="11" t="s">
        <v>6504</v>
      </c>
      <c r="B3080" s="11"/>
      <c r="C3080" s="1980">
        <v>218</v>
      </c>
      <c r="D3080" s="1980">
        <v>98344.145541786507</v>
      </c>
      <c r="E3080" s="1981">
        <v>10453.058730883</v>
      </c>
      <c r="F3080" s="1982">
        <v>1.40909114691174</v>
      </c>
      <c r="G3080" s="1983">
        <v>0.149537466294971</v>
      </c>
    </row>
    <row r="3081" spans="1:7" x14ac:dyDescent="0.3">
      <c r="A3081" s="6" t="s">
        <v>6495</v>
      </c>
      <c r="B3081" s="6"/>
      <c r="C3081" s="1976">
        <v>217</v>
      </c>
      <c r="D3081" s="1976">
        <v>81047.802950970494</v>
      </c>
      <c r="E3081" s="1977">
        <v>7193.5092030590304</v>
      </c>
      <c r="F3081" s="1978">
        <v>1.1612662958806701</v>
      </c>
      <c r="G3081" s="1979">
        <v>0.10178873631384</v>
      </c>
    </row>
    <row r="3082" spans="1:7" x14ac:dyDescent="0.3">
      <c r="A3082" s="11" t="s">
        <v>6505</v>
      </c>
      <c r="B3082" s="11"/>
      <c r="C3082" s="1980">
        <v>167</v>
      </c>
      <c r="D3082" s="1980">
        <v>68067.288742101198</v>
      </c>
      <c r="E3082" s="1981">
        <v>13168.1807459582</v>
      </c>
      <c r="F3082" s="1982">
        <v>0.97527934614090805</v>
      </c>
      <c r="G3082" s="1983">
        <v>0.18825719436417901</v>
      </c>
    </row>
    <row r="3083" spans="1:7" x14ac:dyDescent="0.3">
      <c r="A3083" s="6" t="s">
        <v>6635</v>
      </c>
      <c r="B3083" s="6"/>
      <c r="C3083" s="1976">
        <v>129</v>
      </c>
      <c r="D3083" s="1976">
        <v>51807.140540599503</v>
      </c>
      <c r="E3083" s="1977">
        <v>8650.0451336360693</v>
      </c>
      <c r="F3083" s="1978">
        <v>0.74230125932156099</v>
      </c>
      <c r="G3083" s="1979">
        <v>0.12426777085978601</v>
      </c>
    </row>
    <row r="3084" spans="1:7" x14ac:dyDescent="0.3">
      <c r="A3084" s="11" t="s">
        <v>6502</v>
      </c>
      <c r="B3084" s="11"/>
      <c r="C3084" s="1980">
        <v>108</v>
      </c>
      <c r="D3084" s="1980">
        <v>46617.2818104904</v>
      </c>
      <c r="E3084" s="1981">
        <v>6711.9706760875497</v>
      </c>
      <c r="F3084" s="1982">
        <v>0.66794010696183903</v>
      </c>
      <c r="G3084" s="1983">
        <v>9.5898228771667995E-2</v>
      </c>
    </row>
    <row r="3085" spans="1:7" x14ac:dyDescent="0.3">
      <c r="A3085" s="6" t="s">
        <v>6529</v>
      </c>
      <c r="B3085" s="6"/>
      <c r="C3085" s="1976">
        <v>121</v>
      </c>
      <c r="D3085" s="1976">
        <v>43424.730544046397</v>
      </c>
      <c r="E3085" s="1977">
        <v>6014.97735389645</v>
      </c>
      <c r="F3085" s="1978">
        <v>0.62219670555421103</v>
      </c>
      <c r="G3085" s="1979">
        <v>8.7245741516751601E-2</v>
      </c>
    </row>
    <row r="3086" spans="1:7" x14ac:dyDescent="0.3">
      <c r="A3086" s="11" t="s">
        <v>6521</v>
      </c>
      <c r="B3086" s="11"/>
      <c r="C3086" s="1980">
        <v>73</v>
      </c>
      <c r="D3086" s="1980">
        <v>34048.301704752601</v>
      </c>
      <c r="E3086" s="1981">
        <v>7320.1635934016304</v>
      </c>
      <c r="F3086" s="1982">
        <v>0.48784968576661403</v>
      </c>
      <c r="G3086" s="1983">
        <v>0.104228085406151</v>
      </c>
    </row>
    <row r="3087" spans="1:7" x14ac:dyDescent="0.3">
      <c r="A3087" s="6" t="s">
        <v>6520</v>
      </c>
      <c r="B3087" s="6"/>
      <c r="C3087" s="1976">
        <v>71</v>
      </c>
      <c r="D3087" s="1976">
        <v>33648.069101450099</v>
      </c>
      <c r="E3087" s="1977">
        <v>6000.5989529014396</v>
      </c>
      <c r="F3087" s="1978">
        <v>0.48211508697670102</v>
      </c>
      <c r="G3087" s="1979">
        <v>8.5684479198605404E-2</v>
      </c>
    </row>
    <row r="3088" spans="1:7" x14ac:dyDescent="0.3">
      <c r="A3088" s="11" t="s">
        <v>6514</v>
      </c>
      <c r="B3088" s="11"/>
      <c r="C3088" s="1980">
        <v>72</v>
      </c>
      <c r="D3088" s="1980">
        <v>25208.365395672899</v>
      </c>
      <c r="E3088" s="1981">
        <v>5124.1323066232899</v>
      </c>
      <c r="F3088" s="1982">
        <v>0.36118961948849299</v>
      </c>
      <c r="G3088" s="1983">
        <v>7.3699493170643796E-2</v>
      </c>
    </row>
    <row r="3089" spans="1:7" x14ac:dyDescent="0.3">
      <c r="A3089" s="6" t="s">
        <v>6524</v>
      </c>
      <c r="B3089" s="6"/>
      <c r="C3089" s="1976">
        <v>47</v>
      </c>
      <c r="D3089" s="1976">
        <v>18714.2772051664</v>
      </c>
      <c r="E3089" s="1977">
        <v>5411.9830781816199</v>
      </c>
      <c r="F3089" s="1978">
        <v>0.26814125218513801</v>
      </c>
      <c r="G3089" s="1979">
        <v>7.7330472394055702E-2</v>
      </c>
    </row>
    <row r="3090" spans="1:7" x14ac:dyDescent="0.3">
      <c r="A3090" s="11" t="s">
        <v>6508</v>
      </c>
      <c r="B3090" s="11"/>
      <c r="C3090" s="1980">
        <v>51</v>
      </c>
      <c r="D3090" s="1980">
        <v>18238.265274964699</v>
      </c>
      <c r="E3090" s="1981">
        <v>6291.6359357383899</v>
      </c>
      <c r="F3090" s="1982">
        <v>0.261320874693663</v>
      </c>
      <c r="G3090" s="1983">
        <v>9.0147967010117194E-2</v>
      </c>
    </row>
    <row r="3091" spans="1:7" x14ac:dyDescent="0.3">
      <c r="A3091" s="6" t="s">
        <v>6522</v>
      </c>
      <c r="B3091" s="6"/>
      <c r="C3091" s="1976">
        <v>41</v>
      </c>
      <c r="D3091" s="1976">
        <v>17068.4241442973</v>
      </c>
      <c r="E3091" s="1977">
        <v>5919.5693998985898</v>
      </c>
      <c r="F3091" s="1978">
        <v>0.24455919791630701</v>
      </c>
      <c r="G3091" s="1979">
        <v>8.4951988751017907E-2</v>
      </c>
    </row>
    <row r="3092" spans="1:7" x14ac:dyDescent="0.3">
      <c r="A3092" s="11" t="s">
        <v>6515</v>
      </c>
      <c r="B3092" s="11"/>
      <c r="C3092" s="1980">
        <v>51</v>
      </c>
      <c r="D3092" s="1980">
        <v>16191.698250999199</v>
      </c>
      <c r="E3092" s="1981">
        <v>2944.23307460766</v>
      </c>
      <c r="F3092" s="1982">
        <v>0.23199732463235301</v>
      </c>
      <c r="G3092" s="1983">
        <v>4.2236956012778E-2</v>
      </c>
    </row>
    <row r="3093" spans="1:7" x14ac:dyDescent="0.3">
      <c r="A3093" s="6" t="s">
        <v>6538</v>
      </c>
      <c r="B3093" s="6"/>
      <c r="C3093" s="1976">
        <v>27</v>
      </c>
      <c r="D3093" s="1976">
        <v>9100.9487894373306</v>
      </c>
      <c r="E3093" s="1977">
        <v>2608.89437924396</v>
      </c>
      <c r="F3093" s="1978">
        <v>0.13039989617118899</v>
      </c>
      <c r="G3093" s="1979">
        <v>3.7284203031978498E-2</v>
      </c>
    </row>
    <row r="3094" spans="1:7" x14ac:dyDescent="0.3">
      <c r="A3094" s="11" t="s">
        <v>6543</v>
      </c>
      <c r="B3094" s="11"/>
      <c r="C3094" s="1980">
        <v>20</v>
      </c>
      <c r="D3094" s="1980">
        <v>7965.0360387380697</v>
      </c>
      <c r="E3094" s="1981">
        <v>2129.13723185342</v>
      </c>
      <c r="F3094" s="1982">
        <v>0.11412435082116699</v>
      </c>
      <c r="G3094" s="1983">
        <v>3.0653597520020299E-2</v>
      </c>
    </row>
    <row r="3095" spans="1:7" x14ac:dyDescent="0.3">
      <c r="A3095" s="6" t="s">
        <v>6545</v>
      </c>
      <c r="B3095" s="6"/>
      <c r="C3095" s="1976">
        <v>16</v>
      </c>
      <c r="D3095" s="1976">
        <v>7448.0685720280399</v>
      </c>
      <c r="E3095" s="1977">
        <v>3018.7857183054998</v>
      </c>
      <c r="F3095" s="1978">
        <v>0.106717155643769</v>
      </c>
      <c r="G3095" s="1979">
        <v>4.3345141498180799E-2</v>
      </c>
    </row>
    <row r="3096" spans="1:7" x14ac:dyDescent="0.3">
      <c r="A3096" s="11" t="s">
        <v>6519</v>
      </c>
      <c r="B3096" s="11"/>
      <c r="C3096" s="1980">
        <v>18</v>
      </c>
      <c r="D3096" s="1980">
        <v>7314.8158384579901</v>
      </c>
      <c r="E3096" s="1981">
        <v>2367.1791929525598</v>
      </c>
      <c r="F3096" s="1982">
        <v>0.10480788848667499</v>
      </c>
      <c r="G3096" s="1983">
        <v>3.3977617455253697E-2</v>
      </c>
    </row>
    <row r="3097" spans="1:7" x14ac:dyDescent="0.3">
      <c r="A3097" s="6" t="s">
        <v>6532</v>
      </c>
      <c r="B3097" s="6"/>
      <c r="C3097" s="1976">
        <v>17</v>
      </c>
      <c r="D3097" s="1976">
        <v>7119.8002199256298</v>
      </c>
      <c r="E3097" s="1977">
        <v>3018.3018179985602</v>
      </c>
      <c r="F3097" s="1978">
        <v>0.102013672521204</v>
      </c>
      <c r="G3097" s="1979">
        <v>4.3302210896239701E-2</v>
      </c>
    </row>
    <row r="3098" spans="1:7" x14ac:dyDescent="0.3">
      <c r="A3098" s="11" t="s">
        <v>6542</v>
      </c>
      <c r="B3098" s="11"/>
      <c r="C3098" s="1980">
        <v>23</v>
      </c>
      <c r="D3098" s="1980">
        <v>7030.7149754581997</v>
      </c>
      <c r="E3098" s="1981">
        <v>1500.02621643778</v>
      </c>
      <c r="F3098" s="1982">
        <v>0.100737244436869</v>
      </c>
      <c r="G3098" s="1983">
        <v>2.1323302230238102E-2</v>
      </c>
    </row>
    <row r="3099" spans="1:7" x14ac:dyDescent="0.3">
      <c r="A3099" s="6" t="s">
        <v>6526</v>
      </c>
      <c r="B3099" s="6"/>
      <c r="C3099" s="1976">
        <v>15</v>
      </c>
      <c r="D3099" s="1976">
        <v>6745.5918896086596</v>
      </c>
      <c r="E3099" s="1977">
        <v>2555.7930029412501</v>
      </c>
      <c r="F3099" s="1978">
        <v>9.6651953809374705E-2</v>
      </c>
      <c r="G3099" s="1979">
        <v>3.6617555133633697E-2</v>
      </c>
    </row>
    <row r="3100" spans="1:7" x14ac:dyDescent="0.3">
      <c r="A3100" s="11" t="s">
        <v>6528</v>
      </c>
      <c r="B3100" s="11"/>
      <c r="C3100" s="1980">
        <v>16</v>
      </c>
      <c r="D3100" s="1980">
        <v>6614.1448276239898</v>
      </c>
      <c r="E3100" s="1981">
        <v>2592.6573937775102</v>
      </c>
      <c r="F3100" s="1982">
        <v>9.4768558612744094E-2</v>
      </c>
      <c r="G3100" s="1983">
        <v>3.71181922530439E-2</v>
      </c>
    </row>
    <row r="3101" spans="1:7" x14ac:dyDescent="0.3">
      <c r="A3101" s="6" t="s">
        <v>6530</v>
      </c>
      <c r="B3101" s="6"/>
      <c r="C3101" s="1976">
        <v>19</v>
      </c>
      <c r="D3101" s="1976">
        <v>6456.8349518919404</v>
      </c>
      <c r="E3101" s="1977">
        <v>2473.6478105148699</v>
      </c>
      <c r="F3101" s="1978">
        <v>9.2514596752638803E-2</v>
      </c>
      <c r="G3101" s="1979">
        <v>3.5501491118521397E-2</v>
      </c>
    </row>
    <row r="3102" spans="1:7" x14ac:dyDescent="0.3">
      <c r="A3102" s="11" t="s">
        <v>6534</v>
      </c>
      <c r="B3102" s="11"/>
      <c r="C3102" s="1980">
        <v>10</v>
      </c>
      <c r="D3102" s="1980">
        <v>6345.1973812405904</v>
      </c>
      <c r="E3102" s="1981">
        <v>3288.8122757733499</v>
      </c>
      <c r="F3102" s="1982">
        <v>9.0915035216962994E-2</v>
      </c>
      <c r="G3102" s="1983">
        <v>4.7109870076430201E-2</v>
      </c>
    </row>
    <row r="3103" spans="1:7" x14ac:dyDescent="0.3">
      <c r="A3103" s="6" t="s">
        <v>6550</v>
      </c>
      <c r="B3103" s="6"/>
      <c r="C3103" s="1976">
        <v>11</v>
      </c>
      <c r="D3103" s="1976">
        <v>5732.2695154592702</v>
      </c>
      <c r="E3103" s="1977">
        <v>1839.02066439237</v>
      </c>
      <c r="F3103" s="1978">
        <v>8.2132903605468294E-2</v>
      </c>
      <c r="G3103" s="1979">
        <v>2.64230910638306E-2</v>
      </c>
    </row>
    <row r="3104" spans="1:7" x14ac:dyDescent="0.3">
      <c r="A3104" s="11" t="s">
        <v>6539</v>
      </c>
      <c r="B3104" s="11"/>
      <c r="C3104" s="1980">
        <v>8</v>
      </c>
      <c r="D3104" s="1980">
        <v>5503.6586507674801</v>
      </c>
      <c r="E3104" s="1981">
        <v>2608.0620504195399</v>
      </c>
      <c r="F3104" s="1982">
        <v>7.8857329408851207E-2</v>
      </c>
      <c r="G3104" s="1983">
        <v>3.73938319652109E-2</v>
      </c>
    </row>
    <row r="3105" spans="1:7" x14ac:dyDescent="0.3">
      <c r="A3105" s="6" t="s">
        <v>6547</v>
      </c>
      <c r="B3105" s="6"/>
      <c r="C3105" s="1976">
        <v>13</v>
      </c>
      <c r="D3105" s="1976">
        <v>5502.44756556418</v>
      </c>
      <c r="E3105" s="1977">
        <v>3737.49124914809</v>
      </c>
      <c r="F3105" s="1978">
        <v>7.8839976780194596E-2</v>
      </c>
      <c r="G3105" s="1979">
        <v>5.3473053515585602E-2</v>
      </c>
    </row>
    <row r="3106" spans="1:7" x14ac:dyDescent="0.3">
      <c r="A3106" s="11" t="s">
        <v>6533</v>
      </c>
      <c r="B3106" s="11"/>
      <c r="C3106" s="1980">
        <v>17</v>
      </c>
      <c r="D3106" s="1980">
        <v>4976.9228262738798</v>
      </c>
      <c r="E3106" s="1981">
        <v>1574.32482830195</v>
      </c>
      <c r="F3106" s="1982">
        <v>7.1310171589072005E-2</v>
      </c>
      <c r="G3106" s="1983">
        <v>2.25878401471095E-2</v>
      </c>
    </row>
    <row r="3107" spans="1:7" x14ac:dyDescent="0.3">
      <c r="A3107" s="6" t="s">
        <v>6523</v>
      </c>
      <c r="B3107" s="6"/>
      <c r="C3107" s="1976">
        <v>12</v>
      </c>
      <c r="D3107" s="1976">
        <v>4477.9714727848204</v>
      </c>
      <c r="E3107" s="1977">
        <v>2399.17387360266</v>
      </c>
      <c r="F3107" s="1978">
        <v>6.4161114255076201E-2</v>
      </c>
      <c r="G3107" s="1979">
        <v>3.4394120731917797E-2</v>
      </c>
    </row>
    <row r="3108" spans="1:7" x14ac:dyDescent="0.3">
      <c r="A3108" s="11" t="s">
        <v>6537</v>
      </c>
      <c r="B3108" s="11"/>
      <c r="C3108" s="1980">
        <v>19</v>
      </c>
      <c r="D3108" s="1980">
        <v>4427.7277912182599</v>
      </c>
      <c r="E3108" s="1981">
        <v>852.53813001084802</v>
      </c>
      <c r="F3108" s="1982">
        <v>6.3441214493949905E-2</v>
      </c>
      <c r="G3108" s="1983">
        <v>1.22083318443392E-2</v>
      </c>
    </row>
    <row r="3109" spans="1:7" x14ac:dyDescent="0.3">
      <c r="A3109" s="6" t="s">
        <v>6554</v>
      </c>
      <c r="B3109" s="6"/>
      <c r="C3109" s="1976">
        <v>9</v>
      </c>
      <c r="D3109" s="1976">
        <v>3542.6657762957602</v>
      </c>
      <c r="E3109" s="1977">
        <v>2263.4612620540001</v>
      </c>
      <c r="F3109" s="1978">
        <v>5.0759899883663903E-2</v>
      </c>
      <c r="G3109" s="1979">
        <v>3.2459902288680099E-2</v>
      </c>
    </row>
    <row r="3110" spans="1:7" x14ac:dyDescent="0.3">
      <c r="A3110" s="11" t="s">
        <v>6531</v>
      </c>
      <c r="B3110" s="11"/>
      <c r="C3110" s="1980">
        <v>6</v>
      </c>
      <c r="D3110" s="1980">
        <v>2726.8026983704499</v>
      </c>
      <c r="E3110" s="1981">
        <v>1000.79108402335</v>
      </c>
      <c r="F3110" s="1982">
        <v>3.9070079062471903E-2</v>
      </c>
      <c r="G3110" s="1983">
        <v>1.438464705279E-2</v>
      </c>
    </row>
    <row r="3111" spans="1:7" x14ac:dyDescent="0.3">
      <c r="A3111" s="6" t="s">
        <v>6541</v>
      </c>
      <c r="B3111" s="6"/>
      <c r="C3111" s="1976">
        <v>13</v>
      </c>
      <c r="D3111" s="1976">
        <v>2623.7582639372699</v>
      </c>
      <c r="E3111" s="1977">
        <v>751.53068920163105</v>
      </c>
      <c r="F3111" s="1978">
        <v>3.7593641400642502E-2</v>
      </c>
      <c r="G3111" s="1979">
        <v>1.07695704786988E-2</v>
      </c>
    </row>
    <row r="3112" spans="1:7" x14ac:dyDescent="0.3">
      <c r="A3112" s="11" t="s">
        <v>6546</v>
      </c>
      <c r="B3112" s="11"/>
      <c r="C3112" s="1980">
        <v>11</v>
      </c>
      <c r="D3112" s="1980">
        <v>2598.0176550053202</v>
      </c>
      <c r="E3112" s="1981">
        <v>1226.1848966632699</v>
      </c>
      <c r="F3112" s="1982">
        <v>3.7224825707930898E-2</v>
      </c>
      <c r="G3112" s="1983">
        <v>1.7510355012238899E-2</v>
      </c>
    </row>
    <row r="3113" spans="1:7" x14ac:dyDescent="0.3">
      <c r="A3113" s="6" t="s">
        <v>6636</v>
      </c>
      <c r="B3113" s="6"/>
      <c r="C3113" s="1976">
        <v>2</v>
      </c>
      <c r="D3113" s="1976">
        <v>2308.72076665033</v>
      </c>
      <c r="E3113" s="1977">
        <v>2319.8635379214702</v>
      </c>
      <c r="F3113" s="1978">
        <v>3.3079732149342601E-2</v>
      </c>
      <c r="G3113" s="1979">
        <v>3.3236269791181598E-2</v>
      </c>
    </row>
    <row r="3114" spans="1:7" x14ac:dyDescent="0.3">
      <c r="A3114" s="11" t="s">
        <v>6501</v>
      </c>
      <c r="B3114" s="11"/>
      <c r="C3114" s="1980">
        <v>12</v>
      </c>
      <c r="D3114" s="1980">
        <v>2076.8398367628001</v>
      </c>
      <c r="E3114" s="1981">
        <v>1022.8841957406401</v>
      </c>
      <c r="F3114" s="1982">
        <v>2.97573039189469E-2</v>
      </c>
      <c r="G3114" s="1983">
        <v>1.4630829731381001E-2</v>
      </c>
    </row>
    <row r="3115" spans="1:7" x14ac:dyDescent="0.3">
      <c r="A3115" s="6" t="s">
        <v>6548</v>
      </c>
      <c r="B3115" s="6"/>
      <c r="C3115" s="1976">
        <v>3</v>
      </c>
      <c r="D3115" s="1976">
        <v>2058.37930888657</v>
      </c>
      <c r="E3115" s="1977">
        <v>1901.1108244863001</v>
      </c>
      <c r="F3115" s="1978">
        <v>2.9492798429022599E-2</v>
      </c>
      <c r="G3115" s="1979">
        <v>2.7237508442979501E-2</v>
      </c>
    </row>
    <row r="3116" spans="1:7" x14ac:dyDescent="0.3">
      <c r="A3116" s="11" t="s">
        <v>6540</v>
      </c>
      <c r="B3116" s="11"/>
      <c r="C3116" s="1980">
        <v>2</v>
      </c>
      <c r="D3116" s="1980">
        <v>1918.48702924183</v>
      </c>
      <c r="E3116" s="1981">
        <v>1946.43380222519</v>
      </c>
      <c r="F3116" s="1982">
        <v>2.7488398760056501E-2</v>
      </c>
      <c r="G3116" s="1983">
        <v>2.78778189389552E-2</v>
      </c>
    </row>
    <row r="3117" spans="1:7" x14ac:dyDescent="0.3">
      <c r="A3117" s="6" t="s">
        <v>6527</v>
      </c>
      <c r="B3117" s="6"/>
      <c r="C3117" s="1976">
        <v>14</v>
      </c>
      <c r="D3117" s="1976">
        <v>1788.3124022515599</v>
      </c>
      <c r="E3117" s="1977">
        <v>793.45042350268102</v>
      </c>
      <c r="F3117" s="1978">
        <v>2.56232352220136E-2</v>
      </c>
      <c r="G3117" s="1979">
        <v>1.13584107862499E-2</v>
      </c>
    </row>
    <row r="3118" spans="1:7" x14ac:dyDescent="0.3">
      <c r="A3118" s="11" t="s">
        <v>6637</v>
      </c>
      <c r="B3118" s="11"/>
      <c r="C3118" s="1980">
        <v>2</v>
      </c>
      <c r="D3118" s="1980">
        <v>1687.9585739342699</v>
      </c>
      <c r="E3118" s="1981">
        <v>1703.70397894597</v>
      </c>
      <c r="F3118" s="1982">
        <v>2.41853490086394E-2</v>
      </c>
      <c r="G3118" s="1983">
        <v>2.4412586820275799E-2</v>
      </c>
    </row>
    <row r="3119" spans="1:7" x14ac:dyDescent="0.3">
      <c r="A3119" s="6" t="s">
        <v>6551</v>
      </c>
      <c r="B3119" s="6"/>
      <c r="C3119" s="1976">
        <v>1</v>
      </c>
      <c r="D3119" s="1976">
        <v>770.18773638217795</v>
      </c>
      <c r="E3119" s="1977">
        <v>766.69338861412803</v>
      </c>
      <c r="F3119" s="1978">
        <v>1.10353769898279E-2</v>
      </c>
      <c r="G3119" s="1979">
        <v>1.09819910395599E-2</v>
      </c>
    </row>
    <row r="3120" spans="1:7" x14ac:dyDescent="0.3">
      <c r="A3120" s="11" t="s">
        <v>6559</v>
      </c>
      <c r="B3120" s="11"/>
      <c r="C3120" s="1980">
        <v>4</v>
      </c>
      <c r="D3120" s="1980">
        <v>689.93376578879702</v>
      </c>
      <c r="E3120" s="1981">
        <v>330.00719873650098</v>
      </c>
      <c r="F3120" s="1982">
        <v>9.8854848549717704E-3</v>
      </c>
      <c r="G3120" s="1983">
        <v>4.7402384575093498E-3</v>
      </c>
    </row>
    <row r="3121" spans="1:7" x14ac:dyDescent="0.3">
      <c r="A3121" s="6" t="s">
        <v>6555</v>
      </c>
      <c r="B3121" s="6"/>
      <c r="C3121" s="1976">
        <v>4</v>
      </c>
      <c r="D3121" s="1976">
        <v>656.49610634635599</v>
      </c>
      <c r="E3121" s="1977">
        <v>385.17957446108301</v>
      </c>
      <c r="F3121" s="1978">
        <v>9.4063845523129509E-3</v>
      </c>
      <c r="G3121" s="1979">
        <v>5.5181312535399997E-3</v>
      </c>
    </row>
    <row r="3122" spans="1:7" x14ac:dyDescent="0.3">
      <c r="A3122" s="11" t="s">
        <v>6638</v>
      </c>
      <c r="B3122" s="11"/>
      <c r="C3122" s="1980">
        <v>3</v>
      </c>
      <c r="D3122" s="1980">
        <v>636.49514385357895</v>
      </c>
      <c r="E3122" s="1981">
        <v>414.33679798771101</v>
      </c>
      <c r="F3122" s="1982">
        <v>9.1198074609871605E-3</v>
      </c>
      <c r="G3122" s="1983">
        <v>5.9381220554402796E-3</v>
      </c>
    </row>
    <row r="3123" spans="1:7" x14ac:dyDescent="0.3">
      <c r="A3123" s="6" t="s">
        <v>6536</v>
      </c>
      <c r="B3123" s="6"/>
      <c r="C3123" s="1976">
        <v>2</v>
      </c>
      <c r="D3123" s="1976">
        <v>550.80933837706505</v>
      </c>
      <c r="E3123" s="1977">
        <v>444.02466677317199</v>
      </c>
      <c r="F3123" s="1978">
        <v>7.8920870995177993E-3</v>
      </c>
      <c r="G3123" s="1979">
        <v>6.3659162976364798E-3</v>
      </c>
    </row>
    <row r="3124" spans="1:7" x14ac:dyDescent="0.3">
      <c r="A3124" s="11" t="s">
        <v>6639</v>
      </c>
      <c r="B3124" s="11"/>
      <c r="C3124" s="1980">
        <v>1</v>
      </c>
      <c r="D3124" s="1980">
        <v>520.49631616093097</v>
      </c>
      <c r="E3124" s="1981">
        <v>523.15900747046896</v>
      </c>
      <c r="F3124" s="1982">
        <v>7.4577571146917697E-3</v>
      </c>
      <c r="G3124" s="1983">
        <v>7.4966992109146303E-3</v>
      </c>
    </row>
    <row r="3125" spans="1:7" x14ac:dyDescent="0.3">
      <c r="A3125" s="6" t="s">
        <v>6640</v>
      </c>
      <c r="B3125" s="6"/>
      <c r="C3125" s="1976">
        <v>1</v>
      </c>
      <c r="D3125" s="1976">
        <v>482.934633373461</v>
      </c>
      <c r="E3125" s="1977">
        <v>498.59989408582999</v>
      </c>
      <c r="F3125" s="1978">
        <v>6.9195671249638897E-3</v>
      </c>
      <c r="G3125" s="1979">
        <v>7.14290709417409E-3</v>
      </c>
    </row>
    <row r="3126" spans="1:7" x14ac:dyDescent="0.3">
      <c r="A3126" s="11" t="s">
        <v>6535</v>
      </c>
      <c r="B3126" s="11"/>
      <c r="C3126" s="1980">
        <v>2</v>
      </c>
      <c r="D3126" s="1980">
        <v>438.80938432293999</v>
      </c>
      <c r="E3126" s="1981">
        <v>342.94244062039502</v>
      </c>
      <c r="F3126" s="1982">
        <v>6.2873332746433697E-3</v>
      </c>
      <c r="G3126" s="1983">
        <v>4.9153900980711696E-3</v>
      </c>
    </row>
    <row r="3127" spans="1:7" x14ac:dyDescent="0.3">
      <c r="A3127" s="6" t="s">
        <v>6641</v>
      </c>
      <c r="B3127" s="6"/>
      <c r="C3127" s="1976">
        <v>1</v>
      </c>
      <c r="D3127" s="1976">
        <v>335.39816506032798</v>
      </c>
      <c r="E3127" s="1977">
        <v>337.54478682393301</v>
      </c>
      <c r="F3127" s="1978">
        <v>4.8056402592479598E-3</v>
      </c>
      <c r="G3127" s="1979">
        <v>4.8369005515735298E-3</v>
      </c>
    </row>
    <row r="3128" spans="1:7" x14ac:dyDescent="0.3">
      <c r="A3128" s="11" t="s">
        <v>6544</v>
      </c>
      <c r="B3128" s="11"/>
      <c r="C3128" s="1980">
        <v>3</v>
      </c>
      <c r="D3128" s="1980">
        <v>289.21596598823902</v>
      </c>
      <c r="E3128" s="1981">
        <v>183.70218879098601</v>
      </c>
      <c r="F3128" s="1982">
        <v>4.1439340895630004E-3</v>
      </c>
      <c r="G3128" s="1983">
        <v>2.6340093418903499E-3</v>
      </c>
    </row>
    <row r="3129" spans="1:7" x14ac:dyDescent="0.3">
      <c r="A3129" s="6" t="s">
        <v>6552</v>
      </c>
      <c r="B3129" s="6"/>
      <c r="C3129" s="1976">
        <v>2</v>
      </c>
      <c r="D3129" s="1976">
        <v>271.179978178098</v>
      </c>
      <c r="E3129" s="1977">
        <v>271.943704293049</v>
      </c>
      <c r="F3129" s="1978">
        <v>3.8855114797668802E-3</v>
      </c>
      <c r="G3129" s="1979">
        <v>3.89519326747363E-3</v>
      </c>
    </row>
    <row r="3130" spans="1:7" x14ac:dyDescent="0.3">
      <c r="A3130" s="11" t="s">
        <v>6564</v>
      </c>
      <c r="B3130" s="11"/>
      <c r="C3130" s="1980">
        <v>1</v>
      </c>
      <c r="D3130" s="1980">
        <v>226.29555466544099</v>
      </c>
      <c r="E3130" s="1981">
        <v>226.980170824922</v>
      </c>
      <c r="F3130" s="1982">
        <v>3.24240005246744E-3</v>
      </c>
      <c r="G3130" s="1983">
        <v>3.2525356279334001E-3</v>
      </c>
    </row>
    <row r="3131" spans="1:7" x14ac:dyDescent="0.3">
      <c r="A3131" s="6" t="s">
        <v>6556</v>
      </c>
      <c r="B3131" s="6"/>
      <c r="C3131" s="1976">
        <v>1</v>
      </c>
      <c r="D3131" s="1976">
        <v>150.29980951495699</v>
      </c>
      <c r="E3131" s="1977">
        <v>150.45895872624899</v>
      </c>
      <c r="F3131" s="1978">
        <v>2.15352047448578E-3</v>
      </c>
      <c r="G3131" s="1979">
        <v>2.1555360653298201E-3</v>
      </c>
    </row>
    <row r="3132" spans="1:7" x14ac:dyDescent="0.3">
      <c r="A3132" s="11" t="s">
        <v>6553</v>
      </c>
      <c r="B3132" s="11"/>
      <c r="C3132" s="1980">
        <v>1</v>
      </c>
      <c r="D3132" s="1980">
        <v>141.489637397406</v>
      </c>
      <c r="E3132" s="1981">
        <v>142.486249073458</v>
      </c>
      <c r="F3132" s="1982">
        <v>2.0272868744558199E-3</v>
      </c>
      <c r="G3132" s="1983">
        <v>2.04064590210031E-3</v>
      </c>
    </row>
    <row r="3133" spans="1:7" x14ac:dyDescent="0.3">
      <c r="A3133" s="6" t="s">
        <v>6560</v>
      </c>
      <c r="B3133" s="6"/>
      <c r="C3133" s="1976">
        <v>1</v>
      </c>
      <c r="D3133" s="1976">
        <v>132.11116435277799</v>
      </c>
      <c r="E3133" s="1977">
        <v>133.03088277509599</v>
      </c>
      <c r="F3133" s="1978">
        <v>1.89291056495684E-3</v>
      </c>
      <c r="G3133" s="1979">
        <v>1.90540274511197E-3</v>
      </c>
    </row>
    <row r="3134" spans="1:7" x14ac:dyDescent="0.3">
      <c r="A3134" s="11" t="s">
        <v>6642</v>
      </c>
      <c r="B3134" s="11"/>
      <c r="C3134" s="1980">
        <v>1</v>
      </c>
      <c r="D3134" s="1980">
        <v>125.397526360547</v>
      </c>
      <c r="E3134" s="1981">
        <v>125.256506284431</v>
      </c>
      <c r="F3134" s="1982">
        <v>1.7967164518624E-3</v>
      </c>
      <c r="G3134" s="1983">
        <v>1.7949079939622501E-3</v>
      </c>
    </row>
    <row r="3135" spans="1:7" x14ac:dyDescent="0.3">
      <c r="A3135" s="6" t="s">
        <v>6643</v>
      </c>
      <c r="B3135" s="6"/>
      <c r="C3135" s="1976">
        <v>1</v>
      </c>
      <c r="D3135" s="1976">
        <v>74.816642904860799</v>
      </c>
      <c r="E3135" s="1977">
        <v>74.469376634676806</v>
      </c>
      <c r="F3135" s="1978">
        <v>1.0719852064208701E-3</v>
      </c>
      <c r="G3135" s="1979">
        <v>1.06661462473099E-3</v>
      </c>
    </row>
    <row r="3136" spans="1:7" x14ac:dyDescent="0.3">
      <c r="A3136" s="11" t="s">
        <v>6549</v>
      </c>
      <c r="B3136" s="11"/>
      <c r="C3136" s="1980">
        <v>2</v>
      </c>
      <c r="D3136" s="1980">
        <v>72.823365665278999</v>
      </c>
      <c r="E3136" s="1981">
        <v>72.825311869903999</v>
      </c>
      <c r="F3136" s="1982">
        <v>1.0434252011845501E-3</v>
      </c>
      <c r="G3136" s="1983">
        <v>1.0433040495321699E-3</v>
      </c>
    </row>
    <row r="3137" spans="1:7" x14ac:dyDescent="0.3">
      <c r="A3137" s="6" t="s">
        <v>6644</v>
      </c>
      <c r="B3137" s="6"/>
      <c r="C3137" s="1976">
        <v>1</v>
      </c>
      <c r="D3137" s="1976">
        <v>62.969361293774298</v>
      </c>
      <c r="E3137" s="1977">
        <v>63.068335824641203</v>
      </c>
      <c r="F3137" s="1978">
        <v>9.0223540035784598E-4</v>
      </c>
      <c r="G3137" s="1979">
        <v>9.03775914122716E-4</v>
      </c>
    </row>
    <row r="3138" spans="1:7" x14ac:dyDescent="0.3">
      <c r="A3138" s="11" t="s">
        <v>956</v>
      </c>
      <c r="B3138" s="11" t="s">
        <v>957</v>
      </c>
      <c r="C3138" s="1980">
        <v>91</v>
      </c>
      <c r="D3138" s="1980">
        <v>38225.797887528402</v>
      </c>
      <c r="E3138" s="1981">
        <v>10866.9346223176</v>
      </c>
      <c r="F3138" s="1982">
        <v>69.138750326916593</v>
      </c>
      <c r="G3138" s="1983">
        <v>8.7573844257297306</v>
      </c>
    </row>
    <row r="3139" spans="1:7" x14ac:dyDescent="0.3">
      <c r="A3139" s="6" t="s">
        <v>958</v>
      </c>
      <c r="B3139" s="6" t="s">
        <v>959</v>
      </c>
      <c r="C3139" s="1976">
        <v>40</v>
      </c>
      <c r="D3139" s="1976">
        <v>17062.7309140207</v>
      </c>
      <c r="E3139" s="1977">
        <v>6228.26965979122</v>
      </c>
      <c r="F3139" s="1978">
        <v>30.8612496730834</v>
      </c>
      <c r="G3139" s="1979">
        <v>8.7573844257297306</v>
      </c>
    </row>
    <row r="3140" spans="1:7" x14ac:dyDescent="0.3">
      <c r="A3140" s="11" t="s">
        <v>6269</v>
      </c>
      <c r="B3140" s="11" t="s">
        <v>6270</v>
      </c>
      <c r="C3140" s="1980">
        <v>16857</v>
      </c>
      <c r="D3140" s="1980">
        <v>6979260.7637429498</v>
      </c>
      <c r="E3140" s="1981">
        <v>23560.841081083399</v>
      </c>
      <c r="F3140" s="1982">
        <v>99.214043053758303</v>
      </c>
      <c r="G3140" s="1983">
        <v>0.20349141489241901</v>
      </c>
    </row>
    <row r="3141" spans="1:7" x14ac:dyDescent="0.3">
      <c r="A3141" s="6" t="s">
        <v>6269</v>
      </c>
      <c r="B3141" s="6" t="s">
        <v>6271</v>
      </c>
      <c r="C3141" s="1976">
        <v>16988</v>
      </c>
      <c r="D3141" s="1976">
        <v>7034549.2925445</v>
      </c>
      <c r="E3141" s="1977">
        <v>0</v>
      </c>
      <c r="F3141" s="1978">
        <v>100</v>
      </c>
      <c r="G3141" s="1979">
        <v>0</v>
      </c>
    </row>
    <row r="3142" spans="1:7" x14ac:dyDescent="0.3">
      <c r="A3142" s="3299" t="s">
        <v>784</v>
      </c>
      <c r="B3142" s="3298"/>
      <c r="C3142" s="3298"/>
      <c r="D3142" s="3298"/>
      <c r="E3142" s="3298"/>
      <c r="F3142" s="3298"/>
      <c r="G3142" s="3298"/>
    </row>
    <row r="3143" spans="1:7" x14ac:dyDescent="0.3">
      <c r="A3143" s="11" t="s">
        <v>6274</v>
      </c>
      <c r="B3143" s="11"/>
      <c r="C3143" s="1988">
        <v>1067</v>
      </c>
      <c r="D3143" s="1988">
        <v>454982.46764468797</v>
      </c>
      <c r="E3143" s="1989">
        <v>23412.947038545299</v>
      </c>
      <c r="F3143" s="1990">
        <v>6.5190638814974298</v>
      </c>
      <c r="G3143" s="1991">
        <v>0.33122456187579102</v>
      </c>
    </row>
    <row r="3144" spans="1:7" x14ac:dyDescent="0.3">
      <c r="A3144" s="6" t="s">
        <v>6276</v>
      </c>
      <c r="B3144" s="6"/>
      <c r="C3144" s="1984">
        <v>1069</v>
      </c>
      <c r="D3144" s="1984">
        <v>428374.64959669102</v>
      </c>
      <c r="E3144" s="1985">
        <v>19718.879393416599</v>
      </c>
      <c r="F3144" s="1986">
        <v>6.1378226734568297</v>
      </c>
      <c r="G3144" s="1987">
        <v>0.28644194991995098</v>
      </c>
    </row>
    <row r="3145" spans="1:7" x14ac:dyDescent="0.3">
      <c r="A3145" s="11" t="s">
        <v>6273</v>
      </c>
      <c r="B3145" s="11"/>
      <c r="C3145" s="1988">
        <v>1056</v>
      </c>
      <c r="D3145" s="1988">
        <v>403619.28213036602</v>
      </c>
      <c r="E3145" s="1989">
        <v>14590.117905661</v>
      </c>
      <c r="F3145" s="1990">
        <v>5.7831236830575996</v>
      </c>
      <c r="G3145" s="1991">
        <v>0.20704713730341401</v>
      </c>
    </row>
    <row r="3146" spans="1:7" x14ac:dyDescent="0.3">
      <c r="A3146" s="6" t="s">
        <v>995</v>
      </c>
      <c r="B3146" s="6"/>
      <c r="C3146" s="1984">
        <v>913</v>
      </c>
      <c r="D3146" s="1984">
        <v>395618.19227559399</v>
      </c>
      <c r="E3146" s="1985">
        <v>25597.932800069801</v>
      </c>
      <c r="F3146" s="1986">
        <v>5.6684827472103896</v>
      </c>
      <c r="G3146" s="1987">
        <v>0.35926026576396403</v>
      </c>
    </row>
    <row r="3147" spans="1:7" x14ac:dyDescent="0.3">
      <c r="A3147" s="11" t="s">
        <v>6275</v>
      </c>
      <c r="B3147" s="11"/>
      <c r="C3147" s="1988">
        <v>955</v>
      </c>
      <c r="D3147" s="1988">
        <v>391444.03492121701</v>
      </c>
      <c r="E3147" s="1989">
        <v>15959.474803724999</v>
      </c>
      <c r="F3147" s="1990">
        <v>5.6086747317818597</v>
      </c>
      <c r="G3147" s="1991">
        <v>0.22930475555900301</v>
      </c>
    </row>
    <row r="3148" spans="1:7" x14ac:dyDescent="0.3">
      <c r="A3148" s="6" t="s">
        <v>997</v>
      </c>
      <c r="B3148" s="6"/>
      <c r="C3148" s="1984">
        <v>865</v>
      </c>
      <c r="D3148" s="1984">
        <v>385443.691427699</v>
      </c>
      <c r="E3148" s="1985">
        <v>25137.915848217301</v>
      </c>
      <c r="F3148" s="1986">
        <v>5.52270081997891</v>
      </c>
      <c r="G3148" s="1987">
        <v>0.360642130036197</v>
      </c>
    </row>
    <row r="3149" spans="1:7" x14ac:dyDescent="0.3">
      <c r="A3149" s="11" t="s">
        <v>6280</v>
      </c>
      <c r="B3149" s="11"/>
      <c r="C3149" s="1988">
        <v>913</v>
      </c>
      <c r="D3149" s="1988">
        <v>375815.07898156799</v>
      </c>
      <c r="E3149" s="1989">
        <v>18761.886370746601</v>
      </c>
      <c r="F3149" s="1990">
        <v>5.3847404718550704</v>
      </c>
      <c r="G3149" s="1991">
        <v>0.26634255003553597</v>
      </c>
    </row>
    <row r="3150" spans="1:7" x14ac:dyDescent="0.3">
      <c r="A3150" s="6" t="s">
        <v>6272</v>
      </c>
      <c r="B3150" s="6"/>
      <c r="C3150" s="1984">
        <v>994</v>
      </c>
      <c r="D3150" s="1984">
        <v>373077.60866522399</v>
      </c>
      <c r="E3150" s="1985">
        <v>31516.483948358102</v>
      </c>
      <c r="F3150" s="1986">
        <v>5.34551754540181</v>
      </c>
      <c r="G3150" s="1987">
        <v>0.45349818882189702</v>
      </c>
    </row>
    <row r="3151" spans="1:7" x14ac:dyDescent="0.3">
      <c r="A3151" s="11" t="s">
        <v>999</v>
      </c>
      <c r="B3151" s="11"/>
      <c r="C3151" s="1988">
        <v>830</v>
      </c>
      <c r="D3151" s="1988">
        <v>363370.78911675699</v>
      </c>
      <c r="E3151" s="1989">
        <v>22727.5203290971</v>
      </c>
      <c r="F3151" s="1990">
        <v>5.2064366330092904</v>
      </c>
      <c r="G3151" s="1991">
        <v>0.33141432812595201</v>
      </c>
    </row>
    <row r="3152" spans="1:7" x14ac:dyDescent="0.3">
      <c r="A3152" s="6" t="s">
        <v>1001</v>
      </c>
      <c r="B3152" s="6"/>
      <c r="C3152" s="1984">
        <v>791</v>
      </c>
      <c r="D3152" s="1984">
        <v>344170.67063730501</v>
      </c>
      <c r="E3152" s="1985">
        <v>25308.922729930699</v>
      </c>
      <c r="F3152" s="1986">
        <v>4.9313341668685098</v>
      </c>
      <c r="G3152" s="1987">
        <v>0.37014374732196198</v>
      </c>
    </row>
    <row r="3153" spans="1:7" x14ac:dyDescent="0.3">
      <c r="A3153" s="11" t="s">
        <v>6277</v>
      </c>
      <c r="B3153" s="11"/>
      <c r="C3153" s="1988">
        <v>775</v>
      </c>
      <c r="D3153" s="1988">
        <v>331042.83228994103</v>
      </c>
      <c r="E3153" s="1989">
        <v>20031.489241755899</v>
      </c>
      <c r="F3153" s="1990">
        <v>4.7432363325597304</v>
      </c>
      <c r="G3153" s="1991">
        <v>0.287083083946787</v>
      </c>
    </row>
    <row r="3154" spans="1:7" x14ac:dyDescent="0.3">
      <c r="A3154" s="6" t="s">
        <v>1003</v>
      </c>
      <c r="B3154" s="6"/>
      <c r="C3154" s="1984">
        <v>768</v>
      </c>
      <c r="D3154" s="1984">
        <v>324073.29451919702</v>
      </c>
      <c r="E3154" s="1985">
        <v>25627.489299117999</v>
      </c>
      <c r="F3154" s="1986">
        <v>4.6433756452079802</v>
      </c>
      <c r="G3154" s="1987">
        <v>0.36349280731449302</v>
      </c>
    </row>
    <row r="3155" spans="1:7" x14ac:dyDescent="0.3">
      <c r="A3155" s="11" t="s">
        <v>6278</v>
      </c>
      <c r="B3155" s="11"/>
      <c r="C3155" s="1988">
        <v>812</v>
      </c>
      <c r="D3155" s="1988">
        <v>314930.29303088202</v>
      </c>
      <c r="E3155" s="1989">
        <v>18035.562469590899</v>
      </c>
      <c r="F3155" s="1990">
        <v>4.5123732110273798</v>
      </c>
      <c r="G3155" s="1991">
        <v>0.25850836635042901</v>
      </c>
    </row>
    <row r="3156" spans="1:7" x14ac:dyDescent="0.3">
      <c r="A3156" s="6" t="s">
        <v>1005</v>
      </c>
      <c r="B3156" s="6"/>
      <c r="C3156" s="1984">
        <v>641</v>
      </c>
      <c r="D3156" s="1984">
        <v>278965.94929594302</v>
      </c>
      <c r="E3156" s="1985">
        <v>9265.2202317674491</v>
      </c>
      <c r="F3156" s="1986">
        <v>3.9970701588506601</v>
      </c>
      <c r="G3156" s="1987">
        <v>0.13256904457635901</v>
      </c>
    </row>
    <row r="3157" spans="1:7" x14ac:dyDescent="0.3">
      <c r="A3157" s="11" t="s">
        <v>1007</v>
      </c>
      <c r="B3157" s="11"/>
      <c r="C3157" s="1988">
        <v>590</v>
      </c>
      <c r="D3157" s="1988">
        <v>258517.94929878099</v>
      </c>
      <c r="E3157" s="1989">
        <v>19641.428848179199</v>
      </c>
      <c r="F3157" s="1990">
        <v>3.7040878403880999</v>
      </c>
      <c r="G3157" s="1991">
        <v>0.28374987363666998</v>
      </c>
    </row>
    <row r="3158" spans="1:7" x14ac:dyDescent="0.3">
      <c r="A3158" s="6" t="s">
        <v>6279</v>
      </c>
      <c r="B3158" s="6"/>
      <c r="C3158" s="1984">
        <v>573</v>
      </c>
      <c r="D3158" s="1984">
        <v>246932.026623688</v>
      </c>
      <c r="E3158" s="1985">
        <v>18933.732079788399</v>
      </c>
      <c r="F3158" s="1986">
        <v>3.5380828282916799</v>
      </c>
      <c r="G3158" s="1987">
        <v>0.26796794446371802</v>
      </c>
    </row>
    <row r="3159" spans="1:7" x14ac:dyDescent="0.3">
      <c r="A3159" s="11" t="s">
        <v>1009</v>
      </c>
      <c r="B3159" s="11"/>
      <c r="C3159" s="1988">
        <v>520</v>
      </c>
      <c r="D3159" s="1988">
        <v>226044.366377283</v>
      </c>
      <c r="E3159" s="1989">
        <v>15704.6926111143</v>
      </c>
      <c r="F3159" s="1990">
        <v>3.2388009852214799</v>
      </c>
      <c r="G3159" s="1991">
        <v>0.22412708221739999</v>
      </c>
    </row>
    <row r="3160" spans="1:7" x14ac:dyDescent="0.3">
      <c r="A3160" s="6" t="s">
        <v>1011</v>
      </c>
      <c r="B3160" s="6"/>
      <c r="C3160" s="1984">
        <v>465</v>
      </c>
      <c r="D3160" s="1984">
        <v>172037.01647097999</v>
      </c>
      <c r="E3160" s="1985">
        <v>17778.9677119443</v>
      </c>
      <c r="F3160" s="1986">
        <v>2.4649747630108201</v>
      </c>
      <c r="G3160" s="1987">
        <v>0.250615525270725</v>
      </c>
    </row>
    <row r="3161" spans="1:7" x14ac:dyDescent="0.3">
      <c r="A3161" s="11" t="s">
        <v>1013</v>
      </c>
      <c r="B3161" s="11"/>
      <c r="C3161" s="1988">
        <v>355</v>
      </c>
      <c r="D3161" s="1988">
        <v>154695.219174203</v>
      </c>
      <c r="E3161" s="1989">
        <v>9965.2270232172395</v>
      </c>
      <c r="F3161" s="1990">
        <v>2.2164986294514102</v>
      </c>
      <c r="G3161" s="1991">
        <v>0.14279767424176501</v>
      </c>
    </row>
    <row r="3162" spans="1:7" x14ac:dyDescent="0.3">
      <c r="A3162" s="6" t="s">
        <v>1155</v>
      </c>
      <c r="B3162" s="6"/>
      <c r="C3162" s="1984">
        <v>300</v>
      </c>
      <c r="D3162" s="1984">
        <v>122766.447384449</v>
      </c>
      <c r="E3162" s="1985">
        <v>13187.789531890099</v>
      </c>
      <c r="F3162" s="1986">
        <v>1.75901791808979</v>
      </c>
      <c r="G3162" s="1987">
        <v>0.18812735755923701</v>
      </c>
    </row>
    <row r="3163" spans="1:7" x14ac:dyDescent="0.3">
      <c r="A3163" s="11" t="s">
        <v>1049</v>
      </c>
      <c r="B3163" s="11"/>
      <c r="C3163" s="1988">
        <v>218</v>
      </c>
      <c r="D3163" s="1988">
        <v>98344.145541786507</v>
      </c>
      <c r="E3163" s="1989">
        <v>10453.058730883</v>
      </c>
      <c r="F3163" s="1990">
        <v>1.40909114691174</v>
      </c>
      <c r="G3163" s="1991">
        <v>0.149537466294971</v>
      </c>
    </row>
    <row r="3164" spans="1:7" x14ac:dyDescent="0.3">
      <c r="A3164" s="6" t="s">
        <v>1047</v>
      </c>
      <c r="B3164" s="6"/>
      <c r="C3164" s="1984">
        <v>217</v>
      </c>
      <c r="D3164" s="1984">
        <v>81047.802950970494</v>
      </c>
      <c r="E3164" s="1985">
        <v>7193.5092030590304</v>
      </c>
      <c r="F3164" s="1986">
        <v>1.1612662958806701</v>
      </c>
      <c r="G3164" s="1987">
        <v>0.10178873631384</v>
      </c>
    </row>
    <row r="3165" spans="1:7" x14ac:dyDescent="0.3">
      <c r="A3165" s="11" t="s">
        <v>1051</v>
      </c>
      <c r="B3165" s="11"/>
      <c r="C3165" s="1988">
        <v>167</v>
      </c>
      <c r="D3165" s="1988">
        <v>68067.288742101198</v>
      </c>
      <c r="E3165" s="1989">
        <v>13168.1807459582</v>
      </c>
      <c r="F3165" s="1990">
        <v>0.97527934614090805</v>
      </c>
      <c r="G3165" s="1991">
        <v>0.18825719436417901</v>
      </c>
    </row>
    <row r="3166" spans="1:7" x14ac:dyDescent="0.3">
      <c r="A3166" s="6" t="s">
        <v>3032</v>
      </c>
      <c r="B3166" s="6"/>
      <c r="C3166" s="1984">
        <v>108</v>
      </c>
      <c r="D3166" s="1984">
        <v>46617.2818104904</v>
      </c>
      <c r="E3166" s="1985">
        <v>6711.9706760875497</v>
      </c>
      <c r="F3166" s="1986">
        <v>0.66794010696183903</v>
      </c>
      <c r="G3166" s="1987">
        <v>9.5898228771667995E-2</v>
      </c>
    </row>
    <row r="3167" spans="1:7" x14ac:dyDescent="0.3">
      <c r="A3167" s="11" t="s">
        <v>1053</v>
      </c>
      <c r="B3167" s="11"/>
      <c r="C3167" s="1988">
        <v>121</v>
      </c>
      <c r="D3167" s="1988">
        <v>43424.730544046397</v>
      </c>
      <c r="E3167" s="1989">
        <v>6014.97735389645</v>
      </c>
      <c r="F3167" s="1990">
        <v>0.62219670555421103</v>
      </c>
      <c r="G3167" s="1991">
        <v>8.7245741516751601E-2</v>
      </c>
    </row>
    <row r="3168" spans="1:7" x14ac:dyDescent="0.3">
      <c r="A3168" s="6" t="s">
        <v>3034</v>
      </c>
      <c r="B3168" s="6"/>
      <c r="C3168" s="1984">
        <v>73</v>
      </c>
      <c r="D3168" s="1984">
        <v>34048.301704752601</v>
      </c>
      <c r="E3168" s="1985">
        <v>7320.1635934016304</v>
      </c>
      <c r="F3168" s="1986">
        <v>0.48784968576661403</v>
      </c>
      <c r="G3168" s="1987">
        <v>0.104228085406151</v>
      </c>
    </row>
    <row r="3169" spans="1:7" x14ac:dyDescent="0.3">
      <c r="A3169" s="11" t="s">
        <v>3036</v>
      </c>
      <c r="B3169" s="11"/>
      <c r="C3169" s="1988">
        <v>71</v>
      </c>
      <c r="D3169" s="1988">
        <v>33648.069101450099</v>
      </c>
      <c r="E3169" s="1989">
        <v>6000.5989529014396</v>
      </c>
      <c r="F3169" s="1990">
        <v>0.48211508697670102</v>
      </c>
      <c r="G3169" s="1991">
        <v>8.5684479198605404E-2</v>
      </c>
    </row>
    <row r="3170" spans="1:7" x14ac:dyDescent="0.3">
      <c r="A3170" s="6" t="s">
        <v>3038</v>
      </c>
      <c r="B3170" s="6"/>
      <c r="C3170" s="1984">
        <v>72</v>
      </c>
      <c r="D3170" s="1984">
        <v>25208.365395672899</v>
      </c>
      <c r="E3170" s="1985">
        <v>5124.1323066232899</v>
      </c>
      <c r="F3170" s="1986">
        <v>0.36118961948849299</v>
      </c>
      <c r="G3170" s="1987">
        <v>7.3699493170643907E-2</v>
      </c>
    </row>
    <row r="3171" spans="1:7" x14ac:dyDescent="0.3">
      <c r="A3171" s="11" t="s">
        <v>1157</v>
      </c>
      <c r="B3171" s="11"/>
      <c r="C3171" s="1988">
        <v>47</v>
      </c>
      <c r="D3171" s="1988">
        <v>18714.2772051664</v>
      </c>
      <c r="E3171" s="1989">
        <v>5411.9830781816199</v>
      </c>
      <c r="F3171" s="1990">
        <v>0.26814125218513801</v>
      </c>
      <c r="G3171" s="1991">
        <v>7.7330472394055702E-2</v>
      </c>
    </row>
    <row r="3172" spans="1:7" x14ac:dyDescent="0.3">
      <c r="A3172" s="6" t="s">
        <v>1055</v>
      </c>
      <c r="B3172" s="6"/>
      <c r="C3172" s="1984">
        <v>51</v>
      </c>
      <c r="D3172" s="1984">
        <v>18238.265274964699</v>
      </c>
      <c r="E3172" s="1985">
        <v>6291.6359357383899</v>
      </c>
      <c r="F3172" s="1986">
        <v>0.261320874693663</v>
      </c>
      <c r="G3172" s="1987">
        <v>9.0147967010117194E-2</v>
      </c>
    </row>
    <row r="3173" spans="1:7" x14ac:dyDescent="0.3">
      <c r="A3173" s="11" t="s">
        <v>1057</v>
      </c>
      <c r="B3173" s="11"/>
      <c r="C3173" s="1988">
        <v>41</v>
      </c>
      <c r="D3173" s="1988">
        <v>17068.4241442973</v>
      </c>
      <c r="E3173" s="1989">
        <v>5919.5693998985898</v>
      </c>
      <c r="F3173" s="1990">
        <v>0.24455919791630701</v>
      </c>
      <c r="G3173" s="1991">
        <v>8.4951988751017907E-2</v>
      </c>
    </row>
    <row r="3174" spans="1:7" x14ac:dyDescent="0.3">
      <c r="A3174" s="6" t="s">
        <v>3040</v>
      </c>
      <c r="B3174" s="6"/>
      <c r="C3174" s="1984">
        <v>51</v>
      </c>
      <c r="D3174" s="1984">
        <v>16191.698250999199</v>
      </c>
      <c r="E3174" s="1985">
        <v>2944.23307460766</v>
      </c>
      <c r="F3174" s="1986">
        <v>0.23199732463235301</v>
      </c>
      <c r="G3174" s="1987">
        <v>4.2236956012778E-2</v>
      </c>
    </row>
    <row r="3175" spans="1:7" x14ac:dyDescent="0.3">
      <c r="A3175" s="11" t="s">
        <v>1059</v>
      </c>
      <c r="B3175" s="11"/>
      <c r="C3175" s="1988">
        <v>27</v>
      </c>
      <c r="D3175" s="1988">
        <v>9100.9487894373306</v>
      </c>
      <c r="E3175" s="1989">
        <v>2608.89437924396</v>
      </c>
      <c r="F3175" s="1990">
        <v>0.13039989617118899</v>
      </c>
      <c r="G3175" s="1991">
        <v>3.7284203031978498E-2</v>
      </c>
    </row>
    <row r="3176" spans="1:7" x14ac:dyDescent="0.3">
      <c r="A3176" s="6" t="s">
        <v>3061</v>
      </c>
      <c r="B3176" s="6"/>
      <c r="C3176" s="1984">
        <v>20</v>
      </c>
      <c r="D3176" s="1984">
        <v>7965.0360387380697</v>
      </c>
      <c r="E3176" s="1985">
        <v>2129.13723185342</v>
      </c>
      <c r="F3176" s="1986">
        <v>0.11412435082116699</v>
      </c>
      <c r="G3176" s="1987">
        <v>3.0653597520020299E-2</v>
      </c>
    </row>
    <row r="3177" spans="1:7" x14ac:dyDescent="0.3">
      <c r="A3177" s="11" t="s">
        <v>1071</v>
      </c>
      <c r="B3177" s="11"/>
      <c r="C3177" s="1988">
        <v>16</v>
      </c>
      <c r="D3177" s="1988">
        <v>7448.0685720280399</v>
      </c>
      <c r="E3177" s="1989">
        <v>3018.7857183054998</v>
      </c>
      <c r="F3177" s="1990">
        <v>0.106717155643769</v>
      </c>
      <c r="G3177" s="1991">
        <v>4.3345141498180799E-2</v>
      </c>
    </row>
    <row r="3178" spans="1:7" x14ac:dyDescent="0.3">
      <c r="A3178" s="6" t="s">
        <v>3047</v>
      </c>
      <c r="B3178" s="6"/>
      <c r="C3178" s="1984">
        <v>18</v>
      </c>
      <c r="D3178" s="1984">
        <v>7314.8158384579901</v>
      </c>
      <c r="E3178" s="1985">
        <v>2367.1791929525598</v>
      </c>
      <c r="F3178" s="1986">
        <v>0.10480788848667499</v>
      </c>
      <c r="G3178" s="1987">
        <v>3.3977617455253697E-2</v>
      </c>
    </row>
    <row r="3179" spans="1:7" x14ac:dyDescent="0.3">
      <c r="A3179" s="11" t="s">
        <v>1061</v>
      </c>
      <c r="B3179" s="11"/>
      <c r="C3179" s="1988">
        <v>17</v>
      </c>
      <c r="D3179" s="1988">
        <v>7119.8002199256298</v>
      </c>
      <c r="E3179" s="1989">
        <v>3018.3018179985602</v>
      </c>
      <c r="F3179" s="1990">
        <v>0.102013672521204</v>
      </c>
      <c r="G3179" s="1991">
        <v>4.3302210896239701E-2</v>
      </c>
    </row>
    <row r="3180" spans="1:7" x14ac:dyDescent="0.3">
      <c r="A3180" s="6" t="s">
        <v>1159</v>
      </c>
      <c r="B3180" s="6"/>
      <c r="C3180" s="1984">
        <v>23</v>
      </c>
      <c r="D3180" s="1984">
        <v>7030.7149754581997</v>
      </c>
      <c r="E3180" s="1985">
        <v>1500.02621643778</v>
      </c>
      <c r="F3180" s="1986">
        <v>0.100737244436869</v>
      </c>
      <c r="G3180" s="1987">
        <v>2.1323302230238102E-2</v>
      </c>
    </row>
    <row r="3181" spans="1:7" x14ac:dyDescent="0.3">
      <c r="A3181" s="11" t="s">
        <v>3053</v>
      </c>
      <c r="B3181" s="11"/>
      <c r="C3181" s="1988">
        <v>15</v>
      </c>
      <c r="D3181" s="1988">
        <v>6745.5918896086596</v>
      </c>
      <c r="E3181" s="1989">
        <v>2555.7930029412501</v>
      </c>
      <c r="F3181" s="1990">
        <v>9.6651953809374705E-2</v>
      </c>
      <c r="G3181" s="1991">
        <v>3.6617555133633697E-2</v>
      </c>
    </row>
    <row r="3182" spans="1:7" x14ac:dyDescent="0.3">
      <c r="A3182" s="6" t="s">
        <v>1063</v>
      </c>
      <c r="B3182" s="6"/>
      <c r="C3182" s="1984">
        <v>16</v>
      </c>
      <c r="D3182" s="1984">
        <v>6614.1448276239898</v>
      </c>
      <c r="E3182" s="1985">
        <v>2592.6573937775102</v>
      </c>
      <c r="F3182" s="1986">
        <v>9.4768558612743997E-2</v>
      </c>
      <c r="G3182" s="1987">
        <v>3.71181922530439E-2</v>
      </c>
    </row>
    <row r="3183" spans="1:7" x14ac:dyDescent="0.3">
      <c r="A3183" s="11" t="s">
        <v>1067</v>
      </c>
      <c r="B3183" s="11"/>
      <c r="C3183" s="1988">
        <v>19</v>
      </c>
      <c r="D3183" s="1988">
        <v>6456.8349518919404</v>
      </c>
      <c r="E3183" s="1989">
        <v>2473.6478105148699</v>
      </c>
      <c r="F3183" s="1990">
        <v>9.2514596752638803E-2</v>
      </c>
      <c r="G3183" s="1991">
        <v>3.5501491118521397E-2</v>
      </c>
    </row>
    <row r="3184" spans="1:7" x14ac:dyDescent="0.3">
      <c r="A3184" s="6" t="s">
        <v>1065</v>
      </c>
      <c r="B3184" s="6"/>
      <c r="C3184" s="1984">
        <v>10</v>
      </c>
      <c r="D3184" s="1984">
        <v>6345.1973812405904</v>
      </c>
      <c r="E3184" s="1985">
        <v>3288.8122757733499</v>
      </c>
      <c r="F3184" s="1986">
        <v>9.0915035216962994E-2</v>
      </c>
      <c r="G3184" s="1987">
        <v>4.7109870076430201E-2</v>
      </c>
    </row>
    <row r="3185" spans="1:7" x14ac:dyDescent="0.3">
      <c r="A3185" s="11" t="s">
        <v>1073</v>
      </c>
      <c r="B3185" s="11"/>
      <c r="C3185" s="1988">
        <v>11</v>
      </c>
      <c r="D3185" s="1988">
        <v>5732.2695154592702</v>
      </c>
      <c r="E3185" s="1989">
        <v>1839.02066439237</v>
      </c>
      <c r="F3185" s="1990">
        <v>8.2132903605468197E-2</v>
      </c>
      <c r="G3185" s="1991">
        <v>2.64230910638306E-2</v>
      </c>
    </row>
    <row r="3186" spans="1:7" x14ac:dyDescent="0.3">
      <c r="A3186" s="6" t="s">
        <v>3063</v>
      </c>
      <c r="B3186" s="6"/>
      <c r="C3186" s="1984">
        <v>8</v>
      </c>
      <c r="D3186" s="1984">
        <v>5503.6586507674801</v>
      </c>
      <c r="E3186" s="1985">
        <v>2608.0620504195399</v>
      </c>
      <c r="F3186" s="1986">
        <v>7.8857329408851096E-2</v>
      </c>
      <c r="G3186" s="1987">
        <v>3.73938319652109E-2</v>
      </c>
    </row>
    <row r="3187" spans="1:7" x14ac:dyDescent="0.3">
      <c r="A3187" s="11" t="s">
        <v>1069</v>
      </c>
      <c r="B3187" s="11"/>
      <c r="C3187" s="1988">
        <v>13</v>
      </c>
      <c r="D3187" s="1988">
        <v>5502.44756556418</v>
      </c>
      <c r="E3187" s="1989">
        <v>3737.49124914809</v>
      </c>
      <c r="F3187" s="1990">
        <v>7.8839976780194596E-2</v>
      </c>
      <c r="G3187" s="1991">
        <v>5.3473053515585602E-2</v>
      </c>
    </row>
    <row r="3188" spans="1:7" x14ac:dyDescent="0.3">
      <c r="A3188" s="6" t="s">
        <v>3055</v>
      </c>
      <c r="B3188" s="6"/>
      <c r="C3188" s="1984">
        <v>17</v>
      </c>
      <c r="D3188" s="1984">
        <v>4976.9228262738798</v>
      </c>
      <c r="E3188" s="1985">
        <v>1574.32482830195</v>
      </c>
      <c r="F3188" s="1986">
        <v>7.1310171589072005E-2</v>
      </c>
      <c r="G3188" s="1987">
        <v>2.25878401471095E-2</v>
      </c>
    </row>
    <row r="3189" spans="1:7" x14ac:dyDescent="0.3">
      <c r="A3189" s="11" t="s">
        <v>3049</v>
      </c>
      <c r="B3189" s="11"/>
      <c r="C3189" s="1988">
        <v>12</v>
      </c>
      <c r="D3189" s="1988">
        <v>4477.9714727848204</v>
      </c>
      <c r="E3189" s="1989">
        <v>2399.17387360266</v>
      </c>
      <c r="F3189" s="1990">
        <v>6.4161114255076104E-2</v>
      </c>
      <c r="G3189" s="1991">
        <v>3.4394120731917797E-2</v>
      </c>
    </row>
    <row r="3190" spans="1:7" x14ac:dyDescent="0.3">
      <c r="A3190" s="6" t="s">
        <v>1161</v>
      </c>
      <c r="B3190" s="6"/>
      <c r="C3190" s="1984">
        <v>19</v>
      </c>
      <c r="D3190" s="1984">
        <v>4427.7277912182599</v>
      </c>
      <c r="E3190" s="1985">
        <v>852.53813001084802</v>
      </c>
      <c r="F3190" s="1986">
        <v>6.3441214493949905E-2</v>
      </c>
      <c r="G3190" s="1987">
        <v>1.22083318443392E-2</v>
      </c>
    </row>
    <row r="3191" spans="1:7" x14ac:dyDescent="0.3">
      <c r="A3191" s="11" t="s">
        <v>1081</v>
      </c>
      <c r="B3191" s="11"/>
      <c r="C3191" s="1988">
        <v>9</v>
      </c>
      <c r="D3191" s="1988">
        <v>3542.6657762957602</v>
      </c>
      <c r="E3191" s="1989">
        <v>2263.4612620540001</v>
      </c>
      <c r="F3191" s="1990">
        <v>5.0759899883663903E-2</v>
      </c>
      <c r="G3191" s="1991">
        <v>3.2459902288680099E-2</v>
      </c>
    </row>
    <row r="3192" spans="1:7" x14ac:dyDescent="0.3">
      <c r="A3192" s="6" t="s">
        <v>1077</v>
      </c>
      <c r="B3192" s="6"/>
      <c r="C3192" s="1984">
        <v>6</v>
      </c>
      <c r="D3192" s="1984">
        <v>2726.8026983704499</v>
      </c>
      <c r="E3192" s="1985">
        <v>1000.79108402335</v>
      </c>
      <c r="F3192" s="1986">
        <v>3.9070079062471903E-2</v>
      </c>
      <c r="G3192" s="1987">
        <v>1.438464705279E-2</v>
      </c>
    </row>
    <row r="3193" spans="1:7" x14ac:dyDescent="0.3">
      <c r="A3193" s="11" t="s">
        <v>3065</v>
      </c>
      <c r="B3193" s="11"/>
      <c r="C3193" s="1988">
        <v>13</v>
      </c>
      <c r="D3193" s="1988">
        <v>2623.7582639372699</v>
      </c>
      <c r="E3193" s="1989">
        <v>751.53068920163105</v>
      </c>
      <c r="F3193" s="1990">
        <v>3.7593641400642502E-2</v>
      </c>
      <c r="G3193" s="1991">
        <v>1.07695704786988E-2</v>
      </c>
    </row>
    <row r="3194" spans="1:7" x14ac:dyDescent="0.3">
      <c r="A3194" s="6" t="s">
        <v>3067</v>
      </c>
      <c r="B3194" s="6"/>
      <c r="C3194" s="1984">
        <v>11</v>
      </c>
      <c r="D3194" s="1984">
        <v>2598.0176550053202</v>
      </c>
      <c r="E3194" s="1985">
        <v>1226.1848966632699</v>
      </c>
      <c r="F3194" s="1986">
        <v>3.7224825707930898E-2</v>
      </c>
      <c r="G3194" s="1987">
        <v>1.7510355012238899E-2</v>
      </c>
    </row>
    <row r="3195" spans="1:7" x14ac:dyDescent="0.3">
      <c r="A3195" s="11" t="s">
        <v>1169</v>
      </c>
      <c r="B3195" s="11"/>
      <c r="C3195" s="1988">
        <v>2</v>
      </c>
      <c r="D3195" s="1988">
        <v>2308.72076665033</v>
      </c>
      <c r="E3195" s="1989">
        <v>2319.8635379214702</v>
      </c>
      <c r="F3195" s="1990">
        <v>3.3079732149342601E-2</v>
      </c>
      <c r="G3195" s="1991">
        <v>3.3236269791181598E-2</v>
      </c>
    </row>
    <row r="3196" spans="1:7" x14ac:dyDescent="0.3">
      <c r="A3196" s="6" t="s">
        <v>3051</v>
      </c>
      <c r="B3196" s="6"/>
      <c r="C3196" s="1984">
        <v>12</v>
      </c>
      <c r="D3196" s="1984">
        <v>2076.8398367628001</v>
      </c>
      <c r="E3196" s="1985">
        <v>1022.8841957406401</v>
      </c>
      <c r="F3196" s="1986">
        <v>2.97573039189469E-2</v>
      </c>
      <c r="G3196" s="1987">
        <v>1.4630829731381001E-2</v>
      </c>
    </row>
    <row r="3197" spans="1:7" x14ac:dyDescent="0.3">
      <c r="A3197" s="11" t="s">
        <v>3075</v>
      </c>
      <c r="B3197" s="11"/>
      <c r="C3197" s="1988">
        <v>3</v>
      </c>
      <c r="D3197" s="1988">
        <v>2058.37930888657</v>
      </c>
      <c r="E3197" s="1989">
        <v>1901.1108244863001</v>
      </c>
      <c r="F3197" s="1990">
        <v>2.9492798429022599E-2</v>
      </c>
      <c r="G3197" s="1991">
        <v>2.7237508442979501E-2</v>
      </c>
    </row>
    <row r="3198" spans="1:7" x14ac:dyDescent="0.3">
      <c r="A3198" s="6" t="s">
        <v>3077</v>
      </c>
      <c r="B3198" s="6"/>
      <c r="C3198" s="1984">
        <v>2</v>
      </c>
      <c r="D3198" s="1984">
        <v>1918.48702924183</v>
      </c>
      <c r="E3198" s="1985">
        <v>1946.43380222519</v>
      </c>
      <c r="F3198" s="1986">
        <v>2.7488398760056501E-2</v>
      </c>
      <c r="G3198" s="1987">
        <v>2.78778189389552E-2</v>
      </c>
    </row>
    <row r="3199" spans="1:7" x14ac:dyDescent="0.3">
      <c r="A3199" s="11" t="s">
        <v>3069</v>
      </c>
      <c r="B3199" s="11"/>
      <c r="C3199" s="1988">
        <v>14</v>
      </c>
      <c r="D3199" s="1988">
        <v>1788.3124022515599</v>
      </c>
      <c r="E3199" s="1989">
        <v>793.45042350268102</v>
      </c>
      <c r="F3199" s="1990">
        <v>2.56232352220136E-2</v>
      </c>
      <c r="G3199" s="1991">
        <v>1.13584107862499E-2</v>
      </c>
    </row>
    <row r="3200" spans="1:7" x14ac:dyDescent="0.3">
      <c r="A3200" s="6" t="s">
        <v>6645</v>
      </c>
      <c r="B3200" s="6"/>
      <c r="C3200" s="1984">
        <v>2</v>
      </c>
      <c r="D3200" s="1984">
        <v>1687.9585739342699</v>
      </c>
      <c r="E3200" s="1985">
        <v>1703.70397894597</v>
      </c>
      <c r="F3200" s="1986">
        <v>2.41853490086394E-2</v>
      </c>
      <c r="G3200" s="1987">
        <v>2.4412586820275799E-2</v>
      </c>
    </row>
    <row r="3201" spans="1:7" x14ac:dyDescent="0.3">
      <c r="A3201" s="11" t="s">
        <v>3174</v>
      </c>
      <c r="B3201" s="11"/>
      <c r="C3201" s="1988">
        <v>1</v>
      </c>
      <c r="D3201" s="1988">
        <v>770.18773638217795</v>
      </c>
      <c r="E3201" s="1989">
        <v>766.69338861412803</v>
      </c>
      <c r="F3201" s="1990">
        <v>1.10353769898279E-2</v>
      </c>
      <c r="G3201" s="1991">
        <v>1.09819910395599E-2</v>
      </c>
    </row>
    <row r="3202" spans="1:7" x14ac:dyDescent="0.3">
      <c r="A3202" s="6" t="s">
        <v>3172</v>
      </c>
      <c r="B3202" s="6"/>
      <c r="C3202" s="1984">
        <v>4</v>
      </c>
      <c r="D3202" s="1984">
        <v>689.93376578879702</v>
      </c>
      <c r="E3202" s="1985">
        <v>330.00719873650098</v>
      </c>
      <c r="F3202" s="1986">
        <v>9.8854848549717704E-3</v>
      </c>
      <c r="G3202" s="1987">
        <v>4.7402384575093498E-3</v>
      </c>
    </row>
    <row r="3203" spans="1:7" x14ac:dyDescent="0.3">
      <c r="A3203" s="11" t="s">
        <v>1079</v>
      </c>
      <c r="B3203" s="11"/>
      <c r="C3203" s="1988">
        <v>4</v>
      </c>
      <c r="D3203" s="1988">
        <v>656.49610634635599</v>
      </c>
      <c r="E3203" s="1989">
        <v>385.17957446108301</v>
      </c>
      <c r="F3203" s="1990">
        <v>9.4063845523129509E-3</v>
      </c>
      <c r="G3203" s="1991">
        <v>5.5181312535399997E-3</v>
      </c>
    </row>
    <row r="3204" spans="1:7" x14ac:dyDescent="0.3">
      <c r="A3204" s="6" t="s">
        <v>3197</v>
      </c>
      <c r="B3204" s="6"/>
      <c r="C3204" s="1984">
        <v>3</v>
      </c>
      <c r="D3204" s="1984">
        <v>636.49514385357895</v>
      </c>
      <c r="E3204" s="1985">
        <v>414.33679798771101</v>
      </c>
      <c r="F3204" s="1986">
        <v>9.1198074609871501E-3</v>
      </c>
      <c r="G3204" s="1987">
        <v>5.9381220554402796E-3</v>
      </c>
    </row>
    <row r="3205" spans="1:7" x14ac:dyDescent="0.3">
      <c r="A3205" s="11" t="s">
        <v>1085</v>
      </c>
      <c r="B3205" s="11"/>
      <c r="C3205" s="1988">
        <v>2</v>
      </c>
      <c r="D3205" s="1988">
        <v>550.80933837706505</v>
      </c>
      <c r="E3205" s="1989">
        <v>444.02466677317199</v>
      </c>
      <c r="F3205" s="1990">
        <v>7.8920870995177993E-3</v>
      </c>
      <c r="G3205" s="1991">
        <v>6.3659162976364798E-3</v>
      </c>
    </row>
    <row r="3206" spans="1:7" x14ac:dyDescent="0.3">
      <c r="A3206" s="6" t="s">
        <v>1097</v>
      </c>
      <c r="B3206" s="6"/>
      <c r="C3206" s="1984">
        <v>1</v>
      </c>
      <c r="D3206" s="1984">
        <v>520.49631616093097</v>
      </c>
      <c r="E3206" s="1985">
        <v>523.15900747046896</v>
      </c>
      <c r="F3206" s="1986">
        <v>7.4577571146917602E-3</v>
      </c>
      <c r="G3206" s="1987">
        <v>7.4966992109146303E-3</v>
      </c>
    </row>
    <row r="3207" spans="1:7" x14ac:dyDescent="0.3">
      <c r="A3207" s="11" t="s">
        <v>6478</v>
      </c>
      <c r="B3207" s="11"/>
      <c r="C3207" s="1988">
        <v>1</v>
      </c>
      <c r="D3207" s="1988">
        <v>482.934633373461</v>
      </c>
      <c r="E3207" s="1989">
        <v>498.59989408582999</v>
      </c>
      <c r="F3207" s="1990">
        <v>6.9195671249638897E-3</v>
      </c>
      <c r="G3207" s="1991">
        <v>7.14290709417409E-3</v>
      </c>
    </row>
    <row r="3208" spans="1:7" x14ac:dyDescent="0.3">
      <c r="A3208" s="6" t="s">
        <v>3163</v>
      </c>
      <c r="B3208" s="6"/>
      <c r="C3208" s="1984">
        <v>2</v>
      </c>
      <c r="D3208" s="1984">
        <v>438.80938432293999</v>
      </c>
      <c r="E3208" s="1985">
        <v>342.94244062039502</v>
      </c>
      <c r="F3208" s="1986">
        <v>6.2873332746433697E-3</v>
      </c>
      <c r="G3208" s="1987">
        <v>4.9153900980711696E-3</v>
      </c>
    </row>
    <row r="3209" spans="1:7" x14ac:dyDescent="0.3">
      <c r="A3209" s="11" t="s">
        <v>1101</v>
      </c>
      <c r="B3209" s="11"/>
      <c r="C3209" s="1988">
        <v>1</v>
      </c>
      <c r="D3209" s="1988">
        <v>335.39816506032798</v>
      </c>
      <c r="E3209" s="1989">
        <v>337.54478682393301</v>
      </c>
      <c r="F3209" s="1990">
        <v>4.8056402592479598E-3</v>
      </c>
      <c r="G3209" s="1991">
        <v>4.8369005515735298E-3</v>
      </c>
    </row>
    <row r="3210" spans="1:7" x14ac:dyDescent="0.3">
      <c r="A3210" s="6" t="s">
        <v>1075</v>
      </c>
      <c r="B3210" s="6"/>
      <c r="C3210" s="1984">
        <v>3</v>
      </c>
      <c r="D3210" s="1984">
        <v>289.21596598823902</v>
      </c>
      <c r="E3210" s="1985">
        <v>183.70218879098601</v>
      </c>
      <c r="F3210" s="1986">
        <v>4.1439340895630004E-3</v>
      </c>
      <c r="G3210" s="1987">
        <v>2.6340093418903499E-3</v>
      </c>
    </row>
    <row r="3211" spans="1:7" x14ac:dyDescent="0.3">
      <c r="A3211" s="11" t="s">
        <v>1163</v>
      </c>
      <c r="B3211" s="11"/>
      <c r="C3211" s="1988">
        <v>2</v>
      </c>
      <c r="D3211" s="1988">
        <v>271.179978178098</v>
      </c>
      <c r="E3211" s="1989">
        <v>271.943704293049</v>
      </c>
      <c r="F3211" s="1990">
        <v>3.8855114797668802E-3</v>
      </c>
      <c r="G3211" s="1991">
        <v>3.89519326747363E-3</v>
      </c>
    </row>
    <row r="3212" spans="1:7" x14ac:dyDescent="0.3">
      <c r="A3212" s="6" t="s">
        <v>6465</v>
      </c>
      <c r="B3212" s="6"/>
      <c r="C3212" s="1984">
        <v>1</v>
      </c>
      <c r="D3212" s="1984">
        <v>226.29555466544099</v>
      </c>
      <c r="E3212" s="1985">
        <v>226.980170824922</v>
      </c>
      <c r="F3212" s="1986">
        <v>3.24240005246744E-3</v>
      </c>
      <c r="G3212" s="1987">
        <v>3.2525356279334001E-3</v>
      </c>
    </row>
    <row r="3213" spans="1:7" x14ac:dyDescent="0.3">
      <c r="A3213" s="11" t="s">
        <v>1083</v>
      </c>
      <c r="B3213" s="11"/>
      <c r="C3213" s="1988">
        <v>1</v>
      </c>
      <c r="D3213" s="1988">
        <v>150.29980951495699</v>
      </c>
      <c r="E3213" s="1989">
        <v>150.45895872624899</v>
      </c>
      <c r="F3213" s="1990">
        <v>2.15352047448578E-3</v>
      </c>
      <c r="G3213" s="1991">
        <v>2.1555360653298201E-3</v>
      </c>
    </row>
    <row r="3214" spans="1:7" x14ac:dyDescent="0.3">
      <c r="A3214" s="6" t="s">
        <v>3161</v>
      </c>
      <c r="B3214" s="6"/>
      <c r="C3214" s="1984">
        <v>1</v>
      </c>
      <c r="D3214" s="1984">
        <v>141.489637397406</v>
      </c>
      <c r="E3214" s="1985">
        <v>142.486249073458</v>
      </c>
      <c r="F3214" s="1986">
        <v>2.0272868744558199E-3</v>
      </c>
      <c r="G3214" s="1987">
        <v>2.04064590210031E-3</v>
      </c>
    </row>
    <row r="3215" spans="1:7" x14ac:dyDescent="0.3">
      <c r="A3215" s="11" t="s">
        <v>3193</v>
      </c>
      <c r="B3215" s="11"/>
      <c r="C3215" s="1988">
        <v>1</v>
      </c>
      <c r="D3215" s="1988">
        <v>132.11116435277799</v>
      </c>
      <c r="E3215" s="1989">
        <v>133.03088277509599</v>
      </c>
      <c r="F3215" s="1990">
        <v>1.89291056495684E-3</v>
      </c>
      <c r="G3215" s="1991">
        <v>1.90540274511197E-3</v>
      </c>
    </row>
    <row r="3216" spans="1:7" x14ac:dyDescent="0.3">
      <c r="A3216" s="6" t="s">
        <v>3195</v>
      </c>
      <c r="B3216" s="6"/>
      <c r="C3216" s="1984">
        <v>1</v>
      </c>
      <c r="D3216" s="1984">
        <v>125.397526360547</v>
      </c>
      <c r="E3216" s="1985">
        <v>125.256506284431</v>
      </c>
      <c r="F3216" s="1986">
        <v>1.7967164518624E-3</v>
      </c>
      <c r="G3216" s="1987">
        <v>1.7949079939622501E-3</v>
      </c>
    </row>
    <row r="3217" spans="1:7" x14ac:dyDescent="0.3">
      <c r="A3217" s="11" t="s">
        <v>1105</v>
      </c>
      <c r="B3217" s="11"/>
      <c r="C3217" s="1988">
        <v>1</v>
      </c>
      <c r="D3217" s="1988">
        <v>74.816642904860799</v>
      </c>
      <c r="E3217" s="1989">
        <v>74.469376634676806</v>
      </c>
      <c r="F3217" s="1990">
        <v>1.0719852064208701E-3</v>
      </c>
      <c r="G3217" s="1991">
        <v>1.06661462473099E-3</v>
      </c>
    </row>
    <row r="3218" spans="1:7" x14ac:dyDescent="0.3">
      <c r="A3218" s="6" t="s">
        <v>3165</v>
      </c>
      <c r="B3218" s="6"/>
      <c r="C3218" s="1984">
        <v>2</v>
      </c>
      <c r="D3218" s="1984">
        <v>72.823365665278999</v>
      </c>
      <c r="E3218" s="1985">
        <v>72.825311869903999</v>
      </c>
      <c r="F3218" s="1986">
        <v>1.0434252011845501E-3</v>
      </c>
      <c r="G3218" s="1987">
        <v>1.0433040495321699E-3</v>
      </c>
    </row>
    <row r="3219" spans="1:7" x14ac:dyDescent="0.3">
      <c r="A3219" s="11" t="s">
        <v>1107</v>
      </c>
      <c r="B3219" s="11"/>
      <c r="C3219" s="1988">
        <v>1</v>
      </c>
      <c r="D3219" s="1988">
        <v>62.969361293774298</v>
      </c>
      <c r="E3219" s="1989">
        <v>63.068335824641203</v>
      </c>
      <c r="F3219" s="1990">
        <v>9.0223540035784598E-4</v>
      </c>
      <c r="G3219" s="1991">
        <v>9.03775914122716E-4</v>
      </c>
    </row>
    <row r="3220" spans="1:7" x14ac:dyDescent="0.3">
      <c r="A3220" s="6" t="s">
        <v>956</v>
      </c>
      <c r="B3220" s="6" t="s">
        <v>957</v>
      </c>
      <c r="C3220" s="1984">
        <v>91</v>
      </c>
      <c r="D3220" s="1984">
        <v>38225.797887528402</v>
      </c>
      <c r="E3220" s="1985">
        <v>10866.9346223176</v>
      </c>
      <c r="F3220" s="1986">
        <v>69.138750326916593</v>
      </c>
      <c r="G3220" s="1987">
        <v>8.7573844257297306</v>
      </c>
    </row>
    <row r="3221" spans="1:7" x14ac:dyDescent="0.3">
      <c r="A3221" s="11" t="s">
        <v>958</v>
      </c>
      <c r="B3221" s="11" t="s">
        <v>959</v>
      </c>
      <c r="C3221" s="1988">
        <v>40</v>
      </c>
      <c r="D3221" s="1988">
        <v>17062.7309140207</v>
      </c>
      <c r="E3221" s="1989">
        <v>6228.26965979122</v>
      </c>
      <c r="F3221" s="1990">
        <v>30.8612496730834</v>
      </c>
      <c r="G3221" s="1991">
        <v>8.7573844257297306</v>
      </c>
    </row>
    <row r="3222" spans="1:7" x14ac:dyDescent="0.3">
      <c r="A3222" s="6" t="s">
        <v>6269</v>
      </c>
      <c r="B3222" s="6" t="s">
        <v>6270</v>
      </c>
      <c r="C3222" s="1984">
        <v>16857</v>
      </c>
      <c r="D3222" s="1984">
        <v>6979260.7637429498</v>
      </c>
      <c r="E3222" s="1985">
        <v>23560.841081083501</v>
      </c>
      <c r="F3222" s="1986">
        <v>99.214043053758303</v>
      </c>
      <c r="G3222" s="1987">
        <v>0.20349141489241701</v>
      </c>
    </row>
    <row r="3223" spans="1:7" x14ac:dyDescent="0.3">
      <c r="A3223" s="11" t="s">
        <v>6269</v>
      </c>
      <c r="B3223" s="11" t="s">
        <v>6271</v>
      </c>
      <c r="C3223" s="1988">
        <v>16988</v>
      </c>
      <c r="D3223" s="1988">
        <v>7034549.2925445</v>
      </c>
      <c r="E3223" s="1989">
        <v>0</v>
      </c>
      <c r="F3223" s="1990">
        <v>100</v>
      </c>
      <c r="G3223" s="1991">
        <v>0</v>
      </c>
    </row>
    <row r="3224" spans="1:7" x14ac:dyDescent="0.3">
      <c r="A3224" s="3299" t="s">
        <v>331</v>
      </c>
      <c r="B3224" s="3298"/>
      <c r="C3224" s="3298"/>
      <c r="D3224" s="3298"/>
      <c r="E3224" s="3298"/>
      <c r="F3224" s="3298"/>
      <c r="G3224" s="3298"/>
    </row>
    <row r="3225" spans="1:7" x14ac:dyDescent="0.3">
      <c r="A3225" s="11" t="s">
        <v>999</v>
      </c>
      <c r="B3225" s="11" t="s">
        <v>3121</v>
      </c>
      <c r="C3225" s="1996">
        <v>2585</v>
      </c>
      <c r="D3225" s="1996">
        <v>1021314.14765651</v>
      </c>
      <c r="E3225" s="1997">
        <v>38572.834501711601</v>
      </c>
      <c r="F3225" s="1998">
        <v>14.6516049728044</v>
      </c>
      <c r="G3225" s="1999">
        <v>0.558616216787026</v>
      </c>
    </row>
    <row r="3226" spans="1:7" x14ac:dyDescent="0.3">
      <c r="A3226" s="6" t="s">
        <v>1155</v>
      </c>
      <c r="B3226" s="6" t="s">
        <v>3126</v>
      </c>
      <c r="C3226" s="1992">
        <v>2057</v>
      </c>
      <c r="D3226" s="1992">
        <v>870857.00406164001</v>
      </c>
      <c r="E3226" s="1993">
        <v>31072.546479847999</v>
      </c>
      <c r="F3226" s="1994">
        <v>12.493171509068601</v>
      </c>
      <c r="G3226" s="1995">
        <v>0.45827145093722799</v>
      </c>
    </row>
    <row r="3227" spans="1:7" x14ac:dyDescent="0.3">
      <c r="A3227" s="11" t="s">
        <v>3069</v>
      </c>
      <c r="B3227" s="11" t="s">
        <v>3153</v>
      </c>
      <c r="C3227" s="1996">
        <v>2268</v>
      </c>
      <c r="D3227" s="1996">
        <v>867248.51923362503</v>
      </c>
      <c r="E3227" s="1997">
        <v>35125.881650937197</v>
      </c>
      <c r="F3227" s="1998">
        <v>12.441404778556</v>
      </c>
      <c r="G3227" s="1999">
        <v>0.49643132570593801</v>
      </c>
    </row>
    <row r="3228" spans="1:7" x14ac:dyDescent="0.3">
      <c r="A3228" s="6" t="s">
        <v>3051</v>
      </c>
      <c r="B3228" s="6" t="s">
        <v>3141</v>
      </c>
      <c r="C3228" s="1992">
        <v>1705</v>
      </c>
      <c r="D3228" s="1992">
        <v>745708.32807064499</v>
      </c>
      <c r="E3228" s="1993">
        <v>29904.370989881201</v>
      </c>
      <c r="F3228" s="1994">
        <v>10.6978091637051</v>
      </c>
      <c r="G3228" s="1995">
        <v>0.41841384591694297</v>
      </c>
    </row>
    <row r="3229" spans="1:7" x14ac:dyDescent="0.3">
      <c r="A3229" s="11" t="s">
        <v>3047</v>
      </c>
      <c r="B3229" s="11" t="s">
        <v>3139</v>
      </c>
      <c r="C3229" s="1996">
        <v>1091</v>
      </c>
      <c r="D3229" s="1996">
        <v>489108.48353118001</v>
      </c>
      <c r="E3229" s="1997">
        <v>23642.862440166798</v>
      </c>
      <c r="F3229" s="1998">
        <v>7.0166699501712699</v>
      </c>
      <c r="G3229" s="1999">
        <v>0.33588735026802702</v>
      </c>
    </row>
    <row r="3230" spans="1:7" x14ac:dyDescent="0.3">
      <c r="A3230" s="6" t="s">
        <v>981</v>
      </c>
      <c r="B3230" s="6" t="s">
        <v>3117</v>
      </c>
      <c r="C3230" s="1992">
        <v>791</v>
      </c>
      <c r="D3230" s="1992">
        <v>320880.88601909199</v>
      </c>
      <c r="E3230" s="1993">
        <v>15452.8592707766</v>
      </c>
      <c r="F3230" s="1994">
        <v>4.6033044740082998</v>
      </c>
      <c r="G3230" s="1995">
        <v>0.222758365946782</v>
      </c>
    </row>
    <row r="3231" spans="1:7" x14ac:dyDescent="0.3">
      <c r="A3231" s="11" t="s">
        <v>3075</v>
      </c>
      <c r="B3231" s="11" t="s">
        <v>3159</v>
      </c>
      <c r="C3231" s="1996">
        <v>429</v>
      </c>
      <c r="D3231" s="1996">
        <v>198798.467211257</v>
      </c>
      <c r="E3231" s="1997">
        <v>10454.8219455206</v>
      </c>
      <c r="F3231" s="1998">
        <v>2.85193015044567</v>
      </c>
      <c r="G3231" s="1999">
        <v>0.15611603310564701</v>
      </c>
    </row>
    <row r="3232" spans="1:7" x14ac:dyDescent="0.3">
      <c r="A3232" s="6" t="s">
        <v>964</v>
      </c>
      <c r="B3232" s="6" t="s">
        <v>3114</v>
      </c>
      <c r="C3232" s="1992">
        <v>463</v>
      </c>
      <c r="D3232" s="1992">
        <v>189383.05157128599</v>
      </c>
      <c r="E3232" s="1993">
        <v>14401.7167575495</v>
      </c>
      <c r="F3232" s="1994">
        <v>2.71685814451277</v>
      </c>
      <c r="G3232" s="1995">
        <v>0.21035656976325601</v>
      </c>
    </row>
    <row r="3233" spans="1:7" x14ac:dyDescent="0.3">
      <c r="A3233" s="11" t="s">
        <v>1051</v>
      </c>
      <c r="B3233" s="11" t="s">
        <v>3129</v>
      </c>
      <c r="C3233" s="1996">
        <v>448</v>
      </c>
      <c r="D3233" s="1996">
        <v>183583.18886262699</v>
      </c>
      <c r="E3233" s="1997">
        <v>6171.4921223319297</v>
      </c>
      <c r="F3233" s="1998">
        <v>2.6336542669411598</v>
      </c>
      <c r="G3233" s="1999">
        <v>9.0805106205362196E-2</v>
      </c>
    </row>
    <row r="3234" spans="1:7" x14ac:dyDescent="0.3">
      <c r="A3234" s="6" t="s">
        <v>1083</v>
      </c>
      <c r="B3234" s="6" t="s">
        <v>3170</v>
      </c>
      <c r="C3234" s="1992">
        <v>439</v>
      </c>
      <c r="D3234" s="1992">
        <v>176173.650877079</v>
      </c>
      <c r="E3234" s="1993">
        <v>18777.401675819401</v>
      </c>
      <c r="F3234" s="1994">
        <v>2.5273582522973399</v>
      </c>
      <c r="G3234" s="1995">
        <v>0.266746596160017</v>
      </c>
    </row>
    <row r="3235" spans="1:7" x14ac:dyDescent="0.3">
      <c r="A3235" s="11" t="s">
        <v>972</v>
      </c>
      <c r="B3235" s="11" t="s">
        <v>3116</v>
      </c>
      <c r="C3235" s="1996">
        <v>341</v>
      </c>
      <c r="D3235" s="1996">
        <v>166103.33174283101</v>
      </c>
      <c r="E3235" s="1997">
        <v>11609.090796951599</v>
      </c>
      <c r="F3235" s="1998">
        <v>2.3828911084282098</v>
      </c>
      <c r="G3235" s="1999">
        <v>0.16717268813944</v>
      </c>
    </row>
    <row r="3236" spans="1:7" x14ac:dyDescent="0.3">
      <c r="A3236" s="6" t="s">
        <v>3165</v>
      </c>
      <c r="B3236" s="6" t="s">
        <v>3166</v>
      </c>
      <c r="C3236" s="1992">
        <v>371</v>
      </c>
      <c r="D3236" s="1992">
        <v>163707.216616213</v>
      </c>
      <c r="E3236" s="1993">
        <v>10447.400771017101</v>
      </c>
      <c r="F3236" s="1994">
        <v>2.3485168344742799</v>
      </c>
      <c r="G3236" s="1995">
        <v>0.14636561666037301</v>
      </c>
    </row>
    <row r="3237" spans="1:7" x14ac:dyDescent="0.3">
      <c r="A3237" s="11" t="s">
        <v>1061</v>
      </c>
      <c r="B3237" s="11" t="s">
        <v>3138</v>
      </c>
      <c r="C3237" s="1996">
        <v>319</v>
      </c>
      <c r="D3237" s="1996">
        <v>138633.71233245599</v>
      </c>
      <c r="E3237" s="1997">
        <v>10230.1365496904</v>
      </c>
      <c r="F3237" s="1998">
        <v>1.9888164612908901</v>
      </c>
      <c r="G3237" s="1999">
        <v>0.146979405739977</v>
      </c>
    </row>
    <row r="3238" spans="1:7" x14ac:dyDescent="0.3">
      <c r="A3238" s="6" t="s">
        <v>1011</v>
      </c>
      <c r="B3238" s="6" t="s">
        <v>3124</v>
      </c>
      <c r="C3238" s="1992">
        <v>311</v>
      </c>
      <c r="D3238" s="1992">
        <v>126284.258109731</v>
      </c>
      <c r="E3238" s="1993">
        <v>8819.6997647791104</v>
      </c>
      <c r="F3238" s="1994">
        <v>1.8116532198766</v>
      </c>
      <c r="G3238" s="1995">
        <v>0.12772787761375501</v>
      </c>
    </row>
    <row r="3239" spans="1:7" x14ac:dyDescent="0.3">
      <c r="A3239" s="11" t="s">
        <v>1063</v>
      </c>
      <c r="B3239" s="11" t="s">
        <v>3145</v>
      </c>
      <c r="C3239" s="1996">
        <v>281</v>
      </c>
      <c r="D3239" s="1996">
        <v>124943.94820051899</v>
      </c>
      <c r="E3239" s="1997">
        <v>9629.8644440507305</v>
      </c>
      <c r="F3239" s="1998">
        <v>1.7924253541156301</v>
      </c>
      <c r="G3239" s="1999">
        <v>0.138574508091028</v>
      </c>
    </row>
    <row r="3240" spans="1:7" x14ac:dyDescent="0.3">
      <c r="A3240" s="6" t="s">
        <v>1065</v>
      </c>
      <c r="B3240" s="6" t="s">
        <v>3146</v>
      </c>
      <c r="C3240" s="1992">
        <v>314</v>
      </c>
      <c r="D3240" s="1992">
        <v>116865.650423681</v>
      </c>
      <c r="E3240" s="1993">
        <v>11560.5853845641</v>
      </c>
      <c r="F3240" s="1994">
        <v>1.6765354213750601</v>
      </c>
      <c r="G3240" s="1995">
        <v>0.164367807600166</v>
      </c>
    </row>
    <row r="3241" spans="1:7" x14ac:dyDescent="0.3">
      <c r="A3241" s="11" t="s">
        <v>1157</v>
      </c>
      <c r="B3241" s="11" t="s">
        <v>3134</v>
      </c>
      <c r="C3241" s="1996">
        <v>257</v>
      </c>
      <c r="D3241" s="1996">
        <v>108069.170558346</v>
      </c>
      <c r="E3241" s="1997">
        <v>11141.541558184001</v>
      </c>
      <c r="F3241" s="1998">
        <v>1.55034256638148</v>
      </c>
      <c r="G3241" s="1999">
        <v>0.16112810741733199</v>
      </c>
    </row>
    <row r="3242" spans="1:7" x14ac:dyDescent="0.3">
      <c r="A3242" s="6" t="s">
        <v>1077</v>
      </c>
      <c r="B3242" s="6" t="s">
        <v>3158</v>
      </c>
      <c r="C3242" s="1992">
        <v>202</v>
      </c>
      <c r="D3242" s="1992">
        <v>88261.444478833306</v>
      </c>
      <c r="E3242" s="1993">
        <v>13171.589532268301</v>
      </c>
      <c r="F3242" s="1994">
        <v>1.26618418221294</v>
      </c>
      <c r="G3242" s="1995">
        <v>0.18938358495534899</v>
      </c>
    </row>
    <row r="3243" spans="1:7" x14ac:dyDescent="0.3">
      <c r="A3243" s="11" t="s">
        <v>1013</v>
      </c>
      <c r="B3243" s="11" t="s">
        <v>3125</v>
      </c>
      <c r="C3243" s="1996">
        <v>233</v>
      </c>
      <c r="D3243" s="1996">
        <v>79188.005523203406</v>
      </c>
      <c r="E3243" s="1997">
        <v>5436.0863127553903</v>
      </c>
      <c r="F3243" s="1998">
        <v>1.13601811761099</v>
      </c>
      <c r="G3243" s="1999">
        <v>7.8410260350915403E-2</v>
      </c>
    </row>
    <row r="3244" spans="1:7" x14ac:dyDescent="0.3">
      <c r="A3244" s="6" t="s">
        <v>1089</v>
      </c>
      <c r="B3244" s="6" t="s">
        <v>3180</v>
      </c>
      <c r="C3244" s="1992">
        <v>172</v>
      </c>
      <c r="D3244" s="1992">
        <v>70793.053862104905</v>
      </c>
      <c r="E3244" s="1993">
        <v>6636.3926473052497</v>
      </c>
      <c r="F3244" s="1994">
        <v>1.0155855202691899</v>
      </c>
      <c r="G3244" s="1995">
        <v>9.4272294730843406E-2</v>
      </c>
    </row>
    <row r="3245" spans="1:7" x14ac:dyDescent="0.3">
      <c r="A3245" s="11" t="s">
        <v>3067</v>
      </c>
      <c r="B3245" s="11" t="s">
        <v>3152</v>
      </c>
      <c r="C3245" s="1996">
        <v>194</v>
      </c>
      <c r="D3245" s="1996">
        <v>65829.562253512297</v>
      </c>
      <c r="E3245" s="1997">
        <v>6043.8268693238597</v>
      </c>
      <c r="F3245" s="1998">
        <v>0.94438008509354099</v>
      </c>
      <c r="G3245" s="1999">
        <v>8.7504999182879406E-2</v>
      </c>
    </row>
    <row r="3246" spans="1:7" x14ac:dyDescent="0.3">
      <c r="A3246" s="6" t="s">
        <v>1003</v>
      </c>
      <c r="B3246" s="6" t="s">
        <v>3123</v>
      </c>
      <c r="C3246" s="1992">
        <v>157</v>
      </c>
      <c r="D3246" s="1992">
        <v>63898.0539362122</v>
      </c>
      <c r="E3246" s="1993">
        <v>12470.535622279</v>
      </c>
      <c r="F3246" s="1994">
        <v>0.916670984096846</v>
      </c>
      <c r="G3246" s="1995">
        <v>0.17834146502075701</v>
      </c>
    </row>
    <row r="3247" spans="1:7" x14ac:dyDescent="0.3">
      <c r="A3247" s="11" t="s">
        <v>1001</v>
      </c>
      <c r="B3247" s="11" t="s">
        <v>3122</v>
      </c>
      <c r="C3247" s="1996">
        <v>185</v>
      </c>
      <c r="D3247" s="1996">
        <v>62902.3783519149</v>
      </c>
      <c r="E3247" s="1997">
        <v>7122.4672931131399</v>
      </c>
      <c r="F3247" s="1998">
        <v>0.90238718574189003</v>
      </c>
      <c r="G3247" s="1999">
        <v>0.101206478586784</v>
      </c>
    </row>
    <row r="3248" spans="1:7" x14ac:dyDescent="0.3">
      <c r="A3248" s="6" t="s">
        <v>3163</v>
      </c>
      <c r="B3248" s="6" t="s">
        <v>3164</v>
      </c>
      <c r="C3248" s="1992">
        <v>122</v>
      </c>
      <c r="D3248" s="1992">
        <v>59755.344189133102</v>
      </c>
      <c r="E3248" s="1993">
        <v>8750.5701250039692</v>
      </c>
      <c r="F3248" s="1994">
        <v>0.85724035066200699</v>
      </c>
      <c r="G3248" s="1995">
        <v>0.12482617936290701</v>
      </c>
    </row>
    <row r="3249" spans="1:7" x14ac:dyDescent="0.3">
      <c r="A3249" s="11" t="s">
        <v>1053</v>
      </c>
      <c r="B3249" s="11" t="s">
        <v>3130</v>
      </c>
      <c r="C3249" s="1996">
        <v>105</v>
      </c>
      <c r="D3249" s="1996">
        <v>53999.680003836897</v>
      </c>
      <c r="E3249" s="1997">
        <v>7044.2712134897702</v>
      </c>
      <c r="F3249" s="1998">
        <v>0.77467053784527595</v>
      </c>
      <c r="G3249" s="1999">
        <v>0.10147166474336</v>
      </c>
    </row>
    <row r="3250" spans="1:7" x14ac:dyDescent="0.3">
      <c r="A3250" s="6" t="s">
        <v>1071</v>
      </c>
      <c r="B3250" s="6" t="s">
        <v>3155</v>
      </c>
      <c r="C3250" s="1992">
        <v>128</v>
      </c>
      <c r="D3250" s="1992">
        <v>53306.078261074501</v>
      </c>
      <c r="E3250" s="1993">
        <v>8682.6712051569793</v>
      </c>
      <c r="F3250" s="1994">
        <v>0.76472024119392701</v>
      </c>
      <c r="G3250" s="1995">
        <v>0.12359563588528601</v>
      </c>
    </row>
    <row r="3251" spans="1:7" x14ac:dyDescent="0.3">
      <c r="A3251" s="11" t="s">
        <v>1049</v>
      </c>
      <c r="B3251" s="11" t="s">
        <v>3128</v>
      </c>
      <c r="C3251" s="1996">
        <v>158</v>
      </c>
      <c r="D3251" s="1996">
        <v>52558.1992850065</v>
      </c>
      <c r="E3251" s="1997">
        <v>5208.2752685206597</v>
      </c>
      <c r="F3251" s="1998">
        <v>0.75399129227066197</v>
      </c>
      <c r="G3251" s="1999">
        <v>7.4770934058132593E-2</v>
      </c>
    </row>
    <row r="3252" spans="1:7" x14ac:dyDescent="0.3">
      <c r="A3252" s="6" t="s">
        <v>1057</v>
      </c>
      <c r="B3252" s="6" t="s">
        <v>3136</v>
      </c>
      <c r="C3252" s="1992">
        <v>76</v>
      </c>
      <c r="D3252" s="1992">
        <v>31814.1590358879</v>
      </c>
      <c r="E3252" s="1993">
        <v>5134.3359680037702</v>
      </c>
      <c r="F3252" s="1994">
        <v>0.45640069884998002</v>
      </c>
      <c r="G3252" s="1995">
        <v>7.3817745578733399E-2</v>
      </c>
    </row>
    <row r="3253" spans="1:7" x14ac:dyDescent="0.3">
      <c r="A3253" s="11" t="s">
        <v>1073</v>
      </c>
      <c r="B3253" s="11" t="s">
        <v>3156</v>
      </c>
      <c r="C3253" s="1996">
        <v>79</v>
      </c>
      <c r="D3253" s="1996">
        <v>31082.746572055501</v>
      </c>
      <c r="E3253" s="1997">
        <v>3419.40889118215</v>
      </c>
      <c r="F3253" s="1998">
        <v>0.445907975806001</v>
      </c>
      <c r="G3253" s="1999">
        <v>4.9324583731710399E-2</v>
      </c>
    </row>
    <row r="3254" spans="1:7" x14ac:dyDescent="0.3">
      <c r="A3254" s="6" t="s">
        <v>1047</v>
      </c>
      <c r="B3254" s="6" t="s">
        <v>3127</v>
      </c>
      <c r="C3254" s="1992">
        <v>53</v>
      </c>
      <c r="D3254" s="1992">
        <v>28276.0895590006</v>
      </c>
      <c r="E3254" s="1993">
        <v>5630.7770430191404</v>
      </c>
      <c r="F3254" s="1994">
        <v>0.40564413539628003</v>
      </c>
      <c r="G3254" s="1995">
        <v>8.0667507799548704E-2</v>
      </c>
    </row>
    <row r="3255" spans="1:7" x14ac:dyDescent="0.3">
      <c r="A3255" s="11" t="s">
        <v>3208</v>
      </c>
      <c r="B3255" s="11" t="s">
        <v>3209</v>
      </c>
      <c r="C3255" s="1996">
        <v>81</v>
      </c>
      <c r="D3255" s="1996">
        <v>26589.4227626348</v>
      </c>
      <c r="E3255" s="1997">
        <v>4555.7475949011496</v>
      </c>
      <c r="F3255" s="1998">
        <v>0.38144749063442901</v>
      </c>
      <c r="G3255" s="1999">
        <v>6.5254058693529696E-2</v>
      </c>
    </row>
    <row r="3256" spans="1:7" x14ac:dyDescent="0.3">
      <c r="A3256" s="6" t="s">
        <v>1075</v>
      </c>
      <c r="B3256" s="6" t="s">
        <v>3157</v>
      </c>
      <c r="C3256" s="1992">
        <v>57</v>
      </c>
      <c r="D3256" s="1992">
        <v>26328.692608339199</v>
      </c>
      <c r="E3256" s="1993">
        <v>6242.96087718533</v>
      </c>
      <c r="F3256" s="1994">
        <v>0.37770709867569402</v>
      </c>
      <c r="G3256" s="1995">
        <v>8.9776456928445394E-2</v>
      </c>
    </row>
    <row r="3257" spans="1:7" x14ac:dyDescent="0.3">
      <c r="A3257" s="11" t="s">
        <v>1091</v>
      </c>
      <c r="B3257" s="11" t="s">
        <v>3181</v>
      </c>
      <c r="C3257" s="1996">
        <v>55</v>
      </c>
      <c r="D3257" s="1996">
        <v>25281.136187321099</v>
      </c>
      <c r="E3257" s="1997">
        <v>5604.2571500574004</v>
      </c>
      <c r="F3257" s="1998">
        <v>0.36267902636052901</v>
      </c>
      <c r="G3257" s="1999">
        <v>8.0039660806341603E-2</v>
      </c>
    </row>
    <row r="3258" spans="1:7" x14ac:dyDescent="0.3">
      <c r="A3258" s="6" t="s">
        <v>3053</v>
      </c>
      <c r="B3258" s="6" t="s">
        <v>3142</v>
      </c>
      <c r="C3258" s="1992">
        <v>35</v>
      </c>
      <c r="D3258" s="1992">
        <v>20539.781300791001</v>
      </c>
      <c r="E3258" s="1993">
        <v>5987.0864611682</v>
      </c>
      <c r="F3258" s="1994">
        <v>0.29466032810523102</v>
      </c>
      <c r="G3258" s="1995">
        <v>8.5416741745933306E-2</v>
      </c>
    </row>
    <row r="3259" spans="1:7" x14ac:dyDescent="0.3">
      <c r="A3259" s="11" t="s">
        <v>3184</v>
      </c>
      <c r="B3259" s="11" t="s">
        <v>3185</v>
      </c>
      <c r="C3259" s="1996">
        <v>53</v>
      </c>
      <c r="D3259" s="1996">
        <v>20048.912901642601</v>
      </c>
      <c r="E3259" s="1997">
        <v>2919.87598536622</v>
      </c>
      <c r="F3259" s="1998">
        <v>0.28761841069474903</v>
      </c>
      <c r="G3259" s="1999">
        <v>4.2075438303251701E-2</v>
      </c>
    </row>
    <row r="3260" spans="1:7" x14ac:dyDescent="0.3">
      <c r="A3260" s="6" t="s">
        <v>3174</v>
      </c>
      <c r="B3260" s="6" t="s">
        <v>3175</v>
      </c>
      <c r="C3260" s="1992">
        <v>31</v>
      </c>
      <c r="D3260" s="1992">
        <v>17901.036993740701</v>
      </c>
      <c r="E3260" s="1993">
        <v>4075.7881451916101</v>
      </c>
      <c r="F3260" s="1994">
        <v>0.25680533578984099</v>
      </c>
      <c r="G3260" s="1995">
        <v>5.8612093348142699E-2</v>
      </c>
    </row>
    <row r="3261" spans="1:7" x14ac:dyDescent="0.3">
      <c r="A3261" s="11" t="s">
        <v>3055</v>
      </c>
      <c r="B3261" s="11" t="s">
        <v>3143</v>
      </c>
      <c r="C3261" s="1996">
        <v>32</v>
      </c>
      <c r="D3261" s="1996">
        <v>15080.674980047799</v>
      </c>
      <c r="E3261" s="1997">
        <v>4649.0576332603396</v>
      </c>
      <c r="F3261" s="1998">
        <v>0.21634488569253299</v>
      </c>
      <c r="G3261" s="1999">
        <v>6.6389979476916203E-2</v>
      </c>
    </row>
    <row r="3262" spans="1:7" x14ac:dyDescent="0.3">
      <c r="A3262" s="6" t="s">
        <v>3176</v>
      </c>
      <c r="B3262" s="6" t="s">
        <v>3177</v>
      </c>
      <c r="C3262" s="1992">
        <v>29</v>
      </c>
      <c r="D3262" s="1992">
        <v>11094.563988944201</v>
      </c>
      <c r="E3262" s="1993">
        <v>3374.6554540547399</v>
      </c>
      <c r="F3262" s="1994">
        <v>0.15916079228364999</v>
      </c>
      <c r="G3262" s="1995">
        <v>4.84575353616317E-2</v>
      </c>
    </row>
    <row r="3263" spans="1:7" x14ac:dyDescent="0.3">
      <c r="A3263" s="11" t="s">
        <v>1081</v>
      </c>
      <c r="B3263" s="11" t="s">
        <v>3169</v>
      </c>
      <c r="C3263" s="1996">
        <v>21</v>
      </c>
      <c r="D3263" s="1996">
        <v>8107.1272555370497</v>
      </c>
      <c r="E3263" s="1997">
        <v>2992.2938172367299</v>
      </c>
      <c r="F3263" s="1998">
        <v>0.116303515705662</v>
      </c>
      <c r="G3263" s="1999">
        <v>4.2776588708707097E-2</v>
      </c>
    </row>
    <row r="3264" spans="1:7" x14ac:dyDescent="0.3">
      <c r="A3264" s="6" t="s">
        <v>3065</v>
      </c>
      <c r="B3264" s="6" t="s">
        <v>3151</v>
      </c>
      <c r="C3264" s="1992">
        <v>12</v>
      </c>
      <c r="D3264" s="1992">
        <v>7806.5531226249896</v>
      </c>
      <c r="E3264" s="1993">
        <v>1944.68851146251</v>
      </c>
      <c r="F3264" s="1994">
        <v>0.111991528575575</v>
      </c>
      <c r="G3264" s="1995">
        <v>2.78380535623543E-2</v>
      </c>
    </row>
    <row r="3265" spans="1:7" x14ac:dyDescent="0.3">
      <c r="A3265" s="11" t="s">
        <v>3061</v>
      </c>
      <c r="B3265" s="11" t="s">
        <v>3149</v>
      </c>
      <c r="C3265" s="1996">
        <v>28</v>
      </c>
      <c r="D3265" s="1996">
        <v>7538.7018612064203</v>
      </c>
      <c r="E3265" s="1997">
        <v>2375.2821812426901</v>
      </c>
      <c r="F3265" s="1998">
        <v>0.10814897838396501</v>
      </c>
      <c r="G3265" s="1999">
        <v>3.3960440747984398E-2</v>
      </c>
    </row>
    <row r="3266" spans="1:7" x14ac:dyDescent="0.3">
      <c r="A3266" s="6" t="s">
        <v>993</v>
      </c>
      <c r="B3266" s="6" t="s">
        <v>3119</v>
      </c>
      <c r="C3266" s="1992">
        <v>11</v>
      </c>
      <c r="D3266" s="1992">
        <v>5863.0495694334004</v>
      </c>
      <c r="E3266" s="1993">
        <v>2343.2099907815</v>
      </c>
      <c r="F3266" s="1994">
        <v>8.4110345895452798E-2</v>
      </c>
      <c r="G3266" s="1995">
        <v>3.3537335505882698E-2</v>
      </c>
    </row>
    <row r="3267" spans="1:7" x14ac:dyDescent="0.3">
      <c r="A3267" s="11" t="s">
        <v>3040</v>
      </c>
      <c r="B3267" s="11" t="s">
        <v>3133</v>
      </c>
      <c r="C3267" s="1996">
        <v>7</v>
      </c>
      <c r="D3267" s="1996">
        <v>5469.1245458657804</v>
      </c>
      <c r="E3267" s="1997">
        <v>2194.7958028548601</v>
      </c>
      <c r="F3267" s="1998">
        <v>7.8459162224435594E-2</v>
      </c>
      <c r="G3267" s="1999">
        <v>3.1445600093673302E-2</v>
      </c>
    </row>
    <row r="3268" spans="1:7" x14ac:dyDescent="0.3">
      <c r="A3268" s="6" t="s">
        <v>3210</v>
      </c>
      <c r="B3268" s="6" t="s">
        <v>3211</v>
      </c>
      <c r="C3268" s="1992">
        <v>12</v>
      </c>
      <c r="D3268" s="1992">
        <v>4683.8861528978196</v>
      </c>
      <c r="E3268" s="1993">
        <v>2212.4471632691698</v>
      </c>
      <c r="F3268" s="1994">
        <v>6.7194261244021794E-2</v>
      </c>
      <c r="G3268" s="1995">
        <v>3.1773125726138302E-2</v>
      </c>
    </row>
    <row r="3269" spans="1:7" x14ac:dyDescent="0.3">
      <c r="A3269" s="11" t="s">
        <v>1161</v>
      </c>
      <c r="B3269" s="11" t="s">
        <v>3154</v>
      </c>
      <c r="C3269" s="1996">
        <v>12</v>
      </c>
      <c r="D3269" s="1996">
        <v>4127.9346115807703</v>
      </c>
      <c r="E3269" s="1997">
        <v>1877.9339072200801</v>
      </c>
      <c r="F3269" s="1998">
        <v>5.9218671768354797E-2</v>
      </c>
      <c r="G3269" s="1999">
        <v>2.6864378522407899E-2</v>
      </c>
    </row>
    <row r="3270" spans="1:7" x14ac:dyDescent="0.3">
      <c r="A3270" s="6" t="s">
        <v>3049</v>
      </c>
      <c r="B3270" s="6" t="s">
        <v>3140</v>
      </c>
      <c r="C3270" s="1992">
        <v>9</v>
      </c>
      <c r="D3270" s="1992">
        <v>2990.2262810137599</v>
      </c>
      <c r="E3270" s="1993">
        <v>1185.5594285547299</v>
      </c>
      <c r="F3270" s="1994">
        <v>4.2897294969663102E-2</v>
      </c>
      <c r="G3270" s="1995">
        <v>1.6964729661652699E-2</v>
      </c>
    </row>
    <row r="3271" spans="1:7" x14ac:dyDescent="0.3">
      <c r="A3271" s="11" t="s">
        <v>1097</v>
      </c>
      <c r="B3271" s="11" t="s">
        <v>3190</v>
      </c>
      <c r="C3271" s="1996">
        <v>4</v>
      </c>
      <c r="D3271" s="1996">
        <v>2883.87570541894</v>
      </c>
      <c r="E3271" s="1997">
        <v>1860.08177517222</v>
      </c>
      <c r="F3271" s="1998">
        <v>4.1371607084284098E-2</v>
      </c>
      <c r="G3271" s="1999">
        <v>2.6660237997787099E-2</v>
      </c>
    </row>
    <row r="3272" spans="1:7" x14ac:dyDescent="0.3">
      <c r="A3272" s="6" t="s">
        <v>1087</v>
      </c>
      <c r="B3272" s="6" t="s">
        <v>3179</v>
      </c>
      <c r="C3272" s="1992">
        <v>4</v>
      </c>
      <c r="D3272" s="1992">
        <v>1650.39182905852</v>
      </c>
      <c r="E3272" s="1993">
        <v>1416.3896905198001</v>
      </c>
      <c r="F3272" s="1994">
        <v>2.3676250040395998E-2</v>
      </c>
      <c r="G3272" s="1995">
        <v>2.0329888766005201E-2</v>
      </c>
    </row>
    <row r="3273" spans="1:7" x14ac:dyDescent="0.3">
      <c r="A3273" s="11" t="s">
        <v>966</v>
      </c>
      <c r="B3273" s="11" t="s">
        <v>3115</v>
      </c>
      <c r="C3273" s="1996">
        <v>4</v>
      </c>
      <c r="D3273" s="1996">
        <v>1493.47335422374</v>
      </c>
      <c r="E3273" s="1997">
        <v>835.42590245603697</v>
      </c>
      <c r="F3273" s="1998">
        <v>2.14251233802106E-2</v>
      </c>
      <c r="G3273" s="1999">
        <v>1.1983851347763801E-2</v>
      </c>
    </row>
    <row r="3274" spans="1:7" x14ac:dyDescent="0.3">
      <c r="A3274" s="6" t="s">
        <v>3172</v>
      </c>
      <c r="B3274" s="6" t="s">
        <v>3173</v>
      </c>
      <c r="C3274" s="1992">
        <v>5</v>
      </c>
      <c r="D3274" s="1992">
        <v>1292.4683620409201</v>
      </c>
      <c r="E3274" s="1993">
        <v>797.99390416565404</v>
      </c>
      <c r="F3274" s="1994">
        <v>1.8541538785028001E-2</v>
      </c>
      <c r="G3274" s="1995">
        <v>1.1422719123497E-2</v>
      </c>
    </row>
    <row r="3275" spans="1:7" x14ac:dyDescent="0.3">
      <c r="A3275" s="11" t="s">
        <v>962</v>
      </c>
      <c r="B3275" s="11" t="s">
        <v>3113</v>
      </c>
      <c r="C3275" s="1996">
        <v>5</v>
      </c>
      <c r="D3275" s="1996">
        <v>1176.5199471538101</v>
      </c>
      <c r="E3275" s="1997">
        <v>775.77852364431101</v>
      </c>
      <c r="F3275" s="1998">
        <v>1.687816187397E-2</v>
      </c>
      <c r="G3275" s="1999">
        <v>1.1130042017320299E-2</v>
      </c>
    </row>
    <row r="3276" spans="1:7" x14ac:dyDescent="0.3">
      <c r="A3276" s="6" t="s">
        <v>1101</v>
      </c>
      <c r="B3276" s="6" t="s">
        <v>3192</v>
      </c>
      <c r="C3276" s="1992">
        <v>1</v>
      </c>
      <c r="D3276" s="1992">
        <v>1094.21661059604</v>
      </c>
      <c r="E3276" s="1993">
        <v>1095.8088326556899</v>
      </c>
      <c r="F3276" s="1994">
        <v>1.5697451729148E-2</v>
      </c>
      <c r="G3276" s="1995">
        <v>1.5713596297172699E-2</v>
      </c>
    </row>
    <row r="3277" spans="1:7" x14ac:dyDescent="0.3">
      <c r="A3277" s="11" t="s">
        <v>1067</v>
      </c>
      <c r="B3277" s="11" t="s">
        <v>3147</v>
      </c>
      <c r="C3277" s="1996">
        <v>8</v>
      </c>
      <c r="D3277" s="1996">
        <v>931.43598637044602</v>
      </c>
      <c r="E3277" s="1997">
        <v>539.65954199748899</v>
      </c>
      <c r="F3277" s="1998">
        <v>1.3362227636881699E-2</v>
      </c>
      <c r="G3277" s="1999">
        <v>7.75260886968312E-3</v>
      </c>
    </row>
    <row r="3278" spans="1:7" x14ac:dyDescent="0.3">
      <c r="A3278" s="6" t="s">
        <v>3201</v>
      </c>
      <c r="B3278" s="6" t="s">
        <v>3202</v>
      </c>
      <c r="C3278" s="1992">
        <v>1</v>
      </c>
      <c r="D3278" s="1992">
        <v>411.49338081397201</v>
      </c>
      <c r="E3278" s="1993">
        <v>410.34730313359501</v>
      </c>
      <c r="F3278" s="1994">
        <v>5.9032164378063096E-3</v>
      </c>
      <c r="G3278" s="1995">
        <v>5.8851695654494303E-3</v>
      </c>
    </row>
    <row r="3279" spans="1:7" x14ac:dyDescent="0.3">
      <c r="A3279" s="11" t="s">
        <v>1163</v>
      </c>
      <c r="B3279" s="11" t="s">
        <v>3167</v>
      </c>
      <c r="C3279" s="1996">
        <v>1</v>
      </c>
      <c r="D3279" s="1996">
        <v>332.05835407638699</v>
      </c>
      <c r="E3279" s="1997">
        <v>334.635896114513</v>
      </c>
      <c r="F3279" s="1998">
        <v>4.7636545944363803E-3</v>
      </c>
      <c r="G3279" s="1999">
        <v>4.8005949097338699E-3</v>
      </c>
    </row>
    <row r="3280" spans="1:7" x14ac:dyDescent="0.3">
      <c r="A3280" s="6" t="s">
        <v>1093</v>
      </c>
      <c r="B3280" s="6" t="s">
        <v>3182</v>
      </c>
      <c r="C3280" s="1992">
        <v>1</v>
      </c>
      <c r="D3280" s="1992">
        <v>234.59461227410799</v>
      </c>
      <c r="E3280" s="1993">
        <v>235.99337079219001</v>
      </c>
      <c r="F3280" s="1994">
        <v>3.3654557666466601E-3</v>
      </c>
      <c r="G3280" s="1995">
        <v>3.3848160515680698E-3</v>
      </c>
    </row>
    <row r="3281" spans="1:7" x14ac:dyDescent="0.3">
      <c r="A3281" s="11" t="s">
        <v>1085</v>
      </c>
      <c r="B3281" s="11" t="s">
        <v>3171</v>
      </c>
      <c r="C3281" s="1996">
        <v>1</v>
      </c>
      <c r="D3281" s="1996">
        <v>145.70027365658601</v>
      </c>
      <c r="E3281" s="1997">
        <v>148.667616506771</v>
      </c>
      <c r="F3281" s="1998">
        <v>2.0901921890968899E-3</v>
      </c>
      <c r="G3281" s="1999">
        <v>2.1328015781811199E-3</v>
      </c>
    </row>
    <row r="3282" spans="1:7" x14ac:dyDescent="0.3">
      <c r="A3282" s="6" t="s">
        <v>3186</v>
      </c>
      <c r="B3282" s="6" t="s">
        <v>3187</v>
      </c>
      <c r="C3282" s="1992">
        <v>1</v>
      </c>
      <c r="D3282" s="1992">
        <v>130.11571536982601</v>
      </c>
      <c r="E3282" s="1993">
        <v>130.45802443416099</v>
      </c>
      <c r="F3282" s="1994">
        <v>1.86661867626816E-3</v>
      </c>
      <c r="G3282" s="1995">
        <v>1.8712540964146199E-3</v>
      </c>
    </row>
    <row r="3283" spans="1:7" x14ac:dyDescent="0.3">
      <c r="A3283" s="11" t="s">
        <v>3032</v>
      </c>
      <c r="B3283" s="11" t="s">
        <v>3131</v>
      </c>
      <c r="C3283" s="1996">
        <v>1</v>
      </c>
      <c r="D3283" s="1996">
        <v>108.98209983253101</v>
      </c>
      <c r="E3283" s="1997">
        <v>110.067376031623</v>
      </c>
      <c r="F3283" s="1998">
        <v>1.56343929976577E-3</v>
      </c>
      <c r="G3283" s="1999">
        <v>1.5785590236277001E-3</v>
      </c>
    </row>
    <row r="3284" spans="1:7" x14ac:dyDescent="0.3">
      <c r="A3284" s="6" t="s">
        <v>956</v>
      </c>
      <c r="B3284" s="6" t="s">
        <v>957</v>
      </c>
      <c r="C3284" s="1992">
        <v>101</v>
      </c>
      <c r="D3284" s="1992">
        <v>50848.6644701271</v>
      </c>
      <c r="E3284" s="1993">
        <v>13266.3879540575</v>
      </c>
      <c r="F3284" s="1994">
        <v>79.593646669403796</v>
      </c>
      <c r="G3284" s="1995">
        <v>11.9790480331033</v>
      </c>
    </row>
    <row r="3285" spans="1:7" x14ac:dyDescent="0.3">
      <c r="A3285" s="11" t="s">
        <v>1146</v>
      </c>
      <c r="B3285" s="11" t="s">
        <v>957</v>
      </c>
      <c r="C3285" s="1996">
        <v>31</v>
      </c>
      <c r="D3285" s="1996">
        <v>13036.6663293644</v>
      </c>
      <c r="E3285" s="1997">
        <v>7602.0899140455103</v>
      </c>
      <c r="F3285" s="1998">
        <v>20.4063533305962</v>
      </c>
      <c r="G3285" s="1999">
        <v>11.9790480331033</v>
      </c>
    </row>
    <row r="3286" spans="1:7" x14ac:dyDescent="0.3">
      <c r="A3286" s="6" t="s">
        <v>6269</v>
      </c>
      <c r="B3286" s="6" t="s">
        <v>6270</v>
      </c>
      <c r="C3286" s="1992">
        <v>16856</v>
      </c>
      <c r="D3286" s="1992">
        <v>6970663.9617450098</v>
      </c>
      <c r="E3286" s="1993">
        <v>23132.117258578299</v>
      </c>
      <c r="F3286" s="1994">
        <v>99.091834769468505</v>
      </c>
      <c r="G3286" s="1995">
        <v>0.19395549175544999</v>
      </c>
    </row>
    <row r="3287" spans="1:7" x14ac:dyDescent="0.3">
      <c r="A3287" s="11" t="s">
        <v>6269</v>
      </c>
      <c r="B3287" s="11" t="s">
        <v>6271</v>
      </c>
      <c r="C3287" s="1996">
        <v>16988</v>
      </c>
      <c r="D3287" s="1996">
        <v>7034549.2925445</v>
      </c>
      <c r="E3287" s="1997">
        <v>0</v>
      </c>
      <c r="F3287" s="1998">
        <v>100</v>
      </c>
      <c r="G3287" s="1999">
        <v>0</v>
      </c>
    </row>
    <row r="3288" spans="1:7" x14ac:dyDescent="0.3">
      <c r="A3288" s="3299" t="s">
        <v>334</v>
      </c>
      <c r="B3288" s="3298"/>
      <c r="C3288" s="3298"/>
      <c r="D3288" s="3298"/>
      <c r="E3288" s="3298"/>
      <c r="F3288" s="3298"/>
      <c r="G3288" s="3298"/>
    </row>
    <row r="3289" spans="1:7" x14ac:dyDescent="0.3">
      <c r="A3289" s="11" t="s">
        <v>960</v>
      </c>
      <c r="B3289" s="11" t="s">
        <v>961</v>
      </c>
      <c r="C3289" s="2004">
        <v>16989</v>
      </c>
      <c r="D3289" s="2004">
        <v>7034549.2925444702</v>
      </c>
      <c r="E3289" s="2005">
        <v>26049.863883780501</v>
      </c>
      <c r="F3289" s="2006">
        <v>100</v>
      </c>
      <c r="G3289" s="2007">
        <v>0</v>
      </c>
    </row>
    <row r="3290" spans="1:7" x14ac:dyDescent="0.3">
      <c r="A3290" s="6" t="s">
        <v>6269</v>
      </c>
      <c r="B3290" s="6" t="s">
        <v>6270</v>
      </c>
      <c r="C3290" s="2000">
        <v>0</v>
      </c>
      <c r="D3290" s="2000">
        <v>0</v>
      </c>
      <c r="E3290" s="2001">
        <v>0</v>
      </c>
      <c r="F3290" s="2002">
        <v>0</v>
      </c>
      <c r="G3290" s="2003">
        <v>0</v>
      </c>
    </row>
    <row r="3291" spans="1:7" x14ac:dyDescent="0.3">
      <c r="A3291" s="11" t="s">
        <v>6269</v>
      </c>
      <c r="B3291" s="11" t="s">
        <v>6271</v>
      </c>
      <c r="C3291" s="2004">
        <v>16989</v>
      </c>
      <c r="D3291" s="2004">
        <v>7034549.2925444702</v>
      </c>
      <c r="E3291" s="2005">
        <v>0</v>
      </c>
      <c r="F3291" s="2006">
        <v>100</v>
      </c>
      <c r="G3291" s="2007">
        <v>0</v>
      </c>
    </row>
    <row r="3292" spans="1:7" x14ac:dyDescent="0.3">
      <c r="A3292" s="3299" t="s">
        <v>352</v>
      </c>
      <c r="B3292" s="3298"/>
      <c r="C3292" s="3298"/>
      <c r="D3292" s="3298"/>
      <c r="E3292" s="3298"/>
      <c r="F3292" s="3298"/>
      <c r="G3292" s="3298"/>
    </row>
    <row r="3293" spans="1:7" x14ac:dyDescent="0.3">
      <c r="A3293" s="11" t="s">
        <v>1146</v>
      </c>
      <c r="B3293" s="11" t="s">
        <v>957</v>
      </c>
      <c r="C3293" s="2012">
        <v>295</v>
      </c>
      <c r="D3293" s="2012">
        <v>144614.68546228801</v>
      </c>
      <c r="E3293" s="2013">
        <v>18798.755476201699</v>
      </c>
      <c r="F3293" s="2014">
        <v>75.553183129406307</v>
      </c>
      <c r="G3293" s="2015">
        <v>3.2086623007413402</v>
      </c>
    </row>
    <row r="3294" spans="1:7" x14ac:dyDescent="0.3">
      <c r="A3294" s="6" t="s">
        <v>956</v>
      </c>
      <c r="B3294" s="6" t="s">
        <v>957</v>
      </c>
      <c r="C3294" s="2008">
        <v>108</v>
      </c>
      <c r="D3294" s="2008">
        <v>46793.114278716101</v>
      </c>
      <c r="E3294" s="2009">
        <v>5332.20961152992</v>
      </c>
      <c r="F3294" s="2010">
        <v>24.4468168705937</v>
      </c>
      <c r="G3294" s="2011">
        <v>3.2086623007413402</v>
      </c>
    </row>
    <row r="3295" spans="1:7" x14ac:dyDescent="0.3">
      <c r="A3295" s="11" t="s">
        <v>6269</v>
      </c>
      <c r="B3295" s="11" t="s">
        <v>6270</v>
      </c>
      <c r="C3295" s="2012">
        <v>16547</v>
      </c>
      <c r="D3295" s="2012">
        <v>6843141.4928035</v>
      </c>
      <c r="E3295" s="2013">
        <v>30246.663677723998</v>
      </c>
      <c r="F3295" s="2014">
        <v>97.279032503989001</v>
      </c>
      <c r="G3295" s="2015">
        <v>0.27456746556808298</v>
      </c>
    </row>
    <row r="3296" spans="1:7" x14ac:dyDescent="0.3">
      <c r="A3296" s="6" t="s">
        <v>6269</v>
      </c>
      <c r="B3296" s="6" t="s">
        <v>6271</v>
      </c>
      <c r="C3296" s="2008">
        <v>16950</v>
      </c>
      <c r="D3296" s="2008">
        <v>7034549.2925445</v>
      </c>
      <c r="E3296" s="2009">
        <v>0</v>
      </c>
      <c r="F3296" s="2010">
        <v>100</v>
      </c>
      <c r="G3296" s="2011">
        <v>0</v>
      </c>
    </row>
    <row r="3297" spans="1:7" x14ac:dyDescent="0.3">
      <c r="A3297" s="3299" t="s">
        <v>355</v>
      </c>
      <c r="B3297" s="3298"/>
      <c r="C3297" s="3298"/>
      <c r="D3297" s="3298"/>
      <c r="E3297" s="3298"/>
      <c r="F3297" s="3298"/>
      <c r="G3297" s="3298"/>
    </row>
    <row r="3298" spans="1:7" x14ac:dyDescent="0.3">
      <c r="A3298" s="11" t="s">
        <v>960</v>
      </c>
      <c r="B3298" s="11" t="s">
        <v>961</v>
      </c>
      <c r="C3298" s="2020">
        <v>16989</v>
      </c>
      <c r="D3298" s="2020">
        <v>7034549.2925444702</v>
      </c>
      <c r="E3298" s="2021">
        <v>26049.863883780501</v>
      </c>
      <c r="F3298" s="2022">
        <v>100</v>
      </c>
      <c r="G3298" s="2023">
        <v>0</v>
      </c>
    </row>
    <row r="3299" spans="1:7" x14ac:dyDescent="0.3">
      <c r="A3299" s="6" t="s">
        <v>6269</v>
      </c>
      <c r="B3299" s="6" t="s">
        <v>6270</v>
      </c>
      <c r="C3299" s="2016">
        <v>0</v>
      </c>
      <c r="D3299" s="2016">
        <v>0</v>
      </c>
      <c r="E3299" s="2017">
        <v>0</v>
      </c>
      <c r="F3299" s="2018">
        <v>0</v>
      </c>
      <c r="G3299" s="2019">
        <v>0</v>
      </c>
    </row>
    <row r="3300" spans="1:7" x14ac:dyDescent="0.3">
      <c r="A3300" s="11" t="s">
        <v>6269</v>
      </c>
      <c r="B3300" s="11" t="s">
        <v>6271</v>
      </c>
      <c r="C3300" s="2020">
        <v>16989</v>
      </c>
      <c r="D3300" s="2020">
        <v>7034549.2925444702</v>
      </c>
      <c r="E3300" s="2021">
        <v>0</v>
      </c>
      <c r="F3300" s="2022">
        <v>100</v>
      </c>
      <c r="G3300" s="2023">
        <v>0</v>
      </c>
    </row>
    <row r="3301" spans="1:7" x14ac:dyDescent="0.3">
      <c r="A3301" s="3299" t="s">
        <v>195</v>
      </c>
      <c r="B3301" s="3298"/>
      <c r="C3301" s="3298"/>
      <c r="D3301" s="3298"/>
      <c r="E3301" s="3298"/>
      <c r="F3301" s="3298"/>
      <c r="G3301" s="3298"/>
    </row>
    <row r="3302" spans="1:7" x14ac:dyDescent="0.3">
      <c r="A3302" s="11" t="s">
        <v>962</v>
      </c>
      <c r="B3302" s="11" t="s">
        <v>1148</v>
      </c>
      <c r="C3302" s="2028">
        <v>16268</v>
      </c>
      <c r="D3302" s="2028">
        <v>6743272.9025855204</v>
      </c>
      <c r="E3302" s="2029">
        <v>31490.919186735598</v>
      </c>
      <c r="F3302" s="2030">
        <v>96.140628119531002</v>
      </c>
      <c r="G3302" s="2031">
        <v>0.23175550313919199</v>
      </c>
    </row>
    <row r="3303" spans="1:7" x14ac:dyDescent="0.3">
      <c r="A3303" s="6" t="s">
        <v>964</v>
      </c>
      <c r="B3303" s="6" t="s">
        <v>1149</v>
      </c>
      <c r="C3303" s="2024">
        <v>370</v>
      </c>
      <c r="D3303" s="2024">
        <v>138867.626552929</v>
      </c>
      <c r="E3303" s="2025">
        <v>12689.278964704001</v>
      </c>
      <c r="F3303" s="2026">
        <v>1.9798725389192</v>
      </c>
      <c r="G3303" s="2027">
        <v>0.18275849919890999</v>
      </c>
    </row>
    <row r="3304" spans="1:7" x14ac:dyDescent="0.3">
      <c r="A3304" s="11" t="s">
        <v>966</v>
      </c>
      <c r="B3304" s="11" t="s">
        <v>1150</v>
      </c>
      <c r="C3304" s="2028">
        <v>307</v>
      </c>
      <c r="D3304" s="2028">
        <v>128496.807025022</v>
      </c>
      <c r="E3304" s="2029">
        <v>9762.7737468214</v>
      </c>
      <c r="F3304" s="2030">
        <v>1.83201301759612</v>
      </c>
      <c r="G3304" s="2031">
        <v>0.139998348797573</v>
      </c>
    </row>
    <row r="3305" spans="1:7" x14ac:dyDescent="0.3">
      <c r="A3305" s="6" t="s">
        <v>983</v>
      </c>
      <c r="B3305" s="6" t="s">
        <v>1151</v>
      </c>
      <c r="C3305" s="2024">
        <v>18</v>
      </c>
      <c r="D3305" s="2024">
        <v>3330.6755720597998</v>
      </c>
      <c r="E3305" s="2025">
        <v>1132.8859883303501</v>
      </c>
      <c r="F3305" s="2026">
        <v>4.7486323953673998E-2</v>
      </c>
      <c r="G3305" s="2027">
        <v>1.6134772839148E-2</v>
      </c>
    </row>
    <row r="3306" spans="1:7" x14ac:dyDescent="0.3">
      <c r="A3306" s="11" t="s">
        <v>956</v>
      </c>
      <c r="B3306" s="11" t="s">
        <v>957</v>
      </c>
      <c r="C3306" s="2028">
        <v>20</v>
      </c>
      <c r="D3306" s="2028">
        <v>15568.1371463822</v>
      </c>
      <c r="E3306" s="2029">
        <v>10195.740828656501</v>
      </c>
      <c r="F3306" s="2030">
        <v>75.642217269626201</v>
      </c>
      <c r="G3306" s="2031">
        <v>22.266709175624399</v>
      </c>
    </row>
    <row r="3307" spans="1:7" x14ac:dyDescent="0.3">
      <c r="A3307" s="6" t="s">
        <v>958</v>
      </c>
      <c r="B3307" s="6" t="s">
        <v>1019</v>
      </c>
      <c r="C3307" s="2024">
        <v>6</v>
      </c>
      <c r="D3307" s="2024">
        <v>5013.1436625735696</v>
      </c>
      <c r="E3307" s="2025">
        <v>3175.6649687732402</v>
      </c>
      <c r="F3307" s="2026">
        <v>24.357782730373799</v>
      </c>
      <c r="G3307" s="2027">
        <v>22.266709175624399</v>
      </c>
    </row>
    <row r="3308" spans="1:7" x14ac:dyDescent="0.3">
      <c r="A3308" s="11" t="s">
        <v>6269</v>
      </c>
      <c r="B3308" s="11" t="s">
        <v>6270</v>
      </c>
      <c r="C3308" s="2028">
        <v>16963</v>
      </c>
      <c r="D3308" s="2028">
        <v>7013968.0117355296</v>
      </c>
      <c r="E3308" s="2029">
        <v>22925.386694719899</v>
      </c>
      <c r="F3308" s="2030">
        <v>99.707425736133999</v>
      </c>
      <c r="G3308" s="2031">
        <v>0.16131988378913301</v>
      </c>
    </row>
    <row r="3309" spans="1:7" x14ac:dyDescent="0.3">
      <c r="A3309" s="6" t="s">
        <v>6269</v>
      </c>
      <c r="B3309" s="6" t="s">
        <v>6271</v>
      </c>
      <c r="C3309" s="2024">
        <v>16989</v>
      </c>
      <c r="D3309" s="2024">
        <v>7034549.2925444804</v>
      </c>
      <c r="E3309" s="2025">
        <v>0</v>
      </c>
      <c r="F3309" s="2026">
        <v>100</v>
      </c>
      <c r="G3309" s="2027">
        <v>0</v>
      </c>
    </row>
    <row r="3310" spans="1:7" x14ac:dyDescent="0.3">
      <c r="A3310" s="3299" t="s">
        <v>198</v>
      </c>
      <c r="B3310" s="3298"/>
      <c r="C3310" s="3298"/>
      <c r="D3310" s="3298"/>
      <c r="E3310" s="3298"/>
      <c r="F3310" s="3298"/>
      <c r="G3310" s="3298"/>
    </row>
    <row r="3311" spans="1:7" x14ac:dyDescent="0.3">
      <c r="A3311" s="11" t="s">
        <v>6646</v>
      </c>
      <c r="B3311" s="11"/>
      <c r="C3311" s="2036">
        <v>1</v>
      </c>
      <c r="D3311" s="2036">
        <v>643.677371316316</v>
      </c>
      <c r="E3311" s="2037">
        <v>645.91159609069302</v>
      </c>
      <c r="F3311" s="2038">
        <v>19.325730092596402</v>
      </c>
      <c r="G3311" s="2039">
        <v>19.457850114902801</v>
      </c>
    </row>
    <row r="3312" spans="1:7" x14ac:dyDescent="0.3">
      <c r="A3312" s="6" t="s">
        <v>6647</v>
      </c>
      <c r="B3312" s="6"/>
      <c r="C3312" s="2032">
        <v>1</v>
      </c>
      <c r="D3312" s="2032">
        <v>567.54008462621005</v>
      </c>
      <c r="E3312" s="2033">
        <v>570.34964369788895</v>
      </c>
      <c r="F3312" s="2034">
        <v>17.039788846057601</v>
      </c>
      <c r="G3312" s="2035">
        <v>19.122377048369501</v>
      </c>
    </row>
    <row r="3313" spans="1:7" x14ac:dyDescent="0.3">
      <c r="A3313" s="11" t="s">
        <v>6648</v>
      </c>
      <c r="B3313" s="11"/>
      <c r="C3313" s="2036">
        <v>1</v>
      </c>
      <c r="D3313" s="2036">
        <v>549.86424732670605</v>
      </c>
      <c r="E3313" s="2037">
        <v>550.42845816068098</v>
      </c>
      <c r="F3313" s="2038">
        <v>16.509090586287702</v>
      </c>
      <c r="G3313" s="2039">
        <v>17.2865593741369</v>
      </c>
    </row>
    <row r="3314" spans="1:7" x14ac:dyDescent="0.3">
      <c r="A3314" s="6" t="s">
        <v>6649</v>
      </c>
      <c r="B3314" s="6"/>
      <c r="C3314" s="2032">
        <v>2</v>
      </c>
      <c r="D3314" s="2032">
        <v>248.34104561192299</v>
      </c>
      <c r="E3314" s="2033">
        <v>248.65678032259899</v>
      </c>
      <c r="F3314" s="2034">
        <v>7.4561763894146198</v>
      </c>
      <c r="G3314" s="2035">
        <v>7.51543496770757</v>
      </c>
    </row>
    <row r="3315" spans="1:7" x14ac:dyDescent="0.3">
      <c r="A3315" s="11" t="s">
        <v>6650</v>
      </c>
      <c r="B3315" s="11"/>
      <c r="C3315" s="2036">
        <v>1</v>
      </c>
      <c r="D3315" s="2036">
        <v>236.93575723838899</v>
      </c>
      <c r="E3315" s="2037">
        <v>239.79491725855101</v>
      </c>
      <c r="F3315" s="2038">
        <v>7.1137447077098699</v>
      </c>
      <c r="G3315" s="2039">
        <v>7.67102088441953</v>
      </c>
    </row>
    <row r="3316" spans="1:7" x14ac:dyDescent="0.3">
      <c r="A3316" s="6" t="s">
        <v>6651</v>
      </c>
      <c r="B3316" s="6"/>
      <c r="C3316" s="2032">
        <v>1</v>
      </c>
      <c r="D3316" s="2032">
        <v>215.698229553467</v>
      </c>
      <c r="E3316" s="2033">
        <v>217.955873870716</v>
      </c>
      <c r="F3316" s="2034">
        <v>6.4761104732897303</v>
      </c>
      <c r="G3316" s="2035">
        <v>7.2241246482894903</v>
      </c>
    </row>
    <row r="3317" spans="1:7" x14ac:dyDescent="0.3">
      <c r="A3317" s="11" t="s">
        <v>6652</v>
      </c>
      <c r="B3317" s="11"/>
      <c r="C3317" s="2036">
        <v>1</v>
      </c>
      <c r="D3317" s="2036">
        <v>215.698229553467</v>
      </c>
      <c r="E3317" s="2037">
        <v>217.955873870716</v>
      </c>
      <c r="F3317" s="2038">
        <v>6.4761104732897303</v>
      </c>
      <c r="G3317" s="2039">
        <v>7.2241246482894903</v>
      </c>
    </row>
    <row r="3318" spans="1:7" x14ac:dyDescent="0.3">
      <c r="A3318" s="6" t="s">
        <v>6653</v>
      </c>
      <c r="B3318" s="6"/>
      <c r="C3318" s="2032">
        <v>1</v>
      </c>
      <c r="D3318" s="2032">
        <v>191.21287501945699</v>
      </c>
      <c r="E3318" s="2033">
        <v>191.45818374386801</v>
      </c>
      <c r="F3318" s="2034">
        <v>5.7409636838692402</v>
      </c>
      <c r="G3318" s="2035">
        <v>5.7812876120584002</v>
      </c>
    </row>
    <row r="3319" spans="1:7" x14ac:dyDescent="0.3">
      <c r="A3319" s="11" t="s">
        <v>6654</v>
      </c>
      <c r="B3319" s="11"/>
      <c r="C3319" s="2036">
        <v>4</v>
      </c>
      <c r="D3319" s="2036">
        <v>188.87320706463399</v>
      </c>
      <c r="E3319" s="2037">
        <v>190.98049553539201</v>
      </c>
      <c r="F3319" s="2038">
        <v>5.67071763605691</v>
      </c>
      <c r="G3319" s="2039">
        <v>6.4849064166898502</v>
      </c>
    </row>
    <row r="3320" spans="1:7" x14ac:dyDescent="0.3">
      <c r="A3320" s="6" t="s">
        <v>6655</v>
      </c>
      <c r="B3320" s="6"/>
      <c r="C3320" s="2032">
        <v>1</v>
      </c>
      <c r="D3320" s="2032">
        <v>176.307232041465</v>
      </c>
      <c r="E3320" s="2033">
        <v>177.51969376641199</v>
      </c>
      <c r="F3320" s="2034">
        <v>5.2934375692565903</v>
      </c>
      <c r="G3320" s="2035">
        <v>5.9965522428590701</v>
      </c>
    </row>
    <row r="3321" spans="1:7" x14ac:dyDescent="0.3">
      <c r="A3321" s="11" t="s">
        <v>6656</v>
      </c>
      <c r="B3321" s="11"/>
      <c r="C3321" s="2036">
        <v>1</v>
      </c>
      <c r="D3321" s="2036">
        <v>96.527292707761703</v>
      </c>
      <c r="E3321" s="2037">
        <v>98.098539740928103</v>
      </c>
      <c r="F3321" s="2038">
        <v>2.8981295421717101</v>
      </c>
      <c r="G3321" s="2039">
        <v>3.3841088172454201</v>
      </c>
    </row>
    <row r="3322" spans="1:7" x14ac:dyDescent="0.3">
      <c r="A3322" s="6" t="s">
        <v>960</v>
      </c>
      <c r="B3322" s="6" t="s">
        <v>961</v>
      </c>
      <c r="C3322" s="2032">
        <v>16971</v>
      </c>
      <c r="D3322" s="2032">
        <v>7031218.6169724101</v>
      </c>
      <c r="E3322" s="2033">
        <v>25746.860668855501</v>
      </c>
      <c r="F3322" s="2034">
        <v>100</v>
      </c>
      <c r="G3322" s="2035">
        <v>0</v>
      </c>
    </row>
    <row r="3323" spans="1:7" x14ac:dyDescent="0.3">
      <c r="A3323" s="11" t="s">
        <v>6269</v>
      </c>
      <c r="B3323" s="11" t="s">
        <v>6270</v>
      </c>
      <c r="C3323" s="2036">
        <v>15</v>
      </c>
      <c r="D3323" s="2036">
        <v>3330.6755720597998</v>
      </c>
      <c r="E3323" s="2037">
        <v>1132.8859883303501</v>
      </c>
      <c r="F3323" s="2038">
        <v>4.7347391190929497E-2</v>
      </c>
      <c r="G3323" s="2039">
        <v>1.6059030560393001E-2</v>
      </c>
    </row>
    <row r="3324" spans="1:7" x14ac:dyDescent="0.3">
      <c r="A3324" s="6" t="s">
        <v>6269</v>
      </c>
      <c r="B3324" s="6" t="s">
        <v>6271</v>
      </c>
      <c r="C3324" s="2032">
        <v>16986</v>
      </c>
      <c r="D3324" s="2032">
        <v>7034549.2925444702</v>
      </c>
      <c r="E3324" s="2033">
        <v>0</v>
      </c>
      <c r="F3324" s="2034">
        <v>100</v>
      </c>
      <c r="G3324" s="2035">
        <v>0</v>
      </c>
    </row>
    <row r="3325" spans="1:7" x14ac:dyDescent="0.3">
      <c r="A3325" s="3299" t="s">
        <v>803</v>
      </c>
      <c r="B3325" s="3298"/>
      <c r="C3325" s="3298"/>
      <c r="D3325" s="3298"/>
      <c r="E3325" s="3298"/>
      <c r="F3325" s="3298"/>
      <c r="G3325" s="3298"/>
    </row>
    <row r="3326" spans="1:7" x14ac:dyDescent="0.3">
      <c r="A3326" s="11" t="s">
        <v>962</v>
      </c>
      <c r="B3326" s="11" t="s">
        <v>6110</v>
      </c>
      <c r="C3326" s="2044">
        <v>8003</v>
      </c>
      <c r="D3326" s="2044">
        <v>3463761.5255062599</v>
      </c>
      <c r="E3326" s="2045">
        <v>42663.373137553201</v>
      </c>
      <c r="F3326" s="2046">
        <v>49.381944505747903</v>
      </c>
      <c r="G3326" s="2047">
        <v>0.56742695855987202</v>
      </c>
    </row>
    <row r="3327" spans="1:7" x14ac:dyDescent="0.3">
      <c r="A3327" s="6" t="s">
        <v>966</v>
      </c>
      <c r="B3327" s="6" t="s">
        <v>6112</v>
      </c>
      <c r="C3327" s="2040">
        <v>3992</v>
      </c>
      <c r="D3327" s="2040">
        <v>1648742.6011506</v>
      </c>
      <c r="E3327" s="2041">
        <v>45753.170445181</v>
      </c>
      <c r="F3327" s="2042">
        <v>23.505693170484999</v>
      </c>
      <c r="G3327" s="2043">
        <v>0.66587999435621104</v>
      </c>
    </row>
    <row r="3328" spans="1:7" x14ac:dyDescent="0.3">
      <c r="A3328" s="11" t="s">
        <v>968</v>
      </c>
      <c r="B3328" s="11" t="s">
        <v>6113</v>
      </c>
      <c r="C3328" s="2044">
        <v>3378</v>
      </c>
      <c r="D3328" s="2044">
        <v>1217770.19209914</v>
      </c>
      <c r="E3328" s="2045">
        <v>26565.243097247101</v>
      </c>
      <c r="F3328" s="2046">
        <v>17.3614319589175</v>
      </c>
      <c r="G3328" s="2047">
        <v>0.39393894162198601</v>
      </c>
    </row>
    <row r="3329" spans="1:7" x14ac:dyDescent="0.3">
      <c r="A3329" s="6" t="s">
        <v>964</v>
      </c>
      <c r="B3329" s="6" t="s">
        <v>6111</v>
      </c>
      <c r="C3329" s="2040">
        <v>842</v>
      </c>
      <c r="D3329" s="2040">
        <v>388098.89344100701</v>
      </c>
      <c r="E3329" s="2041">
        <v>25303.799225032999</v>
      </c>
      <c r="F3329" s="2042">
        <v>5.5330246835756904</v>
      </c>
      <c r="G3329" s="2043">
        <v>0.35152447602682202</v>
      </c>
    </row>
    <row r="3330" spans="1:7" x14ac:dyDescent="0.3">
      <c r="A3330" s="11" t="s">
        <v>981</v>
      </c>
      <c r="B3330" s="11" t="s">
        <v>6116</v>
      </c>
      <c r="C3330" s="2044">
        <v>479</v>
      </c>
      <c r="D3330" s="2044">
        <v>183413.39878459601</v>
      </c>
      <c r="E3330" s="2045">
        <v>11872.8015138257</v>
      </c>
      <c r="F3330" s="2046">
        <v>2.6148769809052301</v>
      </c>
      <c r="G3330" s="2047">
        <v>0.16538659986448701</v>
      </c>
    </row>
    <row r="3331" spans="1:7" x14ac:dyDescent="0.3">
      <c r="A3331" s="6" t="s">
        <v>972</v>
      </c>
      <c r="B3331" s="6" t="s">
        <v>6115</v>
      </c>
      <c r="C3331" s="2040">
        <v>113</v>
      </c>
      <c r="D3331" s="2040">
        <v>49953.757376437999</v>
      </c>
      <c r="E3331" s="2041">
        <v>12127.1618218569</v>
      </c>
      <c r="F3331" s="2042">
        <v>0.71217768788407099</v>
      </c>
      <c r="G3331" s="2043">
        <v>0.17259024960625099</v>
      </c>
    </row>
    <row r="3332" spans="1:7" x14ac:dyDescent="0.3">
      <c r="A3332" s="11" t="s">
        <v>970</v>
      </c>
      <c r="B3332" s="11" t="s">
        <v>6114</v>
      </c>
      <c r="C3332" s="2044">
        <v>97</v>
      </c>
      <c r="D3332" s="2044">
        <v>38626.792867018397</v>
      </c>
      <c r="E3332" s="2045">
        <v>7818.2620736986501</v>
      </c>
      <c r="F3332" s="2046">
        <v>0.55069210964670101</v>
      </c>
      <c r="G3332" s="2047">
        <v>0.112162496990404</v>
      </c>
    </row>
    <row r="3333" spans="1:7" x14ac:dyDescent="0.3">
      <c r="A3333" s="6" t="s">
        <v>983</v>
      </c>
      <c r="B3333" s="6" t="s">
        <v>6053</v>
      </c>
      <c r="C3333" s="2040">
        <v>54</v>
      </c>
      <c r="D3333" s="2040">
        <v>23859.516509542798</v>
      </c>
      <c r="E3333" s="2041">
        <v>6546.3499790291498</v>
      </c>
      <c r="F3333" s="2042">
        <v>0.34015890283786399</v>
      </c>
      <c r="G3333" s="2043">
        <v>9.3233040144295898E-2</v>
      </c>
    </row>
    <row r="3334" spans="1:7" x14ac:dyDescent="0.3">
      <c r="A3334" s="11" t="s">
        <v>956</v>
      </c>
      <c r="B3334" s="11" t="s">
        <v>1025</v>
      </c>
      <c r="C3334" s="2044">
        <v>20</v>
      </c>
      <c r="D3334" s="2044">
        <v>14406.174087196499</v>
      </c>
      <c r="E3334" s="2045">
        <v>10080.611684854801</v>
      </c>
      <c r="F3334" s="2046">
        <v>70.887404115812799</v>
      </c>
      <c r="G3334" s="2047">
        <v>25.623050862873502</v>
      </c>
    </row>
    <row r="3335" spans="1:7" x14ac:dyDescent="0.3">
      <c r="A3335" s="6" t="s">
        <v>958</v>
      </c>
      <c r="B3335" s="6" t="s">
        <v>1019</v>
      </c>
      <c r="C3335" s="2040">
        <v>11</v>
      </c>
      <c r="D3335" s="2040">
        <v>5916.4407227072497</v>
      </c>
      <c r="E3335" s="2041">
        <v>3098.8720965110401</v>
      </c>
      <c r="F3335" s="2042">
        <v>29.112595884187201</v>
      </c>
      <c r="G3335" s="2043">
        <v>25.623050862873502</v>
      </c>
    </row>
    <row r="3336" spans="1:7" x14ac:dyDescent="0.3">
      <c r="A3336" s="11" t="s">
        <v>6269</v>
      </c>
      <c r="B3336" s="11" t="s">
        <v>6270</v>
      </c>
      <c r="C3336" s="2044">
        <v>16958</v>
      </c>
      <c r="D3336" s="2044">
        <v>7014226.6777346004</v>
      </c>
      <c r="E3336" s="2045">
        <v>23166.540140527999</v>
      </c>
      <c r="F3336" s="2046">
        <v>99.7111028160476</v>
      </c>
      <c r="G3336" s="2047">
        <v>0.15897988519478801</v>
      </c>
    </row>
    <row r="3337" spans="1:7" x14ac:dyDescent="0.3">
      <c r="A3337" s="6" t="s">
        <v>6269</v>
      </c>
      <c r="B3337" s="6" t="s">
        <v>6271</v>
      </c>
      <c r="C3337" s="2040">
        <v>16989</v>
      </c>
      <c r="D3337" s="2040">
        <v>7034549.2925445102</v>
      </c>
      <c r="E3337" s="2041">
        <v>0</v>
      </c>
      <c r="F3337" s="2042">
        <v>100</v>
      </c>
      <c r="G3337" s="2043">
        <v>0</v>
      </c>
    </row>
    <row r="3338" spans="1:7" x14ac:dyDescent="0.3">
      <c r="A3338" s="3299" t="s">
        <v>800</v>
      </c>
      <c r="B3338" s="3298"/>
      <c r="C3338" s="3298"/>
      <c r="D3338" s="3298"/>
      <c r="E3338" s="3298"/>
      <c r="F3338" s="3298"/>
      <c r="G3338" s="3298"/>
    </row>
    <row r="3339" spans="1:7" x14ac:dyDescent="0.3">
      <c r="A3339" s="11" t="s">
        <v>6657</v>
      </c>
      <c r="B3339" s="11"/>
      <c r="C3339" s="2052">
        <v>23</v>
      </c>
      <c r="D3339" s="2052">
        <v>9763.5866952854703</v>
      </c>
      <c r="E3339" s="2053">
        <v>3082.677882682</v>
      </c>
      <c r="F3339" s="2054">
        <v>47.328848433383698</v>
      </c>
      <c r="G3339" s="2055">
        <v>8.9002134252510903</v>
      </c>
    </row>
    <row r="3340" spans="1:7" x14ac:dyDescent="0.3">
      <c r="A3340" s="6" t="s">
        <v>6658</v>
      </c>
      <c r="B3340" s="6"/>
      <c r="C3340" s="2048">
        <v>11</v>
      </c>
      <c r="D3340" s="2048">
        <v>7160.6865482692901</v>
      </c>
      <c r="E3340" s="2049">
        <v>2644.49606877408</v>
      </c>
      <c r="F3340" s="2050">
        <v>34.711326779702198</v>
      </c>
      <c r="G3340" s="2051">
        <v>9.1794213413882293</v>
      </c>
    </row>
    <row r="3341" spans="1:7" x14ac:dyDescent="0.3">
      <c r="A3341" s="11" t="s">
        <v>6659</v>
      </c>
      <c r="B3341" s="11"/>
      <c r="C3341" s="2052">
        <v>5</v>
      </c>
      <c r="D3341" s="2052">
        <v>1697.2369109461199</v>
      </c>
      <c r="E3341" s="2053">
        <v>1249.0895122371301</v>
      </c>
      <c r="F3341" s="2054">
        <v>8.2273319242918603</v>
      </c>
      <c r="G3341" s="2055">
        <v>5.91886178983364</v>
      </c>
    </row>
    <row r="3342" spans="1:7" x14ac:dyDescent="0.3">
      <c r="A3342" s="6" t="s">
        <v>6660</v>
      </c>
      <c r="B3342" s="6"/>
      <c r="C3342" s="2048">
        <v>4</v>
      </c>
      <c r="D3342" s="2048">
        <v>1227.0075831525501</v>
      </c>
      <c r="E3342" s="2049">
        <v>857.27677262941097</v>
      </c>
      <c r="F3342" s="2050">
        <v>5.9479019075726702</v>
      </c>
      <c r="G3342" s="2051">
        <v>3.8378071589145</v>
      </c>
    </row>
    <row r="3343" spans="1:7" x14ac:dyDescent="0.3">
      <c r="A3343" s="11" t="s">
        <v>6661</v>
      </c>
      <c r="B3343" s="11"/>
      <c r="C3343" s="2052">
        <v>1</v>
      </c>
      <c r="D3343" s="2052">
        <v>335.19825699026597</v>
      </c>
      <c r="E3343" s="2053">
        <v>339.458340604005</v>
      </c>
      <c r="F3343" s="2054">
        <v>1.62486881054554</v>
      </c>
      <c r="G3343" s="2055">
        <v>1.7182374630055901</v>
      </c>
    </row>
    <row r="3344" spans="1:7" x14ac:dyDescent="0.3">
      <c r="A3344" s="6" t="s">
        <v>6662</v>
      </c>
      <c r="B3344" s="6"/>
      <c r="C3344" s="2048">
        <v>1</v>
      </c>
      <c r="D3344" s="2048">
        <v>312.95926992497903</v>
      </c>
      <c r="E3344" s="2049">
        <v>314.02366935121103</v>
      </c>
      <c r="F3344" s="2050">
        <v>1.51706563523976</v>
      </c>
      <c r="G3344" s="2051">
        <v>1.6432027845800701</v>
      </c>
    </row>
    <row r="3345" spans="1:7" x14ac:dyDescent="0.3">
      <c r="A3345" s="11" t="s">
        <v>6663</v>
      </c>
      <c r="B3345" s="11"/>
      <c r="C3345" s="2052">
        <v>4</v>
      </c>
      <c r="D3345" s="2052">
        <v>132.57522105829301</v>
      </c>
      <c r="E3345" s="2053">
        <v>91.953254298794505</v>
      </c>
      <c r="F3345" s="2054">
        <v>0.64265650926417495</v>
      </c>
      <c r="G3345" s="2055">
        <v>0.44221660408008201</v>
      </c>
    </row>
    <row r="3346" spans="1:7" x14ac:dyDescent="0.3">
      <c r="A3346" s="6" t="s">
        <v>960</v>
      </c>
      <c r="B3346" s="6" t="s">
        <v>961</v>
      </c>
      <c r="C3346" s="2048">
        <v>16935</v>
      </c>
      <c r="D3346" s="2048">
        <v>7010689.7760349298</v>
      </c>
      <c r="E3346" s="2049">
        <v>27253.3004099438</v>
      </c>
      <c r="F3346" s="2050">
        <v>99.953944926595298</v>
      </c>
      <c r="G3346" s="2051">
        <v>3.3302792090459998E-2</v>
      </c>
    </row>
    <row r="3347" spans="1:7" x14ac:dyDescent="0.3">
      <c r="A3347" s="11" t="s">
        <v>974</v>
      </c>
      <c r="B3347" s="11"/>
      <c r="C3347" s="2052">
        <v>5</v>
      </c>
      <c r="D3347" s="2052">
        <v>3230.2660239158099</v>
      </c>
      <c r="E3347" s="2053">
        <v>2338.6086953836498</v>
      </c>
      <c r="F3347" s="2054">
        <v>4.6055073404680701E-2</v>
      </c>
      <c r="G3347" s="2055">
        <v>3.3302792090462302E-2</v>
      </c>
    </row>
    <row r="3348" spans="1:7" x14ac:dyDescent="0.3">
      <c r="A3348" s="6" t="s">
        <v>6269</v>
      </c>
      <c r="B3348" s="6" t="s">
        <v>6270</v>
      </c>
      <c r="C3348" s="2048">
        <v>49</v>
      </c>
      <c r="D3348" s="2048">
        <v>20629.250485626999</v>
      </c>
      <c r="E3348" s="2049">
        <v>5617.9839308847904</v>
      </c>
      <c r="F3348" s="2050">
        <v>0.29325617929055903</v>
      </c>
      <c r="G3348" s="2051">
        <v>8.0076917662312994E-2</v>
      </c>
    </row>
    <row r="3349" spans="1:7" x14ac:dyDescent="0.3">
      <c r="A3349" s="11" t="s">
        <v>6269</v>
      </c>
      <c r="B3349" s="11" t="s">
        <v>6271</v>
      </c>
      <c r="C3349" s="2052">
        <v>16989</v>
      </c>
      <c r="D3349" s="2052">
        <v>7034549.2925444702</v>
      </c>
      <c r="E3349" s="2053">
        <v>0</v>
      </c>
      <c r="F3349" s="2054">
        <v>100</v>
      </c>
      <c r="G3349" s="2055">
        <v>0</v>
      </c>
    </row>
    <row r="3350" spans="1:7" x14ac:dyDescent="0.3">
      <c r="A3350" s="3299" t="s">
        <v>866</v>
      </c>
      <c r="B3350" s="3298"/>
      <c r="C3350" s="3298"/>
      <c r="D3350" s="3298"/>
      <c r="E3350" s="3298"/>
      <c r="F3350" s="3298"/>
      <c r="G3350" s="3298"/>
    </row>
    <row r="3351" spans="1:7" x14ac:dyDescent="0.3">
      <c r="A3351" s="11" t="s">
        <v>962</v>
      </c>
      <c r="B3351" s="11" t="s">
        <v>2996</v>
      </c>
      <c r="C3351" s="2060">
        <v>10167</v>
      </c>
      <c r="D3351" s="2060">
        <v>4005742.06806775</v>
      </c>
      <c r="E3351" s="2061">
        <v>26303.496897057699</v>
      </c>
      <c r="F3351" s="2062">
        <v>57.088747169502398</v>
      </c>
      <c r="G3351" s="2063">
        <v>0.33912005577807203</v>
      </c>
    </row>
    <row r="3352" spans="1:7" x14ac:dyDescent="0.3">
      <c r="A3352" s="6" t="s">
        <v>964</v>
      </c>
      <c r="B3352" s="6" t="s">
        <v>2997</v>
      </c>
      <c r="C3352" s="2056">
        <v>5479</v>
      </c>
      <c r="D3352" s="2056">
        <v>2254227.59034841</v>
      </c>
      <c r="E3352" s="2057">
        <v>17305.719902656099</v>
      </c>
      <c r="F3352" s="2058">
        <v>32.126638905133902</v>
      </c>
      <c r="G3352" s="2059">
        <v>0.28513368385292498</v>
      </c>
    </row>
    <row r="3353" spans="1:7" x14ac:dyDescent="0.3">
      <c r="A3353" s="11" t="s">
        <v>966</v>
      </c>
      <c r="B3353" s="11" t="s">
        <v>2998</v>
      </c>
      <c r="C3353" s="2060">
        <v>701</v>
      </c>
      <c r="D3353" s="2060">
        <v>445262.118546382</v>
      </c>
      <c r="E3353" s="2061">
        <v>24837.781972612702</v>
      </c>
      <c r="F3353" s="2062">
        <v>6.34575468862203</v>
      </c>
      <c r="G3353" s="2063">
        <v>0.346262731165212</v>
      </c>
    </row>
    <row r="3354" spans="1:7" x14ac:dyDescent="0.3">
      <c r="A3354" s="6" t="s">
        <v>983</v>
      </c>
      <c r="B3354" s="6" t="s">
        <v>6122</v>
      </c>
      <c r="C3354" s="2056">
        <v>407</v>
      </c>
      <c r="D3354" s="2056">
        <v>168593.91848464101</v>
      </c>
      <c r="E3354" s="2057">
        <v>19759.122486643198</v>
      </c>
      <c r="F3354" s="2058">
        <v>2.4027547014099402</v>
      </c>
      <c r="G3354" s="2059">
        <v>0.28060183870379402</v>
      </c>
    </row>
    <row r="3355" spans="1:7" x14ac:dyDescent="0.3">
      <c r="A3355" s="11" t="s">
        <v>968</v>
      </c>
      <c r="B3355" s="11" t="s">
        <v>2999</v>
      </c>
      <c r="C3355" s="2060">
        <v>163</v>
      </c>
      <c r="D3355" s="2060">
        <v>111047.179725387</v>
      </c>
      <c r="E3355" s="2061">
        <v>11089.604429634201</v>
      </c>
      <c r="F3355" s="2062">
        <v>1.5826142221600701</v>
      </c>
      <c r="G3355" s="2063">
        <v>0.15745773896965901</v>
      </c>
    </row>
    <row r="3356" spans="1:7" x14ac:dyDescent="0.3">
      <c r="A3356" s="6" t="s">
        <v>970</v>
      </c>
      <c r="B3356" s="6" t="s">
        <v>3000</v>
      </c>
      <c r="C3356" s="2056">
        <v>36</v>
      </c>
      <c r="D3356" s="2056">
        <v>23981.930291917</v>
      </c>
      <c r="E3356" s="2057">
        <v>5010.0889443866099</v>
      </c>
      <c r="F3356" s="2058">
        <v>0.34178395208863099</v>
      </c>
      <c r="G3356" s="2059">
        <v>7.1279793450194404E-2</v>
      </c>
    </row>
    <row r="3357" spans="1:7" x14ac:dyDescent="0.3">
      <c r="A3357" s="11" t="s">
        <v>972</v>
      </c>
      <c r="B3357" s="11" t="s">
        <v>3001</v>
      </c>
      <c r="C3357" s="2060">
        <v>5</v>
      </c>
      <c r="D3357" s="2060">
        <v>6205.6424792984199</v>
      </c>
      <c r="E3357" s="2061">
        <v>3624.5703578881798</v>
      </c>
      <c r="F3357" s="2062">
        <v>8.8441129884301903E-2</v>
      </c>
      <c r="G3357" s="2063">
        <v>5.1583494993640303E-2</v>
      </c>
    </row>
    <row r="3358" spans="1:7" x14ac:dyDescent="0.3">
      <c r="A3358" s="6" t="s">
        <v>981</v>
      </c>
      <c r="B3358" s="6" t="s">
        <v>3002</v>
      </c>
      <c r="C3358" s="2056">
        <v>2</v>
      </c>
      <c r="D3358" s="2056">
        <v>1152.08936403187</v>
      </c>
      <c r="E3358" s="2057">
        <v>790.66350962152399</v>
      </c>
      <c r="F3358" s="2058">
        <v>1.64192644714178E-2</v>
      </c>
      <c r="G3358" s="2059">
        <v>1.1265457291933401E-2</v>
      </c>
    </row>
    <row r="3359" spans="1:7" x14ac:dyDescent="0.3">
      <c r="A3359" s="11" t="s">
        <v>991</v>
      </c>
      <c r="B3359" s="11" t="s">
        <v>3003</v>
      </c>
      <c r="C3359" s="2060">
        <v>2</v>
      </c>
      <c r="D3359" s="2060">
        <v>480.360461135224</v>
      </c>
      <c r="E3359" s="2061">
        <v>486.95850189652799</v>
      </c>
      <c r="F3359" s="2062">
        <v>6.84596672725924E-3</v>
      </c>
      <c r="G3359" s="2063">
        <v>6.9389098883517204E-3</v>
      </c>
    </row>
    <row r="3360" spans="1:7" x14ac:dyDescent="0.3">
      <c r="A3360" s="6" t="s">
        <v>956</v>
      </c>
      <c r="B3360" s="6" t="s">
        <v>957</v>
      </c>
      <c r="C3360" s="2056">
        <v>14</v>
      </c>
      <c r="D3360" s="2056">
        <v>11296.0216532838</v>
      </c>
      <c r="E3360" s="2057">
        <v>9571.9261112259592</v>
      </c>
      <c r="F3360" s="2058">
        <v>63.260371397855401</v>
      </c>
      <c r="G3360" s="2059">
        <v>40.685666919928302</v>
      </c>
    </row>
    <row r="3361" spans="1:7" x14ac:dyDescent="0.3">
      <c r="A3361" s="11" t="s">
        <v>958</v>
      </c>
      <c r="B3361" s="11" t="s">
        <v>959</v>
      </c>
      <c r="C3361" s="2060">
        <v>13</v>
      </c>
      <c r="D3361" s="2060">
        <v>6560.3731222719198</v>
      </c>
      <c r="E3361" s="2061">
        <v>3203.6122821184499</v>
      </c>
      <c r="F3361" s="2062">
        <v>36.739628602144599</v>
      </c>
      <c r="G3361" s="2063">
        <v>40.685666919928302</v>
      </c>
    </row>
    <row r="3362" spans="1:7" x14ac:dyDescent="0.3">
      <c r="A3362" s="6" t="s">
        <v>6269</v>
      </c>
      <c r="B3362" s="6" t="s">
        <v>6270</v>
      </c>
      <c r="C3362" s="2056">
        <v>16962</v>
      </c>
      <c r="D3362" s="2056">
        <v>7016692.8977689501</v>
      </c>
      <c r="E3362" s="2057">
        <v>23414.477877782501</v>
      </c>
      <c r="F3362" s="2058">
        <v>99.746161494745905</v>
      </c>
      <c r="G3362" s="2059">
        <v>0.147390713833908</v>
      </c>
    </row>
    <row r="3363" spans="1:7" x14ac:dyDescent="0.3">
      <c r="A3363" s="11" t="s">
        <v>6269</v>
      </c>
      <c r="B3363" s="11" t="s">
        <v>6271</v>
      </c>
      <c r="C3363" s="2060">
        <v>16989</v>
      </c>
      <c r="D3363" s="2060">
        <v>7034549.2925445</v>
      </c>
      <c r="E3363" s="2061">
        <v>0</v>
      </c>
      <c r="F3363" s="2062">
        <v>100</v>
      </c>
      <c r="G3363" s="2063">
        <v>0</v>
      </c>
    </row>
    <row r="3364" spans="1:7" x14ac:dyDescent="0.3">
      <c r="A3364" s="3299" t="s">
        <v>395</v>
      </c>
      <c r="B3364" s="3298"/>
      <c r="C3364" s="3298"/>
      <c r="D3364" s="3298"/>
      <c r="E3364" s="3298"/>
      <c r="F3364" s="3298"/>
      <c r="G3364" s="3298"/>
    </row>
    <row r="3365" spans="1:7" x14ac:dyDescent="0.3">
      <c r="A3365" s="11" t="s">
        <v>1146</v>
      </c>
      <c r="B3365" s="11" t="s">
        <v>1025</v>
      </c>
      <c r="C3365" s="2068">
        <v>2406</v>
      </c>
      <c r="D3365" s="2068">
        <v>1117708.5963360099</v>
      </c>
      <c r="E3365" s="2069">
        <v>30115.407119154599</v>
      </c>
      <c r="F3365" s="2070">
        <v>79.462776741646806</v>
      </c>
      <c r="G3365" s="2071">
        <v>2.1241980320481</v>
      </c>
    </row>
    <row r="3366" spans="1:7" x14ac:dyDescent="0.3">
      <c r="A3366" s="6" t="s">
        <v>1147</v>
      </c>
      <c r="B3366" s="6" t="s">
        <v>959</v>
      </c>
      <c r="C3366" s="2064">
        <v>606</v>
      </c>
      <c r="D3366" s="2064">
        <v>285820.094163806</v>
      </c>
      <c r="E3366" s="2065">
        <v>37284.629312304904</v>
      </c>
      <c r="F3366" s="2066">
        <v>20.320196521050299</v>
      </c>
      <c r="G3366" s="2067">
        <v>2.1504960510967099</v>
      </c>
    </row>
    <row r="3367" spans="1:7" x14ac:dyDescent="0.3">
      <c r="A3367" s="11" t="s">
        <v>956</v>
      </c>
      <c r="B3367" s="11" t="s">
        <v>1025</v>
      </c>
      <c r="C3367" s="2068">
        <v>4</v>
      </c>
      <c r="D3367" s="2068">
        <v>2866.76066931371</v>
      </c>
      <c r="E3367" s="2069">
        <v>2168.3461626896701</v>
      </c>
      <c r="F3367" s="2070">
        <v>0.203810513566926</v>
      </c>
      <c r="G3367" s="2071">
        <v>0.15561988352296899</v>
      </c>
    </row>
    <row r="3368" spans="1:7" x14ac:dyDescent="0.3">
      <c r="A3368" s="6" t="s">
        <v>974</v>
      </c>
      <c r="B3368" s="6" t="s">
        <v>975</v>
      </c>
      <c r="C3368" s="2064">
        <v>1</v>
      </c>
      <c r="D3368" s="2064">
        <v>185.89693799355501</v>
      </c>
      <c r="E3368" s="2065">
        <v>187.17816120982999</v>
      </c>
      <c r="F3368" s="2066">
        <v>1.3216223735919901E-2</v>
      </c>
      <c r="G3368" s="2067">
        <v>1.3279870332263299E-2</v>
      </c>
    </row>
    <row r="3369" spans="1:7" x14ac:dyDescent="0.3">
      <c r="A3369" s="11" t="s">
        <v>6269</v>
      </c>
      <c r="B3369" s="11" t="s">
        <v>6270</v>
      </c>
      <c r="C3369" s="2068">
        <v>12642</v>
      </c>
      <c r="D3369" s="2068">
        <v>5627967.9444373799</v>
      </c>
      <c r="E3369" s="2069">
        <v>58287.211488417102</v>
      </c>
      <c r="F3369" s="2070">
        <v>80.004669956640001</v>
      </c>
      <c r="G3369" s="2071">
        <v>0.69813624596605495</v>
      </c>
    </row>
    <row r="3370" spans="1:7" x14ac:dyDescent="0.3">
      <c r="A3370" s="6" t="s">
        <v>6269</v>
      </c>
      <c r="B3370" s="6" t="s">
        <v>6271</v>
      </c>
      <c r="C3370" s="2064">
        <v>15659</v>
      </c>
      <c r="D3370" s="2064">
        <v>7034549.2925445</v>
      </c>
      <c r="E3370" s="2065">
        <v>0</v>
      </c>
      <c r="F3370" s="2066">
        <v>100</v>
      </c>
      <c r="G3370" s="2067">
        <v>0</v>
      </c>
    </row>
    <row r="3371" spans="1:7" x14ac:dyDescent="0.3">
      <c r="A3371" s="3299" t="s">
        <v>383</v>
      </c>
      <c r="B3371" s="3298"/>
      <c r="C3371" s="3298"/>
      <c r="D3371" s="3298"/>
      <c r="E3371" s="3298"/>
      <c r="F3371" s="3298"/>
      <c r="G3371" s="3298"/>
    </row>
    <row r="3372" spans="1:7" x14ac:dyDescent="0.3">
      <c r="A3372" s="11" t="s">
        <v>960</v>
      </c>
      <c r="B3372" s="11" t="s">
        <v>961</v>
      </c>
      <c r="C3372" s="2076">
        <v>3017</v>
      </c>
      <c r="D3372" s="2076">
        <v>1406581.34810712</v>
      </c>
      <c r="E3372" s="2077">
        <v>47921.345732711503</v>
      </c>
      <c r="F3372" s="2078">
        <v>74.357601813244997</v>
      </c>
      <c r="G3372" s="2079">
        <v>0.81602985952309703</v>
      </c>
    </row>
    <row r="3373" spans="1:7" x14ac:dyDescent="0.3">
      <c r="A3373" s="6" t="s">
        <v>1146</v>
      </c>
      <c r="B3373" s="6" t="s">
        <v>957</v>
      </c>
      <c r="C3373" s="2072">
        <v>1136</v>
      </c>
      <c r="D3373" s="2072">
        <v>447807.94891722797</v>
      </c>
      <c r="E3373" s="2073">
        <v>18310.096960559102</v>
      </c>
      <c r="F3373" s="2074">
        <v>23.672946608600501</v>
      </c>
      <c r="G3373" s="2075">
        <v>0.89137829631594601</v>
      </c>
    </row>
    <row r="3374" spans="1:7" x14ac:dyDescent="0.3">
      <c r="A3374" s="11" t="s">
        <v>1147</v>
      </c>
      <c r="B3374" s="11" t="s">
        <v>959</v>
      </c>
      <c r="C3374" s="2076">
        <v>104</v>
      </c>
      <c r="D3374" s="2076">
        <v>31315.748181385199</v>
      </c>
      <c r="E3374" s="2077">
        <v>6481.9985909331999</v>
      </c>
      <c r="F3374" s="2078">
        <v>1.6554776137824601</v>
      </c>
      <c r="G3374" s="2079">
        <v>0.35031601210549701</v>
      </c>
    </row>
    <row r="3375" spans="1:7" x14ac:dyDescent="0.3">
      <c r="A3375" s="6" t="s">
        <v>974</v>
      </c>
      <c r="B3375" s="6" t="s">
        <v>975</v>
      </c>
      <c r="C3375" s="2072">
        <v>9</v>
      </c>
      <c r="D3375" s="2072">
        <v>4517.6689640465402</v>
      </c>
      <c r="E3375" s="2073">
        <v>1248.3103419710999</v>
      </c>
      <c r="F3375" s="2074">
        <v>0.23882232649017299</v>
      </c>
      <c r="G3375" s="2075">
        <v>6.6295636349744697E-2</v>
      </c>
    </row>
    <row r="3376" spans="1:7" x14ac:dyDescent="0.3">
      <c r="A3376" s="11" t="s">
        <v>956</v>
      </c>
      <c r="B3376" s="11" t="s">
        <v>957</v>
      </c>
      <c r="C3376" s="2076">
        <v>3</v>
      </c>
      <c r="D3376" s="2076">
        <v>1421.6016862654701</v>
      </c>
      <c r="E3376" s="2077">
        <v>1001.67479534315</v>
      </c>
      <c r="F3376" s="2078">
        <v>7.5151637881888694E-2</v>
      </c>
      <c r="G3376" s="2079">
        <v>5.27285718407388E-2</v>
      </c>
    </row>
    <row r="3377" spans="1:7" x14ac:dyDescent="0.3">
      <c r="A3377" s="6" t="s">
        <v>6269</v>
      </c>
      <c r="B3377" s="6" t="s">
        <v>6270</v>
      </c>
      <c r="C3377" s="2072">
        <v>12717</v>
      </c>
      <c r="D3377" s="2072">
        <v>5142904.9766884502</v>
      </c>
      <c r="E3377" s="2073">
        <v>63810.113512876502</v>
      </c>
      <c r="F3377" s="2074">
        <v>73.109232202539403</v>
      </c>
      <c r="G3377" s="2075">
        <v>0.79281872020868205</v>
      </c>
    </row>
    <row r="3378" spans="1:7" x14ac:dyDescent="0.3">
      <c r="A3378" s="11" t="s">
        <v>6269</v>
      </c>
      <c r="B3378" s="11" t="s">
        <v>6271</v>
      </c>
      <c r="C3378" s="2076">
        <v>16986</v>
      </c>
      <c r="D3378" s="2076">
        <v>7034549.2925445</v>
      </c>
      <c r="E3378" s="2077">
        <v>0</v>
      </c>
      <c r="F3378" s="2078">
        <v>100</v>
      </c>
      <c r="G3378" s="2079">
        <v>0</v>
      </c>
    </row>
    <row r="3379" spans="1:7" x14ac:dyDescent="0.3">
      <c r="A3379" s="3299" t="s">
        <v>398</v>
      </c>
      <c r="B3379" s="3298"/>
      <c r="C3379" s="3298"/>
      <c r="D3379" s="3298"/>
      <c r="E3379" s="3298"/>
      <c r="F3379" s="3298"/>
      <c r="G3379" s="3298"/>
    </row>
    <row r="3380" spans="1:7" x14ac:dyDescent="0.3">
      <c r="A3380" s="11" t="s">
        <v>6498</v>
      </c>
      <c r="B3380" s="11"/>
      <c r="C3380" s="2084">
        <v>8265</v>
      </c>
      <c r="D3380" s="2084">
        <v>3473748.4007678698</v>
      </c>
      <c r="E3380" s="2085">
        <v>59312.531427148198</v>
      </c>
      <c r="F3380" s="2086">
        <v>67.544479559967499</v>
      </c>
      <c r="G3380" s="2087">
        <v>0.55296922830693196</v>
      </c>
    </row>
    <row r="3381" spans="1:7" x14ac:dyDescent="0.3">
      <c r="A3381" s="6" t="s">
        <v>6635</v>
      </c>
      <c r="B3381" s="6"/>
      <c r="C3381" s="2080">
        <v>4454</v>
      </c>
      <c r="D3381" s="2080">
        <v>1668770.7795102999</v>
      </c>
      <c r="E3381" s="2081">
        <v>29050.528957266899</v>
      </c>
      <c r="F3381" s="2082">
        <v>32.448018912938103</v>
      </c>
      <c r="G3381" s="2083">
        <v>0.55728211194785304</v>
      </c>
    </row>
    <row r="3382" spans="1:7" x14ac:dyDescent="0.3">
      <c r="A3382" s="11" t="s">
        <v>6494</v>
      </c>
      <c r="B3382" s="11"/>
      <c r="C3382" s="2084">
        <v>1</v>
      </c>
      <c r="D3382" s="2084">
        <v>385.79641026631703</v>
      </c>
      <c r="E3382" s="2085">
        <v>386.03781187044598</v>
      </c>
      <c r="F3382" s="2086">
        <v>7.5015270944153202E-3</v>
      </c>
      <c r="G3382" s="2087">
        <v>7.5048149183330297E-3</v>
      </c>
    </row>
    <row r="3383" spans="1:7" x14ac:dyDescent="0.3">
      <c r="A3383" s="6" t="s">
        <v>960</v>
      </c>
      <c r="B3383" s="6" t="s">
        <v>961</v>
      </c>
      <c r="C3383" s="2080">
        <v>3017</v>
      </c>
      <c r="D3383" s="2080">
        <v>1406581.34810712</v>
      </c>
      <c r="E3383" s="2081">
        <v>47921.345732711503</v>
      </c>
      <c r="F3383" s="2082">
        <v>74.357601813244997</v>
      </c>
      <c r="G3383" s="2083">
        <v>0.81602985952309703</v>
      </c>
    </row>
    <row r="3384" spans="1:7" x14ac:dyDescent="0.3">
      <c r="A3384" s="11" t="s">
        <v>1146</v>
      </c>
      <c r="B3384" s="11"/>
      <c r="C3384" s="2084">
        <v>1136</v>
      </c>
      <c r="D3384" s="2084">
        <v>447807.94891722797</v>
      </c>
      <c r="E3384" s="2085">
        <v>18310.096960559102</v>
      </c>
      <c r="F3384" s="2086">
        <v>23.672946608600501</v>
      </c>
      <c r="G3384" s="2087">
        <v>0.89137829631594601</v>
      </c>
    </row>
    <row r="3385" spans="1:7" x14ac:dyDescent="0.3">
      <c r="A3385" s="6" t="s">
        <v>1147</v>
      </c>
      <c r="B3385" s="6"/>
      <c r="C3385" s="2080">
        <v>104</v>
      </c>
      <c r="D3385" s="2080">
        <v>31315.748181385199</v>
      </c>
      <c r="E3385" s="2081">
        <v>6481.9985909331999</v>
      </c>
      <c r="F3385" s="2082">
        <v>1.6554776137824601</v>
      </c>
      <c r="G3385" s="2083">
        <v>0.35031601210549701</v>
      </c>
    </row>
    <row r="3386" spans="1:7" x14ac:dyDescent="0.3">
      <c r="A3386" s="11" t="s">
        <v>974</v>
      </c>
      <c r="B3386" s="11" t="s">
        <v>975</v>
      </c>
      <c r="C3386" s="2084">
        <v>9</v>
      </c>
      <c r="D3386" s="2084">
        <v>4517.6689640465402</v>
      </c>
      <c r="E3386" s="2085">
        <v>1248.3103419710999</v>
      </c>
      <c r="F3386" s="2086">
        <v>0.23882232649017299</v>
      </c>
      <c r="G3386" s="2087">
        <v>6.6295636349744697E-2</v>
      </c>
    </row>
    <row r="3387" spans="1:7" x14ac:dyDescent="0.3">
      <c r="A3387" s="6" t="s">
        <v>956</v>
      </c>
      <c r="B3387" s="6" t="s">
        <v>957</v>
      </c>
      <c r="C3387" s="2080">
        <v>3</v>
      </c>
      <c r="D3387" s="2080">
        <v>1421.6016862654701</v>
      </c>
      <c r="E3387" s="2081">
        <v>1001.67479534315</v>
      </c>
      <c r="F3387" s="2082">
        <v>7.5151637881888694E-2</v>
      </c>
      <c r="G3387" s="2083">
        <v>5.27285718407388E-2</v>
      </c>
    </row>
    <row r="3388" spans="1:7" x14ac:dyDescent="0.3">
      <c r="A3388" s="11" t="s">
        <v>6269</v>
      </c>
      <c r="B3388" s="11" t="s">
        <v>6270</v>
      </c>
      <c r="C3388" s="2084">
        <v>12720</v>
      </c>
      <c r="D3388" s="2084">
        <v>5142904.97668844</v>
      </c>
      <c r="E3388" s="2085">
        <v>63810.113512883203</v>
      </c>
      <c r="F3388" s="2086">
        <v>73.109232202539303</v>
      </c>
      <c r="G3388" s="2087">
        <v>0.79281872020870903</v>
      </c>
    </row>
    <row r="3389" spans="1:7" x14ac:dyDescent="0.3">
      <c r="A3389" s="6" t="s">
        <v>6269</v>
      </c>
      <c r="B3389" s="6" t="s">
        <v>6271</v>
      </c>
      <c r="C3389" s="2080">
        <v>16989</v>
      </c>
      <c r="D3389" s="2080">
        <v>7034549.2925444897</v>
      </c>
      <c r="E3389" s="2081">
        <v>0</v>
      </c>
      <c r="F3389" s="2082">
        <v>100</v>
      </c>
      <c r="G3389" s="2083">
        <v>0</v>
      </c>
    </row>
    <row r="3390" spans="1:7" x14ac:dyDescent="0.3">
      <c r="A3390" s="3299" t="s">
        <v>393</v>
      </c>
      <c r="B3390" s="3298"/>
      <c r="C3390" s="3298"/>
      <c r="D3390" s="3298"/>
      <c r="E3390" s="3298"/>
      <c r="F3390" s="3298"/>
      <c r="G3390" s="3298"/>
    </row>
    <row r="3391" spans="1:7" x14ac:dyDescent="0.3">
      <c r="A3391" s="11" t="s">
        <v>970</v>
      </c>
      <c r="B3391" s="11"/>
      <c r="C3391" s="2092">
        <v>638</v>
      </c>
      <c r="D3391" s="2092">
        <v>486886.00511498598</v>
      </c>
      <c r="E3391" s="2093">
        <v>28166.9398547577</v>
      </c>
      <c r="F3391" s="2094">
        <v>9.4671398231529196</v>
      </c>
      <c r="G3391" s="2095">
        <v>0.47841298927220699</v>
      </c>
    </row>
    <row r="3392" spans="1:7" x14ac:dyDescent="0.3">
      <c r="A3392" s="6" t="s">
        <v>966</v>
      </c>
      <c r="B3392" s="6"/>
      <c r="C3392" s="2088">
        <v>1213</v>
      </c>
      <c r="D3392" s="2088">
        <v>449586.69612742699</v>
      </c>
      <c r="E3392" s="2089">
        <v>23851.406831366799</v>
      </c>
      <c r="F3392" s="2090">
        <v>8.7418822273655596</v>
      </c>
      <c r="G3392" s="2091">
        <v>0.50561243316802995</v>
      </c>
    </row>
    <row r="3393" spans="1:7" x14ac:dyDescent="0.3">
      <c r="A3393" s="11" t="s">
        <v>991</v>
      </c>
      <c r="B3393" s="11"/>
      <c r="C3393" s="2092">
        <v>1132</v>
      </c>
      <c r="D3393" s="2092">
        <v>442417.907029361</v>
      </c>
      <c r="E3393" s="2093">
        <v>33137.979580245803</v>
      </c>
      <c r="F3393" s="2094">
        <v>8.6024904025008109</v>
      </c>
      <c r="G3393" s="2095">
        <v>0.598906157328706</v>
      </c>
    </row>
    <row r="3394" spans="1:7" x14ac:dyDescent="0.3">
      <c r="A3394" s="6" t="s">
        <v>962</v>
      </c>
      <c r="B3394" s="6"/>
      <c r="C3394" s="2088">
        <v>1500</v>
      </c>
      <c r="D3394" s="2088">
        <v>441265.19756524899</v>
      </c>
      <c r="E3394" s="2089">
        <v>20838.699835011601</v>
      </c>
      <c r="F3394" s="2090">
        <v>8.5800768158345893</v>
      </c>
      <c r="G3394" s="2091">
        <v>0.41171529018206698</v>
      </c>
    </row>
    <row r="3395" spans="1:7" x14ac:dyDescent="0.3">
      <c r="A3395" s="11" t="s">
        <v>995</v>
      </c>
      <c r="B3395" s="11"/>
      <c r="C3395" s="2092">
        <v>1052</v>
      </c>
      <c r="D3395" s="2092">
        <v>434666.37010971498</v>
      </c>
      <c r="E3395" s="2093">
        <v>17983.796006034201</v>
      </c>
      <c r="F3395" s="2094">
        <v>8.4517674753850809</v>
      </c>
      <c r="G3395" s="2095">
        <v>0.36604354228042901</v>
      </c>
    </row>
    <row r="3396" spans="1:7" x14ac:dyDescent="0.3">
      <c r="A3396" s="6" t="s">
        <v>981</v>
      </c>
      <c r="B3396" s="6"/>
      <c r="C3396" s="2088">
        <v>1100</v>
      </c>
      <c r="D3396" s="2088">
        <v>424039.191924377</v>
      </c>
      <c r="E3396" s="2089">
        <v>17058.384727774999</v>
      </c>
      <c r="F3396" s="2090">
        <v>8.2451298215005906</v>
      </c>
      <c r="G3396" s="2091">
        <v>0.35044970032247602</v>
      </c>
    </row>
    <row r="3397" spans="1:7" x14ac:dyDescent="0.3">
      <c r="A3397" s="11" t="s">
        <v>972</v>
      </c>
      <c r="B3397" s="11"/>
      <c r="C3397" s="2092">
        <v>623</v>
      </c>
      <c r="D3397" s="2092">
        <v>422986.61338223401</v>
      </c>
      <c r="E3397" s="2093">
        <v>39488.427486271998</v>
      </c>
      <c r="F3397" s="2094">
        <v>8.2246632068749097</v>
      </c>
      <c r="G3397" s="2095">
        <v>0.77260977907516803</v>
      </c>
    </row>
    <row r="3398" spans="1:7" x14ac:dyDescent="0.3">
      <c r="A3398" s="6" t="s">
        <v>968</v>
      </c>
      <c r="B3398" s="6"/>
      <c r="C3398" s="2088">
        <v>675</v>
      </c>
      <c r="D3398" s="2088">
        <v>419044.63890257903</v>
      </c>
      <c r="E3398" s="2089">
        <v>29913.581037041498</v>
      </c>
      <c r="F3398" s="2090">
        <v>8.1480144160159806</v>
      </c>
      <c r="G3398" s="2091">
        <v>0.54595378948001005</v>
      </c>
    </row>
    <row r="3399" spans="1:7" x14ac:dyDescent="0.3">
      <c r="A3399" s="11" t="s">
        <v>999</v>
      </c>
      <c r="B3399" s="11"/>
      <c r="C3399" s="2092">
        <v>1091</v>
      </c>
      <c r="D3399" s="2092">
        <v>415803.44456884102</v>
      </c>
      <c r="E3399" s="2093">
        <v>25765.998442806798</v>
      </c>
      <c r="F3399" s="2094">
        <v>8.0849917790349703</v>
      </c>
      <c r="G3399" s="2095">
        <v>0.46871996311166703</v>
      </c>
    </row>
    <row r="3400" spans="1:7" x14ac:dyDescent="0.3">
      <c r="A3400" s="6" t="s">
        <v>997</v>
      </c>
      <c r="B3400" s="6"/>
      <c r="C3400" s="2088">
        <v>1150</v>
      </c>
      <c r="D3400" s="2088">
        <v>411065.25201389502</v>
      </c>
      <c r="E3400" s="2089">
        <v>24477.566436871999</v>
      </c>
      <c r="F3400" s="2090">
        <v>7.9928611140426398</v>
      </c>
      <c r="G3400" s="2091">
        <v>0.49833209523621103</v>
      </c>
    </row>
    <row r="3401" spans="1:7" x14ac:dyDescent="0.3">
      <c r="A3401" s="11" t="s">
        <v>993</v>
      </c>
      <c r="B3401" s="11"/>
      <c r="C3401" s="2092">
        <v>1402</v>
      </c>
      <c r="D3401" s="2092">
        <v>400536.07401681802</v>
      </c>
      <c r="E3401" s="2093">
        <v>13546.180079007399</v>
      </c>
      <c r="F3401" s="2094">
        <v>7.7881290016508498</v>
      </c>
      <c r="G3401" s="2095">
        <v>0.24107636629499901</v>
      </c>
    </row>
    <row r="3402" spans="1:7" x14ac:dyDescent="0.3">
      <c r="A3402" s="6" t="s">
        <v>964</v>
      </c>
      <c r="B3402" s="6"/>
      <c r="C3402" s="2088">
        <v>1144</v>
      </c>
      <c r="D3402" s="2088">
        <v>394607.58593296999</v>
      </c>
      <c r="E3402" s="2089">
        <v>18612.021762077198</v>
      </c>
      <c r="F3402" s="2090">
        <v>7.6728539166410998</v>
      </c>
      <c r="G3402" s="2091">
        <v>0.32900238545796701</v>
      </c>
    </row>
    <row r="3403" spans="1:7" x14ac:dyDescent="0.3">
      <c r="A3403" s="11" t="s">
        <v>960</v>
      </c>
      <c r="B3403" s="11" t="s">
        <v>961</v>
      </c>
      <c r="C3403" s="2092">
        <v>3017</v>
      </c>
      <c r="D3403" s="2092">
        <v>1406581.34810712</v>
      </c>
      <c r="E3403" s="2093">
        <v>47921.345732711503</v>
      </c>
      <c r="F3403" s="2094">
        <v>74.357601813244997</v>
      </c>
      <c r="G3403" s="2095">
        <v>0.81602985952309703</v>
      </c>
    </row>
    <row r="3404" spans="1:7" x14ac:dyDescent="0.3">
      <c r="A3404" s="6" t="s">
        <v>1146</v>
      </c>
      <c r="B3404" s="6"/>
      <c r="C3404" s="2088">
        <v>1136</v>
      </c>
      <c r="D3404" s="2088">
        <v>447807.94891722797</v>
      </c>
      <c r="E3404" s="2089">
        <v>18310.096960559102</v>
      </c>
      <c r="F3404" s="2090">
        <v>23.672946608600501</v>
      </c>
      <c r="G3404" s="2091">
        <v>0.89137829631594601</v>
      </c>
    </row>
    <row r="3405" spans="1:7" x14ac:dyDescent="0.3">
      <c r="A3405" s="11" t="s">
        <v>1147</v>
      </c>
      <c r="B3405" s="11"/>
      <c r="C3405" s="2092">
        <v>104</v>
      </c>
      <c r="D3405" s="2092">
        <v>31315.748181385199</v>
      </c>
      <c r="E3405" s="2093">
        <v>6481.9985909331999</v>
      </c>
      <c r="F3405" s="2094">
        <v>1.6554776137824601</v>
      </c>
      <c r="G3405" s="2095">
        <v>0.35031601210549701</v>
      </c>
    </row>
    <row r="3406" spans="1:7" x14ac:dyDescent="0.3">
      <c r="A3406" s="6" t="s">
        <v>974</v>
      </c>
      <c r="B3406" s="6" t="s">
        <v>975</v>
      </c>
      <c r="C3406" s="2088">
        <v>9</v>
      </c>
      <c r="D3406" s="2088">
        <v>4517.6689640465402</v>
      </c>
      <c r="E3406" s="2089">
        <v>1248.3103419710999</v>
      </c>
      <c r="F3406" s="2090">
        <v>0.23882232649017299</v>
      </c>
      <c r="G3406" s="2091">
        <v>6.6295636349744697E-2</v>
      </c>
    </row>
    <row r="3407" spans="1:7" x14ac:dyDescent="0.3">
      <c r="A3407" s="11" t="s">
        <v>956</v>
      </c>
      <c r="B3407" s="11" t="s">
        <v>957</v>
      </c>
      <c r="C3407" s="2092">
        <v>3</v>
      </c>
      <c r="D3407" s="2092">
        <v>1421.6016862654701</v>
      </c>
      <c r="E3407" s="2093">
        <v>1001.67479534315</v>
      </c>
      <c r="F3407" s="2094">
        <v>7.5151637881888694E-2</v>
      </c>
      <c r="G3407" s="2095">
        <v>5.27285718407388E-2</v>
      </c>
    </row>
    <row r="3408" spans="1:7" x14ac:dyDescent="0.3">
      <c r="A3408" s="6" t="s">
        <v>6269</v>
      </c>
      <c r="B3408" s="6" t="s">
        <v>6270</v>
      </c>
      <c r="C3408" s="2088">
        <v>12720</v>
      </c>
      <c r="D3408" s="2088">
        <v>5142904.9766884502</v>
      </c>
      <c r="E3408" s="2089">
        <v>63810.113512875701</v>
      </c>
      <c r="F3408" s="2090">
        <v>73.109232202539403</v>
      </c>
      <c r="G3408" s="2091">
        <v>0.79281872020868005</v>
      </c>
    </row>
    <row r="3409" spans="1:7" x14ac:dyDescent="0.3">
      <c r="A3409" s="11" t="s">
        <v>6269</v>
      </c>
      <c r="B3409" s="11" t="s">
        <v>6271</v>
      </c>
      <c r="C3409" s="2092">
        <v>16989</v>
      </c>
      <c r="D3409" s="2092">
        <v>7034549.2925445</v>
      </c>
      <c r="E3409" s="2093">
        <v>0</v>
      </c>
      <c r="F3409" s="2094">
        <v>100</v>
      </c>
      <c r="G3409" s="2095">
        <v>0</v>
      </c>
    </row>
    <row r="3410" spans="1:7" x14ac:dyDescent="0.3">
      <c r="A3410" s="3299" t="s">
        <v>386</v>
      </c>
      <c r="B3410" s="3298"/>
      <c r="C3410" s="3298"/>
      <c r="D3410" s="3298"/>
      <c r="E3410" s="3298"/>
      <c r="F3410" s="3298"/>
      <c r="G3410" s="3298"/>
    </row>
    <row r="3411" spans="1:7" x14ac:dyDescent="0.3">
      <c r="A3411" s="11" t="s">
        <v>962</v>
      </c>
      <c r="B3411" s="11"/>
      <c r="C3411" s="2100">
        <v>635</v>
      </c>
      <c r="D3411" s="2100">
        <v>263975.30263267999</v>
      </c>
      <c r="E3411" s="2101">
        <v>31347.536260466499</v>
      </c>
      <c r="F3411" s="2102">
        <v>5.1328053664070401</v>
      </c>
      <c r="G3411" s="2103">
        <v>0.57181407678651797</v>
      </c>
    </row>
    <row r="3412" spans="1:7" x14ac:dyDescent="0.3">
      <c r="A3412" s="6" t="s">
        <v>981</v>
      </c>
      <c r="B3412" s="6"/>
      <c r="C3412" s="2096">
        <v>398</v>
      </c>
      <c r="D3412" s="2096">
        <v>197167.31964796301</v>
      </c>
      <c r="E3412" s="2097">
        <v>18003.4214164968</v>
      </c>
      <c r="F3412" s="2098">
        <v>3.8337733351418102</v>
      </c>
      <c r="G3412" s="2099">
        <v>0.33581816140298099</v>
      </c>
    </row>
    <row r="3413" spans="1:7" x14ac:dyDescent="0.3">
      <c r="A3413" s="11" t="s">
        <v>1047</v>
      </c>
      <c r="B3413" s="11"/>
      <c r="C3413" s="2100">
        <v>434</v>
      </c>
      <c r="D3413" s="2100">
        <v>193513.178078311</v>
      </c>
      <c r="E3413" s="2101">
        <v>29878.9069799893</v>
      </c>
      <c r="F3413" s="2102">
        <v>3.7627212432557</v>
      </c>
      <c r="G3413" s="2103">
        <v>0.58585766982495602</v>
      </c>
    </row>
    <row r="3414" spans="1:7" x14ac:dyDescent="0.3">
      <c r="A3414" s="6" t="s">
        <v>968</v>
      </c>
      <c r="B3414" s="6"/>
      <c r="C3414" s="2096">
        <v>425</v>
      </c>
      <c r="D3414" s="2096">
        <v>192537.06242986501</v>
      </c>
      <c r="E3414" s="2097">
        <v>14739.5786855427</v>
      </c>
      <c r="F3414" s="2098">
        <v>3.7437413932901502</v>
      </c>
      <c r="G3414" s="2099">
        <v>0.29218212611776501</v>
      </c>
    </row>
    <row r="3415" spans="1:7" x14ac:dyDescent="0.3">
      <c r="A3415" s="11" t="s">
        <v>3036</v>
      </c>
      <c r="B3415" s="11"/>
      <c r="C3415" s="2100">
        <v>467</v>
      </c>
      <c r="D3415" s="2100">
        <v>191983.95168237999</v>
      </c>
      <c r="E3415" s="2101">
        <v>28085.963878583199</v>
      </c>
      <c r="F3415" s="2102">
        <v>3.73298656211999</v>
      </c>
      <c r="G3415" s="2103">
        <v>0.52611539455725997</v>
      </c>
    </row>
    <row r="3416" spans="1:7" x14ac:dyDescent="0.3">
      <c r="A3416" s="6" t="s">
        <v>997</v>
      </c>
      <c r="B3416" s="6"/>
      <c r="C3416" s="2096">
        <v>398</v>
      </c>
      <c r="D3416" s="2096">
        <v>187088.329489681</v>
      </c>
      <c r="E3416" s="2097">
        <v>33222.869481717396</v>
      </c>
      <c r="F3416" s="2098">
        <v>3.6377947937538599</v>
      </c>
      <c r="G3416" s="2099">
        <v>0.65134620639371699</v>
      </c>
    </row>
    <row r="3417" spans="1:7" x14ac:dyDescent="0.3">
      <c r="A3417" s="11" t="s">
        <v>972</v>
      </c>
      <c r="B3417" s="11"/>
      <c r="C3417" s="2100">
        <v>397</v>
      </c>
      <c r="D3417" s="2100">
        <v>184132.676128955</v>
      </c>
      <c r="E3417" s="2101">
        <v>13307.6015247293</v>
      </c>
      <c r="F3417" s="2102">
        <v>3.5803242907186399</v>
      </c>
      <c r="G3417" s="2103">
        <v>0.27371620722016698</v>
      </c>
    </row>
    <row r="3418" spans="1:7" x14ac:dyDescent="0.3">
      <c r="A3418" s="6" t="s">
        <v>1053</v>
      </c>
      <c r="B3418" s="6"/>
      <c r="C3418" s="2096">
        <v>430</v>
      </c>
      <c r="D3418" s="2096">
        <v>183146.43656753999</v>
      </c>
      <c r="E3418" s="2097">
        <v>18115.346087468799</v>
      </c>
      <c r="F3418" s="2098">
        <v>3.56114758872075</v>
      </c>
      <c r="G3418" s="2099">
        <v>0.34589443109021401</v>
      </c>
    </row>
    <row r="3419" spans="1:7" x14ac:dyDescent="0.3">
      <c r="A3419" s="11" t="s">
        <v>1011</v>
      </c>
      <c r="B3419" s="11"/>
      <c r="C3419" s="2100">
        <v>369</v>
      </c>
      <c r="D3419" s="2100">
        <v>182497.318558978</v>
      </c>
      <c r="E3419" s="2101">
        <v>18970.9515265257</v>
      </c>
      <c r="F3419" s="2102">
        <v>3.5485259670593501</v>
      </c>
      <c r="G3419" s="2103">
        <v>0.38389461441353001</v>
      </c>
    </row>
    <row r="3420" spans="1:7" x14ac:dyDescent="0.3">
      <c r="A3420" s="6" t="s">
        <v>999</v>
      </c>
      <c r="B3420" s="6"/>
      <c r="C3420" s="2096">
        <v>422</v>
      </c>
      <c r="D3420" s="2096">
        <v>179649.54591014099</v>
      </c>
      <c r="E3420" s="2097">
        <v>27888.080353352001</v>
      </c>
      <c r="F3420" s="2098">
        <v>3.4931531250227001</v>
      </c>
      <c r="G3420" s="2099">
        <v>0.54282282203891097</v>
      </c>
    </row>
    <row r="3421" spans="1:7" x14ac:dyDescent="0.3">
      <c r="A3421" s="11" t="s">
        <v>970</v>
      </c>
      <c r="B3421" s="11"/>
      <c r="C3421" s="2100">
        <v>409</v>
      </c>
      <c r="D3421" s="2100">
        <v>175407.39264292101</v>
      </c>
      <c r="E3421" s="2101">
        <v>16999.6184493322</v>
      </c>
      <c r="F3421" s="2102">
        <v>3.4106675786933698</v>
      </c>
      <c r="G3421" s="2103">
        <v>0.32817528028397902</v>
      </c>
    </row>
    <row r="3422" spans="1:7" x14ac:dyDescent="0.3">
      <c r="A3422" s="6" t="s">
        <v>1005</v>
      </c>
      <c r="B3422" s="6"/>
      <c r="C3422" s="2096">
        <v>455</v>
      </c>
      <c r="D3422" s="2096">
        <v>174818.874815736</v>
      </c>
      <c r="E3422" s="2097">
        <v>12529.244852906701</v>
      </c>
      <c r="F3422" s="2098">
        <v>3.3992242829324502</v>
      </c>
      <c r="G3422" s="2099">
        <v>0.22976543346773001</v>
      </c>
    </row>
    <row r="3423" spans="1:7" x14ac:dyDescent="0.3">
      <c r="A3423" s="11" t="s">
        <v>991</v>
      </c>
      <c r="B3423" s="11"/>
      <c r="C3423" s="2100">
        <v>416</v>
      </c>
      <c r="D3423" s="2100">
        <v>174382.18122235499</v>
      </c>
      <c r="E3423" s="2101">
        <v>18562.792376479902</v>
      </c>
      <c r="F3423" s="2102">
        <v>3.3907330975934298</v>
      </c>
      <c r="G3423" s="2103">
        <v>0.35057246059368802</v>
      </c>
    </row>
    <row r="3424" spans="1:7" x14ac:dyDescent="0.3">
      <c r="A3424" s="6" t="s">
        <v>1051</v>
      </c>
      <c r="B3424" s="6"/>
      <c r="C3424" s="2096">
        <v>454</v>
      </c>
      <c r="D3424" s="2096">
        <v>169555.48746137301</v>
      </c>
      <c r="E3424" s="2097">
        <v>16659.603242261499</v>
      </c>
      <c r="F3424" s="2098">
        <v>3.2968815918226699</v>
      </c>
      <c r="G3424" s="2099">
        <v>0.32741017075420398</v>
      </c>
    </row>
    <row r="3425" spans="1:7" x14ac:dyDescent="0.3">
      <c r="A3425" s="11" t="s">
        <v>964</v>
      </c>
      <c r="B3425" s="11"/>
      <c r="C3425" s="2100">
        <v>447</v>
      </c>
      <c r="D3425" s="2100">
        <v>168536.21267639101</v>
      </c>
      <c r="E3425" s="2101">
        <v>16412.800450836599</v>
      </c>
      <c r="F3425" s="2102">
        <v>3.27706254422987</v>
      </c>
      <c r="G3425" s="2103">
        <v>0.32245905619278997</v>
      </c>
    </row>
    <row r="3426" spans="1:7" x14ac:dyDescent="0.3">
      <c r="A3426" s="6" t="s">
        <v>3038</v>
      </c>
      <c r="B3426" s="6"/>
      <c r="C3426" s="2096">
        <v>387</v>
      </c>
      <c r="D3426" s="2096">
        <v>165927.72275762199</v>
      </c>
      <c r="E3426" s="2097">
        <v>27234.551799007299</v>
      </c>
      <c r="F3426" s="2098">
        <v>3.2263423786698899</v>
      </c>
      <c r="G3426" s="2099">
        <v>0.50309837411949698</v>
      </c>
    </row>
    <row r="3427" spans="1:7" x14ac:dyDescent="0.3">
      <c r="A3427" s="11" t="s">
        <v>966</v>
      </c>
      <c r="B3427" s="11"/>
      <c r="C3427" s="2100">
        <v>429</v>
      </c>
      <c r="D3427" s="2100">
        <v>164415.708884016</v>
      </c>
      <c r="E3427" s="2101">
        <v>10045.492489344901</v>
      </c>
      <c r="F3427" s="2102">
        <v>3.1969423823553602</v>
      </c>
      <c r="G3427" s="2103">
        <v>0.181453927549033</v>
      </c>
    </row>
    <row r="3428" spans="1:7" x14ac:dyDescent="0.3">
      <c r="A3428" s="6" t="s">
        <v>3034</v>
      </c>
      <c r="B3428" s="6"/>
      <c r="C3428" s="2096">
        <v>434</v>
      </c>
      <c r="D3428" s="2096">
        <v>161124.12823750399</v>
      </c>
      <c r="E3428" s="2097">
        <v>20145.261873574898</v>
      </c>
      <c r="F3428" s="2098">
        <v>3.1329400206272702</v>
      </c>
      <c r="G3428" s="2099">
        <v>0.38734603162974701</v>
      </c>
    </row>
    <row r="3429" spans="1:7" x14ac:dyDescent="0.3">
      <c r="A3429" s="11" t="s">
        <v>1155</v>
      </c>
      <c r="B3429" s="11"/>
      <c r="C3429" s="2100">
        <v>452</v>
      </c>
      <c r="D3429" s="2100">
        <v>155627.16735135901</v>
      </c>
      <c r="E3429" s="2101">
        <v>11278.7344854843</v>
      </c>
      <c r="F3429" s="2102">
        <v>3.0260556641971599</v>
      </c>
      <c r="G3429" s="2103">
        <v>0.220069496763559</v>
      </c>
    </row>
    <row r="3430" spans="1:7" x14ac:dyDescent="0.3">
      <c r="A3430" s="6" t="s">
        <v>995</v>
      </c>
      <c r="B3430" s="6"/>
      <c r="C3430" s="2096">
        <v>390</v>
      </c>
      <c r="D3430" s="2096">
        <v>154939.28872438299</v>
      </c>
      <c r="E3430" s="2097">
        <v>10911.9637487248</v>
      </c>
      <c r="F3430" s="2098">
        <v>3.0126803708543202</v>
      </c>
      <c r="G3430" s="2099">
        <v>0.19338760052027501</v>
      </c>
    </row>
    <row r="3431" spans="1:7" x14ac:dyDescent="0.3">
      <c r="A3431" s="11" t="s">
        <v>1007</v>
      </c>
      <c r="B3431" s="11"/>
      <c r="C3431" s="2100">
        <v>403</v>
      </c>
      <c r="D3431" s="2100">
        <v>154334.33098029401</v>
      </c>
      <c r="E3431" s="2101">
        <v>16365.404961476699</v>
      </c>
      <c r="F3431" s="2102">
        <v>3.0009174130156802</v>
      </c>
      <c r="G3431" s="2103">
        <v>0.33495360961897103</v>
      </c>
    </row>
    <row r="3432" spans="1:7" x14ac:dyDescent="0.3">
      <c r="A3432" s="6" t="s">
        <v>993</v>
      </c>
      <c r="B3432" s="6"/>
      <c r="C3432" s="2096">
        <v>392</v>
      </c>
      <c r="D3432" s="2096">
        <v>152928.77264505799</v>
      </c>
      <c r="E3432" s="2097">
        <v>15204.2215740996</v>
      </c>
      <c r="F3432" s="2098">
        <v>2.97358736625015</v>
      </c>
      <c r="G3432" s="2099">
        <v>0.29857095638793701</v>
      </c>
    </row>
    <row r="3433" spans="1:7" x14ac:dyDescent="0.3">
      <c r="A3433" s="11" t="s">
        <v>1013</v>
      </c>
      <c r="B3433" s="11"/>
      <c r="C3433" s="2100">
        <v>363</v>
      </c>
      <c r="D3433" s="2100">
        <v>152422.755347564</v>
      </c>
      <c r="E3433" s="2101">
        <v>20150.653121941701</v>
      </c>
      <c r="F3433" s="2102">
        <v>2.9637482325351101</v>
      </c>
      <c r="G3433" s="2103">
        <v>0.39959231445219101</v>
      </c>
    </row>
    <row r="3434" spans="1:7" x14ac:dyDescent="0.3">
      <c r="A3434" s="6" t="s">
        <v>1001</v>
      </c>
      <c r="B3434" s="6"/>
      <c r="C3434" s="2096">
        <v>384</v>
      </c>
      <c r="D3434" s="2096">
        <v>148316.228113663</v>
      </c>
      <c r="E3434" s="2097">
        <v>11517.8167336814</v>
      </c>
      <c r="F3434" s="2098">
        <v>2.8838998345476901</v>
      </c>
      <c r="G3434" s="2099">
        <v>0.224298321469869</v>
      </c>
    </row>
    <row r="3435" spans="1:7" x14ac:dyDescent="0.3">
      <c r="A3435" s="11" t="s">
        <v>1003</v>
      </c>
      <c r="B3435" s="11"/>
      <c r="C3435" s="2100">
        <v>398</v>
      </c>
      <c r="D3435" s="2100">
        <v>147976.46396690799</v>
      </c>
      <c r="E3435" s="2101">
        <v>13070.970986980399</v>
      </c>
      <c r="F3435" s="2102">
        <v>2.87729337091876</v>
      </c>
      <c r="G3435" s="2103">
        <v>0.24113955379770499</v>
      </c>
    </row>
    <row r="3436" spans="1:7" x14ac:dyDescent="0.3">
      <c r="A3436" s="6" t="s">
        <v>1157</v>
      </c>
      <c r="B3436" s="6"/>
      <c r="C3436" s="2096">
        <v>383</v>
      </c>
      <c r="D3436" s="2096">
        <v>138723.786463711</v>
      </c>
      <c r="E3436" s="2097">
        <v>18397.8718034671</v>
      </c>
      <c r="F3436" s="2098">
        <v>2.6973818706064501</v>
      </c>
      <c r="G3436" s="2099">
        <v>0.36374526544636698</v>
      </c>
    </row>
    <row r="3437" spans="1:7" x14ac:dyDescent="0.3">
      <c r="A3437" s="11" t="s">
        <v>1009</v>
      </c>
      <c r="B3437" s="11"/>
      <c r="C3437" s="2100">
        <v>384</v>
      </c>
      <c r="D3437" s="2100">
        <v>137338.11363446101</v>
      </c>
      <c r="E3437" s="2101">
        <v>9830.1781161653198</v>
      </c>
      <c r="F3437" s="2102">
        <v>2.6704384828609702</v>
      </c>
      <c r="G3437" s="2103">
        <v>0.20017628586681199</v>
      </c>
    </row>
    <row r="3438" spans="1:7" x14ac:dyDescent="0.3">
      <c r="A3438" s="6" t="s">
        <v>1049</v>
      </c>
      <c r="B3438" s="6"/>
      <c r="C3438" s="2096">
        <v>410</v>
      </c>
      <c r="D3438" s="2096">
        <v>136326.70967916001</v>
      </c>
      <c r="E3438" s="2097">
        <v>9511.9339209124591</v>
      </c>
      <c r="F3438" s="2098">
        <v>2.65077247775521</v>
      </c>
      <c r="G3438" s="2099">
        <v>0.194237990306037</v>
      </c>
    </row>
    <row r="3439" spans="1:7" x14ac:dyDescent="0.3">
      <c r="A3439" s="11" t="s">
        <v>3032</v>
      </c>
      <c r="B3439" s="11"/>
      <c r="C3439" s="2100">
        <v>362</v>
      </c>
      <c r="D3439" s="2100">
        <v>132895.05477135701</v>
      </c>
      <c r="E3439" s="2101">
        <v>13681.945590801601</v>
      </c>
      <c r="F3439" s="2102">
        <v>2.5840464751679901</v>
      </c>
      <c r="G3439" s="2103">
        <v>0.27066487239290499</v>
      </c>
    </row>
    <row r="3440" spans="1:7" x14ac:dyDescent="0.3">
      <c r="A3440" s="6" t="s">
        <v>3040</v>
      </c>
      <c r="B3440" s="6"/>
      <c r="C3440" s="2096">
        <v>359</v>
      </c>
      <c r="D3440" s="2096">
        <v>129063.055559719</v>
      </c>
      <c r="E3440" s="2097">
        <v>13362.8770854711</v>
      </c>
      <c r="F3440" s="2098">
        <v>2.50953607240909</v>
      </c>
      <c r="G3440" s="2099">
        <v>0.26350318155081498</v>
      </c>
    </row>
    <row r="3441" spans="1:7" x14ac:dyDescent="0.3">
      <c r="A3441" s="11" t="s">
        <v>1055</v>
      </c>
      <c r="B3441" s="11"/>
      <c r="C3441" s="2100">
        <v>234</v>
      </c>
      <c r="D3441" s="2100">
        <v>92154.419626404706</v>
      </c>
      <c r="E3441" s="2101">
        <v>12623.5910206142</v>
      </c>
      <c r="F3441" s="2102">
        <v>1.79187482646711</v>
      </c>
      <c r="G3441" s="2103">
        <v>0.24343061048522499</v>
      </c>
    </row>
    <row r="3442" spans="1:7" x14ac:dyDescent="0.3">
      <c r="A3442" s="6" t="s">
        <v>960</v>
      </c>
      <c r="B3442" s="6" t="s">
        <v>961</v>
      </c>
      <c r="C3442" s="2096">
        <v>3017</v>
      </c>
      <c r="D3442" s="2096">
        <v>1406581.34810712</v>
      </c>
      <c r="E3442" s="2097">
        <v>47921.345732711503</v>
      </c>
      <c r="F3442" s="2098">
        <v>74.357601813244997</v>
      </c>
      <c r="G3442" s="2099">
        <v>0.81602985952309703</v>
      </c>
    </row>
    <row r="3443" spans="1:7" x14ac:dyDescent="0.3">
      <c r="A3443" s="11" t="s">
        <v>1146</v>
      </c>
      <c r="B3443" s="11"/>
      <c r="C3443" s="2100">
        <v>1136</v>
      </c>
      <c r="D3443" s="2100">
        <v>447807.94891722797</v>
      </c>
      <c r="E3443" s="2101">
        <v>18310.096960559102</v>
      </c>
      <c r="F3443" s="2102">
        <v>23.672946608600501</v>
      </c>
      <c r="G3443" s="2103">
        <v>0.89137829631594601</v>
      </c>
    </row>
    <row r="3444" spans="1:7" x14ac:dyDescent="0.3">
      <c r="A3444" s="6" t="s">
        <v>1147</v>
      </c>
      <c r="B3444" s="6"/>
      <c r="C3444" s="2096">
        <v>104</v>
      </c>
      <c r="D3444" s="2096">
        <v>31315.748181385199</v>
      </c>
      <c r="E3444" s="2097">
        <v>6481.9985909331999</v>
      </c>
      <c r="F3444" s="2098">
        <v>1.6554776137824601</v>
      </c>
      <c r="G3444" s="2099">
        <v>0.35031601210549701</v>
      </c>
    </row>
    <row r="3445" spans="1:7" x14ac:dyDescent="0.3">
      <c r="A3445" s="11" t="s">
        <v>974</v>
      </c>
      <c r="B3445" s="11" t="s">
        <v>975</v>
      </c>
      <c r="C3445" s="2100">
        <v>9</v>
      </c>
      <c r="D3445" s="2100">
        <v>4517.6689640465402</v>
      </c>
      <c r="E3445" s="2101">
        <v>1248.3103419710999</v>
      </c>
      <c r="F3445" s="2102">
        <v>0.23882232649017299</v>
      </c>
      <c r="G3445" s="2103">
        <v>6.6295636349744697E-2</v>
      </c>
    </row>
    <row r="3446" spans="1:7" x14ac:dyDescent="0.3">
      <c r="A3446" s="6" t="s">
        <v>956</v>
      </c>
      <c r="B3446" s="6" t="s">
        <v>957</v>
      </c>
      <c r="C3446" s="2096">
        <v>3</v>
      </c>
      <c r="D3446" s="2096">
        <v>1421.6016862654701</v>
      </c>
      <c r="E3446" s="2097">
        <v>1001.67479534315</v>
      </c>
      <c r="F3446" s="2098">
        <v>7.5151637881888694E-2</v>
      </c>
      <c r="G3446" s="2099">
        <v>5.27285718407388E-2</v>
      </c>
    </row>
    <row r="3447" spans="1:7" x14ac:dyDescent="0.3">
      <c r="A3447" s="11" t="s">
        <v>6269</v>
      </c>
      <c r="B3447" s="11" t="s">
        <v>6270</v>
      </c>
      <c r="C3447" s="2100">
        <v>12720</v>
      </c>
      <c r="D3447" s="2100">
        <v>5142904.9766884502</v>
      </c>
      <c r="E3447" s="2101">
        <v>63810.113512875498</v>
      </c>
      <c r="F3447" s="2102">
        <v>73.109232202539403</v>
      </c>
      <c r="G3447" s="2103">
        <v>0.79281872020867805</v>
      </c>
    </row>
    <row r="3448" spans="1:7" x14ac:dyDescent="0.3">
      <c r="A3448" s="6" t="s">
        <v>6269</v>
      </c>
      <c r="B3448" s="6" t="s">
        <v>6271</v>
      </c>
      <c r="C3448" s="2096">
        <v>16989</v>
      </c>
      <c r="D3448" s="2096">
        <v>7034549.2925445</v>
      </c>
      <c r="E3448" s="2097">
        <v>0</v>
      </c>
      <c r="F3448" s="2098">
        <v>100</v>
      </c>
      <c r="G3448" s="2099">
        <v>0</v>
      </c>
    </row>
    <row r="3449" spans="1:7" x14ac:dyDescent="0.3">
      <c r="A3449" s="3299" t="s">
        <v>231</v>
      </c>
      <c r="B3449" s="3298"/>
      <c r="C3449" s="3298"/>
      <c r="D3449" s="3298"/>
      <c r="E3449" s="3298"/>
      <c r="F3449" s="3298"/>
      <c r="G3449" s="3298"/>
    </row>
    <row r="3450" spans="1:7" x14ac:dyDescent="0.3">
      <c r="A3450" s="11" t="s">
        <v>968</v>
      </c>
      <c r="B3450" s="11" t="s">
        <v>1196</v>
      </c>
      <c r="C3450" s="2108">
        <v>228</v>
      </c>
      <c r="D3450" s="2108">
        <v>89870.9332344508</v>
      </c>
      <c r="E3450" s="2109">
        <v>7017.6795782240397</v>
      </c>
      <c r="F3450" s="2110">
        <v>70.261034146658602</v>
      </c>
      <c r="G3450" s="2111">
        <v>4.1318727216011597</v>
      </c>
    </row>
    <row r="3451" spans="1:7" x14ac:dyDescent="0.3">
      <c r="A3451" s="6" t="s">
        <v>966</v>
      </c>
      <c r="B3451" s="6" t="s">
        <v>1195</v>
      </c>
      <c r="C3451" s="2104">
        <v>61</v>
      </c>
      <c r="D3451" s="2104">
        <v>30145.233563312198</v>
      </c>
      <c r="E3451" s="2105">
        <v>4680.9542956502801</v>
      </c>
      <c r="F3451" s="2106">
        <v>23.567522985718298</v>
      </c>
      <c r="G3451" s="2107">
        <v>2.5823633947924001</v>
      </c>
    </row>
    <row r="3452" spans="1:7" x14ac:dyDescent="0.3">
      <c r="A3452" s="11" t="s">
        <v>964</v>
      </c>
      <c r="B3452" s="11" t="s">
        <v>1194</v>
      </c>
      <c r="C3452" s="2108">
        <v>11</v>
      </c>
      <c r="D3452" s="2108">
        <v>5147.1563023273202</v>
      </c>
      <c r="E3452" s="2109">
        <v>3603.6914003646102</v>
      </c>
      <c r="F3452" s="2110">
        <v>4.0240432774028099</v>
      </c>
      <c r="G3452" s="2111">
        <v>2.7949920013463201</v>
      </c>
    </row>
    <row r="3453" spans="1:7" x14ac:dyDescent="0.3">
      <c r="A3453" s="6" t="s">
        <v>983</v>
      </c>
      <c r="B3453" s="6" t="s">
        <v>1151</v>
      </c>
      <c r="C3453" s="2104">
        <v>4</v>
      </c>
      <c r="D3453" s="2104">
        <v>2246.2433421220499</v>
      </c>
      <c r="E3453" s="2105">
        <v>1412.8573627333701</v>
      </c>
      <c r="F3453" s="2106">
        <v>1.7561115088325601</v>
      </c>
      <c r="G3453" s="2107">
        <v>1.07631637320232</v>
      </c>
    </row>
    <row r="3454" spans="1:7" x14ac:dyDescent="0.3">
      <c r="A3454" s="11" t="s">
        <v>962</v>
      </c>
      <c r="B3454" s="11" t="s">
        <v>1193</v>
      </c>
      <c r="C3454" s="2108">
        <v>1</v>
      </c>
      <c r="D3454" s="2108">
        <v>500.49683248944302</v>
      </c>
      <c r="E3454" s="2109">
        <v>503.25859185172402</v>
      </c>
      <c r="F3454" s="2110">
        <v>0.39128808138775401</v>
      </c>
      <c r="G3454" s="2111">
        <v>0.39467690215457801</v>
      </c>
    </row>
    <row r="3455" spans="1:7" x14ac:dyDescent="0.3">
      <c r="A3455" s="6" t="s">
        <v>960</v>
      </c>
      <c r="B3455" s="6" t="s">
        <v>961</v>
      </c>
      <c r="C3455" s="2104">
        <v>16682</v>
      </c>
      <c r="D3455" s="2104">
        <v>6906052.4855194399</v>
      </c>
      <c r="E3455" s="2105">
        <v>30492.801929797599</v>
      </c>
      <c r="F3455" s="2106">
        <v>99.991504641681104</v>
      </c>
      <c r="G3455" s="2107">
        <v>5.5519073547120696E-3</v>
      </c>
    </row>
    <row r="3456" spans="1:7" x14ac:dyDescent="0.3">
      <c r="A3456" s="11" t="s">
        <v>974</v>
      </c>
      <c r="B3456" s="11" t="s">
        <v>975</v>
      </c>
      <c r="C3456" s="2108">
        <v>2</v>
      </c>
      <c r="D3456" s="2108">
        <v>586.74375032077899</v>
      </c>
      <c r="E3456" s="2109">
        <v>383.315423393841</v>
      </c>
      <c r="F3456" s="2110">
        <v>8.4953583189086804E-3</v>
      </c>
      <c r="G3456" s="2111">
        <v>5.5519073547172599E-3</v>
      </c>
    </row>
    <row r="3457" spans="1:7" x14ac:dyDescent="0.3">
      <c r="A3457" s="6" t="s">
        <v>6269</v>
      </c>
      <c r="B3457" s="6" t="s">
        <v>6270</v>
      </c>
      <c r="C3457" s="2104">
        <v>305</v>
      </c>
      <c r="D3457" s="2104">
        <v>127910.063274702</v>
      </c>
      <c r="E3457" s="2105">
        <v>9593.4275477449792</v>
      </c>
      <c r="F3457" s="2106">
        <v>1.81831213280809</v>
      </c>
      <c r="G3457" s="2107">
        <v>0.138676039662288</v>
      </c>
    </row>
    <row r="3458" spans="1:7" x14ac:dyDescent="0.3">
      <c r="A3458" s="11" t="s">
        <v>6269</v>
      </c>
      <c r="B3458" s="11" t="s">
        <v>6271</v>
      </c>
      <c r="C3458" s="2108">
        <v>16989</v>
      </c>
      <c r="D3458" s="2108">
        <v>7034549.2925444599</v>
      </c>
      <c r="E3458" s="2109">
        <v>0</v>
      </c>
      <c r="F3458" s="2110">
        <v>100</v>
      </c>
      <c r="G3458" s="2111">
        <v>0</v>
      </c>
    </row>
    <row r="3459" spans="1:7" x14ac:dyDescent="0.3">
      <c r="A3459" s="3299" t="s">
        <v>234</v>
      </c>
      <c r="B3459" s="3298"/>
      <c r="C3459" s="3298"/>
      <c r="D3459" s="3298"/>
      <c r="E3459" s="3298"/>
      <c r="F3459" s="3298"/>
      <c r="G3459" s="3298"/>
    </row>
    <row r="3460" spans="1:7" x14ac:dyDescent="0.3">
      <c r="A3460" s="11" t="s">
        <v>6648</v>
      </c>
      <c r="B3460" s="11"/>
      <c r="C3460" s="2116">
        <v>1</v>
      </c>
      <c r="D3460" s="2116">
        <v>1194.01953955569</v>
      </c>
      <c r="E3460" s="2117">
        <v>1209.81480338601</v>
      </c>
      <c r="F3460" s="2118">
        <v>53.156286194161403</v>
      </c>
      <c r="G3460" s="2119">
        <v>62.0426302476071</v>
      </c>
    </row>
    <row r="3461" spans="1:7" x14ac:dyDescent="0.3">
      <c r="A3461" s="6" t="s">
        <v>6664</v>
      </c>
      <c r="B3461" s="6"/>
      <c r="C3461" s="2112">
        <v>1</v>
      </c>
      <c r="D3461" s="2112">
        <v>970.25368302352604</v>
      </c>
      <c r="E3461" s="2113">
        <v>981.01440604787001</v>
      </c>
      <c r="F3461" s="2114">
        <v>43.194504568098999</v>
      </c>
      <c r="G3461" s="2115">
        <v>60.607790195602398</v>
      </c>
    </row>
    <row r="3462" spans="1:7" x14ac:dyDescent="0.3">
      <c r="A3462" s="11" t="s">
        <v>6665</v>
      </c>
      <c r="B3462" s="11"/>
      <c r="C3462" s="2116">
        <v>1</v>
      </c>
      <c r="D3462" s="2116">
        <v>81.970119542830105</v>
      </c>
      <c r="E3462" s="2117">
        <v>81.635044811654595</v>
      </c>
      <c r="F3462" s="2118">
        <v>3.6492092377396701</v>
      </c>
      <c r="G3462" s="2119">
        <v>5.5562328394924299</v>
      </c>
    </row>
    <row r="3463" spans="1:7" x14ac:dyDescent="0.3">
      <c r="A3463" s="6" t="s">
        <v>960</v>
      </c>
      <c r="B3463" s="6" t="s">
        <v>961</v>
      </c>
      <c r="C3463" s="2112">
        <v>16985</v>
      </c>
      <c r="D3463" s="2112">
        <v>7032303.04920235</v>
      </c>
      <c r="E3463" s="2113">
        <v>26420.213377091299</v>
      </c>
      <c r="F3463" s="2114">
        <v>100</v>
      </c>
      <c r="G3463" s="2115">
        <v>0</v>
      </c>
    </row>
    <row r="3464" spans="1:7" x14ac:dyDescent="0.3">
      <c r="A3464" s="11" t="s">
        <v>6269</v>
      </c>
      <c r="B3464" s="11" t="s">
        <v>6270</v>
      </c>
      <c r="C3464" s="2116">
        <v>3</v>
      </c>
      <c r="D3464" s="2116">
        <v>2246.2433421220499</v>
      </c>
      <c r="E3464" s="2117">
        <v>1412.8573627333701</v>
      </c>
      <c r="F3464" s="2118">
        <v>3.1931588630741602E-2</v>
      </c>
      <c r="G3464" s="2119">
        <v>2.0098271880312699E-2</v>
      </c>
    </row>
    <row r="3465" spans="1:7" x14ac:dyDescent="0.3">
      <c r="A3465" s="6" t="s">
        <v>6269</v>
      </c>
      <c r="B3465" s="6" t="s">
        <v>6271</v>
      </c>
      <c r="C3465" s="2112">
        <v>16988</v>
      </c>
      <c r="D3465" s="2112">
        <v>7034549.2925444702</v>
      </c>
      <c r="E3465" s="2113">
        <v>0</v>
      </c>
      <c r="F3465" s="2114">
        <v>100</v>
      </c>
      <c r="G3465" s="2115">
        <v>0</v>
      </c>
    </row>
    <row r="3466" spans="1:7" x14ac:dyDescent="0.3">
      <c r="A3466" s="3299" t="s">
        <v>794</v>
      </c>
      <c r="B3466" s="3298"/>
      <c r="C3466" s="3298"/>
      <c r="D3466" s="3298"/>
      <c r="E3466" s="3298"/>
      <c r="F3466" s="3298"/>
      <c r="G3466" s="3298"/>
    </row>
    <row r="3467" spans="1:7" x14ac:dyDescent="0.3">
      <c r="A3467" s="11" t="s">
        <v>962</v>
      </c>
      <c r="B3467" s="11" t="s">
        <v>1039</v>
      </c>
      <c r="C3467" s="2124">
        <v>14538</v>
      </c>
      <c r="D3467" s="2124">
        <v>5855062.6126723699</v>
      </c>
      <c r="E3467" s="2125">
        <v>40018.679087704797</v>
      </c>
      <c r="F3467" s="2126">
        <v>83.655575730444596</v>
      </c>
      <c r="G3467" s="2127">
        <v>0.52785112967029202</v>
      </c>
    </row>
    <row r="3468" spans="1:7" x14ac:dyDescent="0.3">
      <c r="A3468" s="6" t="s">
        <v>964</v>
      </c>
      <c r="B3468" s="6" t="s">
        <v>1040</v>
      </c>
      <c r="C3468" s="2120">
        <v>2373</v>
      </c>
      <c r="D3468" s="2120">
        <v>1143947.98709755</v>
      </c>
      <c r="E3468" s="2121">
        <v>37603.932382438703</v>
      </c>
      <c r="F3468" s="2122">
        <v>16.3444242695554</v>
      </c>
      <c r="G3468" s="2123">
        <v>0.52785112967029002</v>
      </c>
    </row>
    <row r="3469" spans="1:7" x14ac:dyDescent="0.3">
      <c r="A3469" s="11" t="s">
        <v>974</v>
      </c>
      <c r="B3469" s="11" t="s">
        <v>975</v>
      </c>
      <c r="C3469" s="2124">
        <v>71</v>
      </c>
      <c r="D3469" s="2124">
        <v>32112.265347639001</v>
      </c>
      <c r="E3469" s="2125">
        <v>11810.3892173731</v>
      </c>
      <c r="F3469" s="2126">
        <v>90.358600276351694</v>
      </c>
      <c r="G3469" s="2127">
        <v>7.17483012181739</v>
      </c>
    </row>
    <row r="3470" spans="1:7" x14ac:dyDescent="0.3">
      <c r="A3470" s="6" t="s">
        <v>956</v>
      </c>
      <c r="B3470" s="6" t="s">
        <v>1025</v>
      </c>
      <c r="C3470" s="2120">
        <v>3</v>
      </c>
      <c r="D3470" s="2120">
        <v>2265.7175238782902</v>
      </c>
      <c r="E3470" s="2121">
        <v>1724.5935596035399</v>
      </c>
      <c r="F3470" s="2122">
        <v>6.3753541477974904</v>
      </c>
      <c r="G3470" s="2123">
        <v>5.9145930196375502</v>
      </c>
    </row>
    <row r="3471" spans="1:7" x14ac:dyDescent="0.3">
      <c r="A3471" s="11" t="s">
        <v>958</v>
      </c>
      <c r="B3471" s="11" t="s">
        <v>1019</v>
      </c>
      <c r="C3471" s="2124">
        <v>4</v>
      </c>
      <c r="D3471" s="2124">
        <v>1160.70990307994</v>
      </c>
      <c r="E3471" s="2125">
        <v>927.899143282061</v>
      </c>
      <c r="F3471" s="2126">
        <v>3.2660455758507898</v>
      </c>
      <c r="G3471" s="2127">
        <v>2.9546779108628498</v>
      </c>
    </row>
    <row r="3472" spans="1:7" x14ac:dyDescent="0.3">
      <c r="A3472" s="6" t="s">
        <v>6269</v>
      </c>
      <c r="B3472" s="6" t="s">
        <v>6270</v>
      </c>
      <c r="C3472" s="2120">
        <v>16911</v>
      </c>
      <c r="D3472" s="2120">
        <v>6999010.5997699201</v>
      </c>
      <c r="E3472" s="2121">
        <v>24014.912978555101</v>
      </c>
      <c r="F3472" s="2122">
        <v>99.494797871240095</v>
      </c>
      <c r="G3472" s="2123">
        <v>0.169501523667686</v>
      </c>
    </row>
    <row r="3473" spans="1:7" x14ac:dyDescent="0.3">
      <c r="A3473" s="11" t="s">
        <v>6269</v>
      </c>
      <c r="B3473" s="11" t="s">
        <v>6271</v>
      </c>
      <c r="C3473" s="2124">
        <v>16989</v>
      </c>
      <c r="D3473" s="2124">
        <v>7034549.2925445205</v>
      </c>
      <c r="E3473" s="2125">
        <v>0</v>
      </c>
      <c r="F3473" s="2126">
        <v>100</v>
      </c>
      <c r="G3473" s="2127">
        <v>0</v>
      </c>
    </row>
    <row r="3474" spans="1:7" x14ac:dyDescent="0.3">
      <c r="A3474" s="3299" t="s">
        <v>791</v>
      </c>
      <c r="B3474" s="3298"/>
      <c r="C3474" s="3298"/>
      <c r="D3474" s="3298"/>
      <c r="E3474" s="3298"/>
      <c r="F3474" s="3298"/>
      <c r="G3474" s="3298"/>
    </row>
    <row r="3475" spans="1:7" x14ac:dyDescent="0.3">
      <c r="A3475" s="11" t="s">
        <v>1146</v>
      </c>
      <c r="B3475" s="11" t="s">
        <v>1025</v>
      </c>
      <c r="C3475" s="2132">
        <v>4018</v>
      </c>
      <c r="D3475" s="2132">
        <v>1798671.73639781</v>
      </c>
      <c r="E3475" s="2133">
        <v>44536.886565820503</v>
      </c>
      <c r="F3475" s="2134">
        <v>57.646024348120299</v>
      </c>
      <c r="G3475" s="2135">
        <v>1.4847598924909999</v>
      </c>
    </row>
    <row r="3476" spans="1:7" x14ac:dyDescent="0.3">
      <c r="A3476" s="6" t="s">
        <v>960</v>
      </c>
      <c r="B3476" s="6" t="s">
        <v>961</v>
      </c>
      <c r="C3476" s="2128">
        <v>2451</v>
      </c>
      <c r="D3476" s="2128">
        <v>1179486.6798721401</v>
      </c>
      <c r="E3476" s="2129">
        <v>41980.587958932701</v>
      </c>
      <c r="F3476" s="2130">
        <v>37.801626884048197</v>
      </c>
      <c r="G3476" s="2131">
        <v>1.03254662554777</v>
      </c>
    </row>
    <row r="3477" spans="1:7" x14ac:dyDescent="0.3">
      <c r="A3477" s="11" t="s">
        <v>1147</v>
      </c>
      <c r="B3477" s="11" t="s">
        <v>959</v>
      </c>
      <c r="C3477" s="2132">
        <v>308</v>
      </c>
      <c r="D3477" s="2132">
        <v>138544.547889201</v>
      </c>
      <c r="E3477" s="2133">
        <v>20808.179518052901</v>
      </c>
      <c r="F3477" s="2134">
        <v>4.44024455341407</v>
      </c>
      <c r="G3477" s="2135">
        <v>0.64481085973505303</v>
      </c>
    </row>
    <row r="3478" spans="1:7" x14ac:dyDescent="0.3">
      <c r="A3478" s="6" t="s">
        <v>956</v>
      </c>
      <c r="B3478" s="6" t="s">
        <v>1025</v>
      </c>
      <c r="C3478" s="2128">
        <v>5</v>
      </c>
      <c r="D3478" s="2128">
        <v>3406.1695836212798</v>
      </c>
      <c r="E3478" s="2129">
        <v>2358.2606624957202</v>
      </c>
      <c r="F3478" s="2130">
        <v>0.109165074859347</v>
      </c>
      <c r="G3478" s="2131">
        <v>7.5304370483292499E-2</v>
      </c>
    </row>
    <row r="3479" spans="1:7" x14ac:dyDescent="0.3">
      <c r="A3479" s="11" t="s">
        <v>974</v>
      </c>
      <c r="B3479" s="11" t="s">
        <v>975</v>
      </c>
      <c r="C3479" s="2132">
        <v>1</v>
      </c>
      <c r="D3479" s="2132">
        <v>91.707057202489693</v>
      </c>
      <c r="E3479" s="2133">
        <v>92.187004882798604</v>
      </c>
      <c r="F3479" s="2134">
        <v>2.9391395580477199E-3</v>
      </c>
      <c r="G3479" s="2135">
        <v>2.9541147291935301E-3</v>
      </c>
    </row>
    <row r="3480" spans="1:7" x14ac:dyDescent="0.3">
      <c r="A3480" s="6" t="s">
        <v>6269</v>
      </c>
      <c r="B3480" s="6" t="s">
        <v>6270</v>
      </c>
      <c r="C3480" s="2128">
        <v>10156</v>
      </c>
      <c r="D3480" s="2128">
        <v>3914348.4517445299</v>
      </c>
      <c r="E3480" s="2129">
        <v>48931.898833161104</v>
      </c>
      <c r="F3480" s="2130">
        <v>55.644623258139802</v>
      </c>
      <c r="G3480" s="2131">
        <v>0.66726405263940802</v>
      </c>
    </row>
    <row r="3481" spans="1:7" x14ac:dyDescent="0.3">
      <c r="A3481" s="11" t="s">
        <v>6269</v>
      </c>
      <c r="B3481" s="11" t="s">
        <v>6271</v>
      </c>
      <c r="C3481" s="2132">
        <v>16939</v>
      </c>
      <c r="D3481" s="2132">
        <v>7034549.2925445102</v>
      </c>
      <c r="E3481" s="2133">
        <v>0</v>
      </c>
      <c r="F3481" s="2134">
        <v>100</v>
      </c>
      <c r="G3481" s="2135">
        <v>0</v>
      </c>
    </row>
    <row r="3482" spans="1:7" x14ac:dyDescent="0.3">
      <c r="A3482" s="3299" t="s">
        <v>812</v>
      </c>
      <c r="B3482" s="3298"/>
      <c r="C3482" s="3298"/>
      <c r="D3482" s="3298"/>
      <c r="E3482" s="3298"/>
      <c r="F3482" s="3298"/>
      <c r="G3482" s="3298"/>
    </row>
    <row r="3483" spans="1:7" x14ac:dyDescent="0.3">
      <c r="A3483" s="11" t="s">
        <v>962</v>
      </c>
      <c r="B3483" s="11" t="s">
        <v>1039</v>
      </c>
      <c r="C3483" s="2140">
        <v>2133</v>
      </c>
      <c r="D3483" s="2140">
        <v>775663.80101360404</v>
      </c>
      <c r="E3483" s="2141">
        <v>34858.792307321797</v>
      </c>
      <c r="F3483" s="2142">
        <v>100</v>
      </c>
      <c r="G3483" s="2143">
        <v>0</v>
      </c>
    </row>
    <row r="3484" spans="1:7" x14ac:dyDescent="0.3">
      <c r="A3484" s="6" t="s">
        <v>960</v>
      </c>
      <c r="B3484" s="6" t="s">
        <v>961</v>
      </c>
      <c r="C3484" s="2136">
        <v>14854</v>
      </c>
      <c r="D3484" s="2136">
        <v>6258000.6187372096</v>
      </c>
      <c r="E3484" s="2137">
        <v>45993.7846679266</v>
      </c>
      <c r="F3484" s="2138">
        <v>99.985862134802403</v>
      </c>
      <c r="G3484" s="2139">
        <v>8.9586295229910507E-3</v>
      </c>
    </row>
    <row r="3485" spans="1:7" x14ac:dyDescent="0.3">
      <c r="A3485" s="11" t="s">
        <v>956</v>
      </c>
      <c r="B3485" s="11" t="s">
        <v>1025</v>
      </c>
      <c r="C3485" s="2140">
        <v>1</v>
      </c>
      <c r="D3485" s="2140">
        <v>487.33381513286002</v>
      </c>
      <c r="E3485" s="2141">
        <v>488.83194882961499</v>
      </c>
      <c r="F3485" s="2142">
        <v>7.7862714662584702E-3</v>
      </c>
      <c r="G3485" s="2143">
        <v>7.8065551855214096E-3</v>
      </c>
    </row>
    <row r="3486" spans="1:7" x14ac:dyDescent="0.3">
      <c r="A3486" s="6" t="s">
        <v>974</v>
      </c>
      <c r="B3486" s="6" t="s">
        <v>975</v>
      </c>
      <c r="C3486" s="2136">
        <v>1</v>
      </c>
      <c r="D3486" s="2136">
        <v>397.53897853130701</v>
      </c>
      <c r="E3486" s="2137">
        <v>398.663208876037</v>
      </c>
      <c r="F3486" s="2138">
        <v>6.35159373133174E-3</v>
      </c>
      <c r="G3486" s="2139">
        <v>6.3659864343975298E-3</v>
      </c>
    </row>
    <row r="3487" spans="1:7" x14ac:dyDescent="0.3">
      <c r="A3487" s="11" t="s">
        <v>6269</v>
      </c>
      <c r="B3487" s="11" t="s">
        <v>6270</v>
      </c>
      <c r="C3487" s="2140">
        <v>2133</v>
      </c>
      <c r="D3487" s="2140">
        <v>775663.80101360404</v>
      </c>
      <c r="E3487" s="2141">
        <v>34858.792307321797</v>
      </c>
      <c r="F3487" s="2142">
        <v>11.026488958371299</v>
      </c>
      <c r="G3487" s="2143">
        <v>0.50269735176421504</v>
      </c>
    </row>
    <row r="3488" spans="1:7" x14ac:dyDescent="0.3">
      <c r="A3488" s="6" t="s">
        <v>6269</v>
      </c>
      <c r="B3488" s="6" t="s">
        <v>6271</v>
      </c>
      <c r="C3488" s="2136">
        <v>16989</v>
      </c>
      <c r="D3488" s="2136">
        <v>7034549.2925444804</v>
      </c>
      <c r="E3488" s="2137">
        <v>0</v>
      </c>
      <c r="F3488" s="2138">
        <v>100</v>
      </c>
      <c r="G3488" s="2139">
        <v>0</v>
      </c>
    </row>
    <row r="3489" spans="1:7" x14ac:dyDescent="0.3">
      <c r="A3489" s="3299" t="s">
        <v>789</v>
      </c>
      <c r="B3489" s="3298"/>
      <c r="C3489" s="3298"/>
      <c r="D3489" s="3298"/>
      <c r="E3489" s="3298"/>
      <c r="F3489" s="3298"/>
      <c r="G3489" s="3298"/>
    </row>
    <row r="3490" spans="1:7" x14ac:dyDescent="0.3">
      <c r="A3490" s="11" t="s">
        <v>962</v>
      </c>
      <c r="B3490" s="11" t="s">
        <v>1141</v>
      </c>
      <c r="C3490" s="2148">
        <v>1962</v>
      </c>
      <c r="D3490" s="2148">
        <v>833428.78278097406</v>
      </c>
      <c r="E3490" s="2149">
        <v>46452.640986461702</v>
      </c>
      <c r="F3490" s="2150">
        <v>44.0004988618971</v>
      </c>
      <c r="G3490" s="2151">
        <v>1.86703533586394</v>
      </c>
    </row>
    <row r="3491" spans="1:7" x14ac:dyDescent="0.3">
      <c r="A3491" s="6" t="s">
        <v>964</v>
      </c>
      <c r="B3491" s="6" t="s">
        <v>1142</v>
      </c>
      <c r="C3491" s="2144">
        <v>1142</v>
      </c>
      <c r="D3491" s="2144">
        <v>491376.08088412101</v>
      </c>
      <c r="E3491" s="2145">
        <v>16341.2889433244</v>
      </c>
      <c r="F3491" s="2146">
        <v>25.9419798480696</v>
      </c>
      <c r="G3491" s="2147">
        <v>1.06106528926154</v>
      </c>
    </row>
    <row r="3492" spans="1:7" x14ac:dyDescent="0.3">
      <c r="A3492" s="11" t="s">
        <v>966</v>
      </c>
      <c r="B3492" s="11" t="s">
        <v>1143</v>
      </c>
      <c r="C3492" s="2148">
        <v>633</v>
      </c>
      <c r="D3492" s="2148">
        <v>312435.47738421097</v>
      </c>
      <c r="E3492" s="2149">
        <v>19267.023824077402</v>
      </c>
      <c r="F3492" s="2150">
        <v>16.494890926598899</v>
      </c>
      <c r="G3492" s="2151">
        <v>1.1720144921979301</v>
      </c>
    </row>
    <row r="3493" spans="1:7" x14ac:dyDescent="0.3">
      <c r="A3493" s="6" t="s">
        <v>968</v>
      </c>
      <c r="B3493" s="6" t="s">
        <v>1144</v>
      </c>
      <c r="C3493" s="2144">
        <v>288</v>
      </c>
      <c r="D3493" s="2144">
        <v>152577.460069867</v>
      </c>
      <c r="E3493" s="2145">
        <v>14573.039320481401</v>
      </c>
      <c r="F3493" s="2146">
        <v>8.0552585858072803</v>
      </c>
      <c r="G3493" s="2147">
        <v>0.74005301186300798</v>
      </c>
    </row>
    <row r="3494" spans="1:7" x14ac:dyDescent="0.3">
      <c r="A3494" s="11" t="s">
        <v>970</v>
      </c>
      <c r="B3494" s="11" t="s">
        <v>6109</v>
      </c>
      <c r="C3494" s="2148">
        <v>196</v>
      </c>
      <c r="D3494" s="2148">
        <v>104317.048117033</v>
      </c>
      <c r="E3494" s="2149">
        <v>8813.2637880293805</v>
      </c>
      <c r="F3494" s="2150">
        <v>5.5073717776270001</v>
      </c>
      <c r="G3494" s="2151">
        <v>0.437889643942939</v>
      </c>
    </row>
    <row r="3495" spans="1:7" x14ac:dyDescent="0.3">
      <c r="A3495" s="6" t="s">
        <v>960</v>
      </c>
      <c r="B3495" s="6" t="s">
        <v>961</v>
      </c>
      <c r="C3495" s="2144">
        <v>12658</v>
      </c>
      <c r="D3495" s="2144">
        <v>5093926.8386738701</v>
      </c>
      <c r="E3495" s="2145">
        <v>46605.531739525701</v>
      </c>
      <c r="F3495" s="2146">
        <v>99.0956448133295</v>
      </c>
      <c r="G3495" s="2147">
        <v>0.26833070697848199</v>
      </c>
    </row>
    <row r="3496" spans="1:7" x14ac:dyDescent="0.3">
      <c r="A3496" s="11" t="s">
        <v>956</v>
      </c>
      <c r="B3496" s="11" t="s">
        <v>957</v>
      </c>
      <c r="C3496" s="2148">
        <v>69</v>
      </c>
      <c r="D3496" s="2148">
        <v>25500.013109751999</v>
      </c>
      <c r="E3496" s="2149">
        <v>5972.3045862961599</v>
      </c>
      <c r="F3496" s="2150">
        <v>0.49606920591680098</v>
      </c>
      <c r="G3496" s="2151">
        <v>0.117213587224672</v>
      </c>
    </row>
    <row r="3497" spans="1:7" x14ac:dyDescent="0.3">
      <c r="A3497" s="6" t="s">
        <v>958</v>
      </c>
      <c r="B3497" s="6" t="s">
        <v>959</v>
      </c>
      <c r="C3497" s="2144">
        <v>41</v>
      </c>
      <c r="D3497" s="2144">
        <v>20987.591524667299</v>
      </c>
      <c r="E3497" s="2145">
        <v>8880.6531404220295</v>
      </c>
      <c r="F3497" s="2146">
        <v>0.40828598075372302</v>
      </c>
      <c r="G3497" s="2147">
        <v>0.17280795758624101</v>
      </c>
    </row>
    <row r="3498" spans="1:7" x14ac:dyDescent="0.3">
      <c r="A3498" s="11" t="s">
        <v>6269</v>
      </c>
      <c r="B3498" s="11" t="s">
        <v>6270</v>
      </c>
      <c r="C3498" s="2148">
        <v>4221</v>
      </c>
      <c r="D3498" s="2148">
        <v>1894134.8492362101</v>
      </c>
      <c r="E3498" s="2149">
        <v>34898.880011470603</v>
      </c>
      <c r="F3498" s="2150">
        <v>26.9261721037862</v>
      </c>
      <c r="G3498" s="2151">
        <v>0.50582517597097998</v>
      </c>
    </row>
    <row r="3499" spans="1:7" x14ac:dyDescent="0.3">
      <c r="A3499" s="6" t="s">
        <v>6269</v>
      </c>
      <c r="B3499" s="6" t="s">
        <v>6271</v>
      </c>
      <c r="C3499" s="2144">
        <v>16989</v>
      </c>
      <c r="D3499" s="2144">
        <v>7034549.2925445</v>
      </c>
      <c r="E3499" s="2145">
        <v>0</v>
      </c>
      <c r="F3499" s="2146">
        <v>100</v>
      </c>
      <c r="G3499" s="2147">
        <v>0</v>
      </c>
    </row>
    <row r="3500" spans="1:7" x14ac:dyDescent="0.3">
      <c r="A3500" s="3299" t="s">
        <v>797</v>
      </c>
      <c r="B3500" s="3298"/>
      <c r="C3500" s="3298"/>
      <c r="D3500" s="3298"/>
      <c r="E3500" s="3298"/>
      <c r="F3500" s="3298"/>
      <c r="G3500" s="3298"/>
    </row>
    <row r="3501" spans="1:7" x14ac:dyDescent="0.3">
      <c r="A3501" s="11" t="s">
        <v>972</v>
      </c>
      <c r="B3501" s="11"/>
      <c r="C3501" s="2156">
        <v>290</v>
      </c>
      <c r="D3501" s="2156">
        <v>141720.715121727</v>
      </c>
      <c r="E3501" s="2157">
        <v>9031.2886388319293</v>
      </c>
      <c r="F3501" s="2158">
        <v>12.743061479344</v>
      </c>
      <c r="G3501" s="2159">
        <v>1.0432617559208599</v>
      </c>
    </row>
    <row r="3502" spans="1:7" x14ac:dyDescent="0.3">
      <c r="A3502" s="6" t="s">
        <v>962</v>
      </c>
      <c r="B3502" s="6"/>
      <c r="C3502" s="2152">
        <v>240</v>
      </c>
      <c r="D3502" s="2152">
        <v>126474.695341964</v>
      </c>
      <c r="E3502" s="2153">
        <v>19255.3356081407</v>
      </c>
      <c r="F3502" s="2154">
        <v>11.372189428621301</v>
      </c>
      <c r="G3502" s="2155">
        <v>1.4948367539866501</v>
      </c>
    </row>
    <row r="3503" spans="1:7" x14ac:dyDescent="0.3">
      <c r="A3503" s="11" t="s">
        <v>966</v>
      </c>
      <c r="B3503" s="11"/>
      <c r="C3503" s="2156">
        <v>251</v>
      </c>
      <c r="D3503" s="2156">
        <v>123910.71651525699</v>
      </c>
      <c r="E3503" s="2157">
        <v>6873.5430914940398</v>
      </c>
      <c r="F3503" s="2158">
        <v>11.141644869257499</v>
      </c>
      <c r="G3503" s="2159">
        <v>0.680219063411869</v>
      </c>
    </row>
    <row r="3504" spans="1:7" x14ac:dyDescent="0.3">
      <c r="A3504" s="6" t="s">
        <v>964</v>
      </c>
      <c r="B3504" s="6"/>
      <c r="C3504" s="2152">
        <v>236</v>
      </c>
      <c r="D3504" s="2152">
        <v>106774.37841785399</v>
      </c>
      <c r="E3504" s="2153">
        <v>6868.8309301509398</v>
      </c>
      <c r="F3504" s="2154">
        <v>9.6008016007312396</v>
      </c>
      <c r="G3504" s="2155">
        <v>0.71424484149743805</v>
      </c>
    </row>
    <row r="3505" spans="1:7" x14ac:dyDescent="0.3">
      <c r="A3505" s="11" t="s">
        <v>995</v>
      </c>
      <c r="B3505" s="11"/>
      <c r="C3505" s="2156">
        <v>206</v>
      </c>
      <c r="D3505" s="2156">
        <v>104343.49087012401</v>
      </c>
      <c r="E3505" s="2157">
        <v>12230.1045832199</v>
      </c>
      <c r="F3505" s="2158">
        <v>9.3822241722763309</v>
      </c>
      <c r="G3505" s="2159">
        <v>1.0794648501761701</v>
      </c>
    </row>
    <row r="3506" spans="1:7" x14ac:dyDescent="0.3">
      <c r="A3506" s="6" t="s">
        <v>970</v>
      </c>
      <c r="B3506" s="6"/>
      <c r="C3506" s="2152">
        <v>180</v>
      </c>
      <c r="D3506" s="2152">
        <v>95478.531277830698</v>
      </c>
      <c r="E3506" s="2153">
        <v>7891.0641794753601</v>
      </c>
      <c r="F3506" s="2154">
        <v>8.5851161066032091</v>
      </c>
      <c r="G3506" s="2155">
        <v>0.84354743964874701</v>
      </c>
    </row>
    <row r="3507" spans="1:7" x14ac:dyDescent="0.3">
      <c r="A3507" s="11" t="s">
        <v>968</v>
      </c>
      <c r="B3507" s="11"/>
      <c r="C3507" s="2156">
        <v>210</v>
      </c>
      <c r="D3507" s="2156">
        <v>85306.570107317704</v>
      </c>
      <c r="E3507" s="2157">
        <v>6727.6051532771098</v>
      </c>
      <c r="F3507" s="2158">
        <v>7.6704867494904398</v>
      </c>
      <c r="G3507" s="2159">
        <v>0.63023096962601399</v>
      </c>
    </row>
    <row r="3508" spans="1:7" x14ac:dyDescent="0.3">
      <c r="A3508" s="6" t="s">
        <v>981</v>
      </c>
      <c r="B3508" s="6"/>
      <c r="C3508" s="2152">
        <v>162</v>
      </c>
      <c r="D3508" s="2152">
        <v>79801.012962099499</v>
      </c>
      <c r="E3508" s="2153">
        <v>9256.5194318628201</v>
      </c>
      <c r="F3508" s="2154">
        <v>7.1754451239997996</v>
      </c>
      <c r="G3508" s="2155">
        <v>0.80154280116888199</v>
      </c>
    </row>
    <row r="3509" spans="1:7" x14ac:dyDescent="0.3">
      <c r="A3509" s="11" t="s">
        <v>991</v>
      </c>
      <c r="B3509" s="11"/>
      <c r="C3509" s="2156">
        <v>171</v>
      </c>
      <c r="D3509" s="2156">
        <v>78258.018812909504</v>
      </c>
      <c r="E3509" s="2157">
        <v>14529.680998227799</v>
      </c>
      <c r="F3509" s="2158">
        <v>7.0367041552676799</v>
      </c>
      <c r="G3509" s="2159">
        <v>1.17295463445215</v>
      </c>
    </row>
    <row r="3510" spans="1:7" x14ac:dyDescent="0.3">
      <c r="A3510" s="6" t="s">
        <v>993</v>
      </c>
      <c r="B3510" s="6"/>
      <c r="C3510" s="2152">
        <v>159</v>
      </c>
      <c r="D3510" s="2152">
        <v>70950.451565259296</v>
      </c>
      <c r="E3510" s="2153">
        <v>7068.54151901962</v>
      </c>
      <c r="F3510" s="2154">
        <v>6.3796316967970599</v>
      </c>
      <c r="G3510" s="2155">
        <v>0.59372695632332895</v>
      </c>
    </row>
    <row r="3511" spans="1:7" x14ac:dyDescent="0.3">
      <c r="A3511" s="11" t="s">
        <v>997</v>
      </c>
      <c r="B3511" s="11"/>
      <c r="C3511" s="2156">
        <v>120</v>
      </c>
      <c r="D3511" s="2156">
        <v>49639.570171303902</v>
      </c>
      <c r="E3511" s="2157">
        <v>8909.9172886343604</v>
      </c>
      <c r="F3511" s="2158">
        <v>4.46342719875366</v>
      </c>
      <c r="G3511" s="2159">
        <v>0.82878993312416804</v>
      </c>
    </row>
    <row r="3512" spans="1:7" x14ac:dyDescent="0.3">
      <c r="A3512" s="6" t="s">
        <v>1152</v>
      </c>
      <c r="B3512" s="6"/>
      <c r="C3512" s="2152">
        <v>102</v>
      </c>
      <c r="D3512" s="2152">
        <v>49482.093560517998</v>
      </c>
      <c r="E3512" s="2153">
        <v>14078.6322546638</v>
      </c>
      <c r="F3512" s="2154">
        <v>4.4492674188578301</v>
      </c>
      <c r="G3512" s="2155">
        <v>1.2183105207823</v>
      </c>
    </row>
    <row r="3513" spans="1:7" x14ac:dyDescent="0.3">
      <c r="A3513" s="11" t="s">
        <v>960</v>
      </c>
      <c r="B3513" s="11" t="s">
        <v>961</v>
      </c>
      <c r="C3513" s="2156">
        <v>14616</v>
      </c>
      <c r="D3513" s="2156">
        <v>5890601.3054469703</v>
      </c>
      <c r="E3513" s="2157">
        <v>38706.033044387303</v>
      </c>
      <c r="F3513" s="2158">
        <v>99.4629256082019</v>
      </c>
      <c r="G3513" s="2159">
        <v>0.16984252292224999</v>
      </c>
    </row>
    <row r="3514" spans="1:7" x14ac:dyDescent="0.3">
      <c r="A3514" s="6" t="s">
        <v>956</v>
      </c>
      <c r="B3514" s="6" t="s">
        <v>957</v>
      </c>
      <c r="C3514" s="2152">
        <v>25</v>
      </c>
      <c r="D3514" s="2152">
        <v>15917.521586159501</v>
      </c>
      <c r="E3514" s="2153">
        <v>6334.0073110393196</v>
      </c>
      <c r="F3514" s="2154">
        <v>0.26876768317814398</v>
      </c>
      <c r="G3514" s="2155">
        <v>0.10756349223973501</v>
      </c>
    </row>
    <row r="3515" spans="1:7" x14ac:dyDescent="0.3">
      <c r="A3515" s="11" t="s">
        <v>958</v>
      </c>
      <c r="B3515" s="11" t="s">
        <v>959</v>
      </c>
      <c r="C3515" s="2156">
        <v>21</v>
      </c>
      <c r="D3515" s="2156">
        <v>15890.220787219499</v>
      </c>
      <c r="E3515" s="2157">
        <v>6758.3601354936</v>
      </c>
      <c r="F3515" s="2158">
        <v>0.268306708619995</v>
      </c>
      <c r="G3515" s="2159">
        <v>0.114121781936688</v>
      </c>
    </row>
    <row r="3516" spans="1:7" x14ac:dyDescent="0.3">
      <c r="A3516" s="6" t="s">
        <v>6269</v>
      </c>
      <c r="B3516" s="6" t="s">
        <v>6270</v>
      </c>
      <c r="C3516" s="2152">
        <v>2327</v>
      </c>
      <c r="D3516" s="2152">
        <v>1112140.2447241601</v>
      </c>
      <c r="E3516" s="2153">
        <v>30718.532973930902</v>
      </c>
      <c r="F3516" s="2154">
        <v>15.8096872802193</v>
      </c>
      <c r="G3516" s="2155">
        <v>0.42706434133896898</v>
      </c>
    </row>
    <row r="3517" spans="1:7" x14ac:dyDescent="0.3">
      <c r="A3517" s="11" t="s">
        <v>6269</v>
      </c>
      <c r="B3517" s="11" t="s">
        <v>6271</v>
      </c>
      <c r="C3517" s="2156">
        <v>16989</v>
      </c>
      <c r="D3517" s="2156">
        <v>7034549.2925445102</v>
      </c>
      <c r="E3517" s="2157">
        <v>0</v>
      </c>
      <c r="F3517" s="2158">
        <v>100</v>
      </c>
      <c r="G3517" s="2159">
        <v>0</v>
      </c>
    </row>
    <row r="3518" spans="1:7" x14ac:dyDescent="0.3">
      <c r="A3518" s="3299" t="s">
        <v>183</v>
      </c>
      <c r="B3518" s="3298"/>
      <c r="C3518" s="3298"/>
      <c r="D3518" s="3298"/>
      <c r="E3518" s="3298"/>
      <c r="F3518" s="3298"/>
      <c r="G3518" s="3298"/>
    </row>
    <row r="3519" spans="1:7" x14ac:dyDescent="0.3">
      <c r="A3519" s="11" t="s">
        <v>960</v>
      </c>
      <c r="B3519" s="11" t="s">
        <v>961</v>
      </c>
      <c r="C3519" s="2164">
        <v>14616</v>
      </c>
      <c r="D3519" s="2164">
        <v>5890601.3054469703</v>
      </c>
      <c r="E3519" s="2165">
        <v>38706.033044387303</v>
      </c>
      <c r="F3519" s="2166">
        <v>95.205707560103505</v>
      </c>
      <c r="G3519" s="2167">
        <v>0.43382987911961901</v>
      </c>
    </row>
    <row r="3520" spans="1:7" x14ac:dyDescent="0.3">
      <c r="A3520" s="6" t="s">
        <v>1146</v>
      </c>
      <c r="B3520" s="6" t="s">
        <v>1025</v>
      </c>
      <c r="C3520" s="2160">
        <v>451</v>
      </c>
      <c r="D3520" s="2160">
        <v>249722.54696034599</v>
      </c>
      <c r="E3520" s="2161">
        <v>18426.867114743902</v>
      </c>
      <c r="F3520" s="2162">
        <v>4.0360925046966702</v>
      </c>
      <c r="G3520" s="2163">
        <v>0.291812681214211</v>
      </c>
    </row>
    <row r="3521" spans="1:7" x14ac:dyDescent="0.3">
      <c r="A3521" s="11" t="s">
        <v>1147</v>
      </c>
      <c r="B3521" s="11" t="s">
        <v>959</v>
      </c>
      <c r="C3521" s="2164">
        <v>83</v>
      </c>
      <c r="D3521" s="2164">
        <v>46042.460830236603</v>
      </c>
      <c r="E3521" s="2165">
        <v>12376.098678529401</v>
      </c>
      <c r="F3521" s="2166">
        <v>0.74415239359310503</v>
      </c>
      <c r="G3521" s="2167">
        <v>0.20035730705681601</v>
      </c>
    </row>
    <row r="3522" spans="1:7" x14ac:dyDescent="0.3">
      <c r="A3522" s="6" t="s">
        <v>956</v>
      </c>
      <c r="B3522" s="6" t="s">
        <v>1025</v>
      </c>
      <c r="C3522" s="2160">
        <v>1</v>
      </c>
      <c r="D3522" s="2160">
        <v>869.15447663017699</v>
      </c>
      <c r="E3522" s="2161">
        <v>871.85845919650706</v>
      </c>
      <c r="F3522" s="2162">
        <v>1.4047541606676201E-2</v>
      </c>
      <c r="G3522" s="2163">
        <v>1.4094628725236501E-2</v>
      </c>
    </row>
    <row r="3523" spans="1:7" x14ac:dyDescent="0.3">
      <c r="A3523" s="11" t="s">
        <v>6269</v>
      </c>
      <c r="B3523" s="11" t="s">
        <v>6270</v>
      </c>
      <c r="C3523" s="2164">
        <v>1773</v>
      </c>
      <c r="D3523" s="2164">
        <v>847313.82483033102</v>
      </c>
      <c r="E3523" s="2165">
        <v>27318.425943102899</v>
      </c>
      <c r="F3523" s="2166">
        <v>12.0450335848573</v>
      </c>
      <c r="G3523" s="2167">
        <v>0.37689166076969699</v>
      </c>
    </row>
    <row r="3524" spans="1:7" x14ac:dyDescent="0.3">
      <c r="A3524" s="6" t="s">
        <v>6269</v>
      </c>
      <c r="B3524" s="6" t="s">
        <v>6271</v>
      </c>
      <c r="C3524" s="2160">
        <v>16924</v>
      </c>
      <c r="D3524" s="2160">
        <v>7034549.2925445205</v>
      </c>
      <c r="E3524" s="2161">
        <v>0</v>
      </c>
      <c r="F3524" s="2162">
        <v>100</v>
      </c>
      <c r="G3524" s="2163">
        <v>0</v>
      </c>
    </row>
    <row r="3525" spans="1:7" x14ac:dyDescent="0.3">
      <c r="A3525" s="3299" t="s">
        <v>809</v>
      </c>
      <c r="B3525" s="3298"/>
      <c r="C3525" s="3298"/>
      <c r="D3525" s="3298"/>
      <c r="E3525" s="3298"/>
      <c r="F3525" s="3298"/>
      <c r="G3525" s="3298"/>
    </row>
    <row r="3526" spans="1:7" x14ac:dyDescent="0.3">
      <c r="A3526" s="11" t="s">
        <v>962</v>
      </c>
      <c r="B3526" s="11" t="s">
        <v>1039</v>
      </c>
      <c r="C3526" s="2172">
        <v>638</v>
      </c>
      <c r="D3526" s="2172">
        <v>279156.98059707897</v>
      </c>
      <c r="E3526" s="2173">
        <v>22576.863714090901</v>
      </c>
      <c r="F3526" s="2174">
        <v>100</v>
      </c>
      <c r="G3526" s="2175">
        <v>0</v>
      </c>
    </row>
    <row r="3527" spans="1:7" x14ac:dyDescent="0.3">
      <c r="A3527" s="6" t="s">
        <v>960</v>
      </c>
      <c r="B3527" s="6" t="s">
        <v>961</v>
      </c>
      <c r="C3527" s="2168">
        <v>16351</v>
      </c>
      <c r="D3527" s="2168">
        <v>6755392.3119473802</v>
      </c>
      <c r="E3527" s="2169">
        <v>31675.4976596079</v>
      </c>
      <c r="F3527" s="2170">
        <v>100</v>
      </c>
      <c r="G3527" s="2171">
        <v>0</v>
      </c>
    </row>
    <row r="3528" spans="1:7" x14ac:dyDescent="0.3">
      <c r="A3528" s="11" t="s">
        <v>6269</v>
      </c>
      <c r="B3528" s="11" t="s">
        <v>6270</v>
      </c>
      <c r="C3528" s="2172">
        <v>638</v>
      </c>
      <c r="D3528" s="2172">
        <v>279156.98059707897</v>
      </c>
      <c r="E3528" s="2173">
        <v>22576.863714090901</v>
      </c>
      <c r="F3528" s="2174">
        <v>3.96837052365164</v>
      </c>
      <c r="G3528" s="2175">
        <v>0.31865029972472197</v>
      </c>
    </row>
    <row r="3529" spans="1:7" x14ac:dyDescent="0.3">
      <c r="A3529" s="6" t="s">
        <v>6269</v>
      </c>
      <c r="B3529" s="6" t="s">
        <v>6271</v>
      </c>
      <c r="C3529" s="2168">
        <v>16989</v>
      </c>
      <c r="D3529" s="2168">
        <v>7034549.2925444599</v>
      </c>
      <c r="E3529" s="2169">
        <v>0</v>
      </c>
      <c r="F3529" s="2170">
        <v>100</v>
      </c>
      <c r="G3529" s="2171">
        <v>0</v>
      </c>
    </row>
    <row r="3530" spans="1:7" x14ac:dyDescent="0.3">
      <c r="A3530" s="3299" t="s">
        <v>180</v>
      </c>
      <c r="B3530" s="3298"/>
      <c r="C3530" s="3298"/>
      <c r="D3530" s="3298"/>
      <c r="E3530" s="3298"/>
      <c r="F3530" s="3298"/>
      <c r="G3530" s="3298"/>
    </row>
    <row r="3531" spans="1:7" x14ac:dyDescent="0.3">
      <c r="A3531" s="11" t="s">
        <v>962</v>
      </c>
      <c r="B3531" s="11" t="s">
        <v>1141</v>
      </c>
      <c r="C3531" s="2180">
        <v>315</v>
      </c>
      <c r="D3531" s="2180">
        <v>175850.55545914799</v>
      </c>
      <c r="E3531" s="2181">
        <v>20276.892264405898</v>
      </c>
      <c r="F3531" s="2182">
        <v>61.165180102254098</v>
      </c>
      <c r="G3531" s="2183">
        <v>4.53579241627589</v>
      </c>
    </row>
    <row r="3532" spans="1:7" x14ac:dyDescent="0.3">
      <c r="A3532" s="6" t="s">
        <v>964</v>
      </c>
      <c r="B3532" s="6" t="s">
        <v>1142</v>
      </c>
      <c r="C3532" s="2176">
        <v>120</v>
      </c>
      <c r="D3532" s="2176">
        <v>57611.465912921703</v>
      </c>
      <c r="E3532" s="2177">
        <v>6069.1021929193703</v>
      </c>
      <c r="F3532" s="2178">
        <v>20.0386952393639</v>
      </c>
      <c r="G3532" s="2179">
        <v>1.6510412895286399</v>
      </c>
    </row>
    <row r="3533" spans="1:7" x14ac:dyDescent="0.3">
      <c r="A3533" s="11" t="s">
        <v>966</v>
      </c>
      <c r="B3533" s="11" t="s">
        <v>1143</v>
      </c>
      <c r="C3533" s="2180">
        <v>30</v>
      </c>
      <c r="D3533" s="2180">
        <v>20995.3126324474</v>
      </c>
      <c r="E3533" s="2181">
        <v>7177.4925439648596</v>
      </c>
      <c r="F3533" s="2182">
        <v>7.30268991823064</v>
      </c>
      <c r="G3533" s="2183">
        <v>2.40927797611121</v>
      </c>
    </row>
    <row r="3534" spans="1:7" x14ac:dyDescent="0.3">
      <c r="A3534" s="6" t="s">
        <v>970</v>
      </c>
      <c r="B3534" s="6" t="s">
        <v>1145</v>
      </c>
      <c r="C3534" s="2176">
        <v>33</v>
      </c>
      <c r="D3534" s="2176">
        <v>16856.3312291416</v>
      </c>
      <c r="E3534" s="2177">
        <v>4208.0379437929396</v>
      </c>
      <c r="F3534" s="2178">
        <v>5.8630496378114403</v>
      </c>
      <c r="G3534" s="2179">
        <v>1.21039259153611</v>
      </c>
    </row>
    <row r="3535" spans="1:7" x14ac:dyDescent="0.3">
      <c r="A3535" s="11" t="s">
        <v>968</v>
      </c>
      <c r="B3535" s="11" t="s">
        <v>1144</v>
      </c>
      <c r="C3535" s="2180">
        <v>19</v>
      </c>
      <c r="D3535" s="2180">
        <v>16187.418168967301</v>
      </c>
      <c r="E3535" s="2181">
        <v>6784.7423802399198</v>
      </c>
      <c r="F3535" s="2182">
        <v>5.6303851023399298</v>
      </c>
      <c r="G3535" s="2183">
        <v>2.3194401982947102</v>
      </c>
    </row>
    <row r="3536" spans="1:7" x14ac:dyDescent="0.3">
      <c r="A3536" s="6" t="s">
        <v>960</v>
      </c>
      <c r="B3536" s="6" t="s">
        <v>961</v>
      </c>
      <c r="C3536" s="2176">
        <v>16454</v>
      </c>
      <c r="D3536" s="2176">
        <v>6737915.13027725</v>
      </c>
      <c r="E3536" s="2177">
        <v>35360.786803824303</v>
      </c>
      <c r="F3536" s="2178">
        <v>99.864635932907504</v>
      </c>
      <c r="G3536" s="2179">
        <v>4.1946331028670902E-2</v>
      </c>
    </row>
    <row r="3537" spans="1:7" x14ac:dyDescent="0.3">
      <c r="A3537" s="11" t="s">
        <v>958</v>
      </c>
      <c r="B3537" s="11" t="s">
        <v>959</v>
      </c>
      <c r="C3537" s="2180">
        <v>9</v>
      </c>
      <c r="D3537" s="2180">
        <v>5543.95684461774</v>
      </c>
      <c r="E3537" s="2181">
        <v>2751.4031782486099</v>
      </c>
      <c r="F3537" s="2182">
        <v>8.2168626527760996E-2</v>
      </c>
      <c r="G3537" s="2183">
        <v>4.0884348192959802E-2</v>
      </c>
    </row>
    <row r="3538" spans="1:7" x14ac:dyDescent="0.3">
      <c r="A3538" s="6" t="s">
        <v>956</v>
      </c>
      <c r="B3538" s="6" t="s">
        <v>957</v>
      </c>
      <c r="C3538" s="2176">
        <v>9</v>
      </c>
      <c r="D3538" s="2176">
        <v>3589.1220199694499</v>
      </c>
      <c r="E3538" s="2177">
        <v>1802.54491185744</v>
      </c>
      <c r="F3538" s="2178">
        <v>5.31954405647556E-2</v>
      </c>
      <c r="G3538" s="2179">
        <v>2.66940412475286E-2</v>
      </c>
    </row>
    <row r="3539" spans="1:7" x14ac:dyDescent="0.3">
      <c r="A3539" s="11" t="s">
        <v>6269</v>
      </c>
      <c r="B3539" s="11" t="s">
        <v>6270</v>
      </c>
      <c r="C3539" s="2180">
        <v>517</v>
      </c>
      <c r="D3539" s="2180">
        <v>287501.08340262598</v>
      </c>
      <c r="E3539" s="2181">
        <v>26789.937780406799</v>
      </c>
      <c r="F3539" s="2182">
        <v>4.0869865494770599</v>
      </c>
      <c r="G3539" s="2183">
        <v>0.37886511757566899</v>
      </c>
    </row>
    <row r="3540" spans="1:7" x14ac:dyDescent="0.3">
      <c r="A3540" s="6" t="s">
        <v>6269</v>
      </c>
      <c r="B3540" s="6" t="s">
        <v>6271</v>
      </c>
      <c r="C3540" s="2176">
        <v>16989</v>
      </c>
      <c r="D3540" s="2176">
        <v>7034549.2925444599</v>
      </c>
      <c r="E3540" s="2177">
        <v>0</v>
      </c>
      <c r="F3540" s="2178">
        <v>100</v>
      </c>
      <c r="G3540" s="2179">
        <v>0</v>
      </c>
    </row>
    <row r="3541" spans="1:7" x14ac:dyDescent="0.3">
      <c r="A3541" s="3299" t="s">
        <v>39</v>
      </c>
      <c r="B3541" s="3298"/>
      <c r="C3541" s="3298"/>
      <c r="D3541" s="3298"/>
      <c r="E3541" s="3298"/>
      <c r="F3541" s="3298"/>
      <c r="G3541" s="3298"/>
    </row>
    <row r="3542" spans="1:7" x14ac:dyDescent="0.3">
      <c r="A3542" s="11" t="s">
        <v>960</v>
      </c>
      <c r="B3542" s="11" t="s">
        <v>961</v>
      </c>
      <c r="C3542" s="2188">
        <v>4874</v>
      </c>
      <c r="D3542" s="2188">
        <v>2241050.5421475698</v>
      </c>
      <c r="E3542" s="2189">
        <v>51553.7701027398</v>
      </c>
      <c r="F3542" s="2190">
        <v>98.583353856830101</v>
      </c>
      <c r="G3542" s="2191">
        <v>0.51188654621705099</v>
      </c>
    </row>
    <row r="3543" spans="1:7" x14ac:dyDescent="0.3">
      <c r="A3543" s="6" t="s">
        <v>974</v>
      </c>
      <c r="B3543" s="6" t="s">
        <v>975</v>
      </c>
      <c r="C3543" s="2184">
        <v>72</v>
      </c>
      <c r="D3543" s="2184">
        <v>32203.972404841501</v>
      </c>
      <c r="E3543" s="2185">
        <v>11817.6958609336</v>
      </c>
      <c r="F3543" s="2186">
        <v>1.41664614316986</v>
      </c>
      <c r="G3543" s="2187">
        <v>0.51188654621704299</v>
      </c>
    </row>
    <row r="3544" spans="1:7" x14ac:dyDescent="0.3">
      <c r="A3544" s="11" t="s">
        <v>6269</v>
      </c>
      <c r="B3544" s="11" t="s">
        <v>6270</v>
      </c>
      <c r="C3544" s="2188">
        <v>11925</v>
      </c>
      <c r="D3544" s="2188">
        <v>4761294.7779920902</v>
      </c>
      <c r="E3544" s="2189">
        <v>58569.156482769104</v>
      </c>
      <c r="F3544" s="2190">
        <v>67.684432647849903</v>
      </c>
      <c r="G3544" s="2191">
        <v>0.77267495103831196</v>
      </c>
    </row>
    <row r="3545" spans="1:7" x14ac:dyDescent="0.3">
      <c r="A3545" s="6" t="s">
        <v>6269</v>
      </c>
      <c r="B3545" s="6" t="s">
        <v>6271</v>
      </c>
      <c r="C3545" s="2184">
        <v>16871</v>
      </c>
      <c r="D3545" s="2184">
        <v>7034549.2925445</v>
      </c>
      <c r="E3545" s="2185">
        <v>0</v>
      </c>
      <c r="F3545" s="2186">
        <v>100</v>
      </c>
      <c r="G3545" s="2187">
        <v>0</v>
      </c>
    </row>
    <row r="3546" spans="1:7" x14ac:dyDescent="0.3">
      <c r="A3546" s="3299" t="s">
        <v>297</v>
      </c>
      <c r="B3546" s="3298"/>
      <c r="C3546" s="3298"/>
      <c r="D3546" s="3298"/>
      <c r="E3546" s="3298"/>
      <c r="F3546" s="3298"/>
      <c r="G3546" s="3298"/>
    </row>
    <row r="3547" spans="1:7" x14ac:dyDescent="0.3">
      <c r="A3547" s="11" t="s">
        <v>964</v>
      </c>
      <c r="B3547" s="11" t="s">
        <v>1040</v>
      </c>
      <c r="C3547" s="2196">
        <v>16682</v>
      </c>
      <c r="D3547" s="2196">
        <v>6906052.4855194399</v>
      </c>
      <c r="E3547" s="2197">
        <v>30492.801929797599</v>
      </c>
      <c r="F3547" s="2198">
        <v>98.173346981004002</v>
      </c>
      <c r="G3547" s="2199">
        <v>0.14107398644625099</v>
      </c>
    </row>
    <row r="3548" spans="1:7" x14ac:dyDescent="0.3">
      <c r="A3548" s="6" t="s">
        <v>962</v>
      </c>
      <c r="B3548" s="6" t="s">
        <v>1039</v>
      </c>
      <c r="C3548" s="2192">
        <v>307</v>
      </c>
      <c r="D3548" s="2192">
        <v>128496.807025022</v>
      </c>
      <c r="E3548" s="2193">
        <v>9762.7737468214</v>
      </c>
      <c r="F3548" s="2194">
        <v>1.82665301899596</v>
      </c>
      <c r="G3548" s="2195">
        <v>0.14107398644625599</v>
      </c>
    </row>
    <row r="3549" spans="1:7" x14ac:dyDescent="0.3">
      <c r="A3549" s="11" t="s">
        <v>6269</v>
      </c>
      <c r="B3549" s="11" t="s">
        <v>6270</v>
      </c>
      <c r="C3549" s="2196">
        <v>16989</v>
      </c>
      <c r="D3549" s="2196">
        <v>7034549.2925444599</v>
      </c>
      <c r="E3549" s="2197">
        <v>26049.8638837863</v>
      </c>
      <c r="F3549" s="2198">
        <v>100</v>
      </c>
      <c r="G3549" s="2199">
        <v>0</v>
      </c>
    </row>
    <row r="3550" spans="1:7" x14ac:dyDescent="0.3">
      <c r="A3550" s="6" t="s">
        <v>6269</v>
      </c>
      <c r="B3550" s="6" t="s">
        <v>6271</v>
      </c>
      <c r="C3550" s="2192">
        <v>16989</v>
      </c>
      <c r="D3550" s="2192">
        <v>7034549.2925444599</v>
      </c>
      <c r="E3550" s="2193">
        <v>0</v>
      </c>
      <c r="F3550" s="2194">
        <v>100</v>
      </c>
      <c r="G3550" s="2195">
        <v>0</v>
      </c>
    </row>
    <row r="3551" spans="1:7" x14ac:dyDescent="0.3">
      <c r="A3551" s="3297" t="s">
        <v>1132</v>
      </c>
      <c r="B3551" s="3298"/>
      <c r="C3551" s="3298"/>
      <c r="D3551" s="3298"/>
      <c r="E3551" s="3298"/>
      <c r="F3551" s="3298"/>
      <c r="G3551" s="3298"/>
    </row>
    <row r="3552" spans="1:7" x14ac:dyDescent="0.3">
      <c r="A3552" s="3299" t="s">
        <v>273</v>
      </c>
      <c r="B3552" s="3298"/>
      <c r="C3552" s="3298"/>
      <c r="D3552" s="3298"/>
      <c r="E3552" s="3298"/>
      <c r="F3552" s="3298"/>
      <c r="G3552" s="3298"/>
    </row>
    <row r="3553" spans="1:7" x14ac:dyDescent="0.3">
      <c r="A3553" s="11" t="s">
        <v>6269</v>
      </c>
      <c r="B3553" s="11" t="s">
        <v>6270</v>
      </c>
      <c r="C3553" s="2204">
        <v>50317</v>
      </c>
      <c r="D3553" s="2204">
        <v>8023087121.5538101</v>
      </c>
      <c r="E3553" s="2205">
        <v>109184500.79501399</v>
      </c>
      <c r="F3553" s="2206">
        <v>100</v>
      </c>
      <c r="G3553" s="2207">
        <v>1.02786679142825E-14</v>
      </c>
    </row>
    <row r="3554" spans="1:7" x14ac:dyDescent="0.3">
      <c r="A3554" s="6" t="s">
        <v>6269</v>
      </c>
      <c r="B3554" s="6" t="s">
        <v>6271</v>
      </c>
      <c r="C3554" s="2200">
        <v>50317</v>
      </c>
      <c r="D3554" s="2200">
        <v>8023087121.5538101</v>
      </c>
      <c r="E3554" s="2201">
        <v>0</v>
      </c>
      <c r="F3554" s="2202">
        <v>100</v>
      </c>
      <c r="G3554" s="2203">
        <v>0</v>
      </c>
    </row>
    <row r="3555" spans="1:7" x14ac:dyDescent="0.3">
      <c r="A3555" s="3299" t="s">
        <v>447</v>
      </c>
      <c r="B3555" s="3298"/>
      <c r="C3555" s="3298"/>
      <c r="D3555" s="3298"/>
      <c r="E3555" s="3298"/>
      <c r="F3555" s="3298"/>
      <c r="G3555" s="3298"/>
    </row>
    <row r="3556" spans="1:7" x14ac:dyDescent="0.3">
      <c r="A3556" s="11" t="s">
        <v>962</v>
      </c>
      <c r="B3556" s="11"/>
      <c r="C3556" s="2212">
        <v>33589</v>
      </c>
      <c r="D3556" s="2212">
        <v>3935767216.0060501</v>
      </c>
      <c r="E3556" s="2213">
        <v>45680289.229900599</v>
      </c>
      <c r="F3556" s="2214">
        <v>49.055521352033502</v>
      </c>
      <c r="G3556" s="2215">
        <v>0.325798341123746</v>
      </c>
    </row>
    <row r="3557" spans="1:7" x14ac:dyDescent="0.3">
      <c r="A3557" s="6" t="s">
        <v>964</v>
      </c>
      <c r="B3557" s="6"/>
      <c r="C3557" s="2208">
        <v>17931</v>
      </c>
      <c r="D3557" s="2208">
        <v>2317414920.4464898</v>
      </c>
      <c r="E3557" s="2209">
        <v>52784675.7015367</v>
      </c>
      <c r="F3557" s="2210">
        <v>28.884329502303899</v>
      </c>
      <c r="G3557" s="2211">
        <v>0.296547737846729</v>
      </c>
    </row>
    <row r="3558" spans="1:7" x14ac:dyDescent="0.3">
      <c r="A3558" s="11" t="s">
        <v>966</v>
      </c>
      <c r="B3558" s="11"/>
      <c r="C3558" s="2212">
        <v>5136</v>
      </c>
      <c r="D3558" s="2212">
        <v>1078735649.7074699</v>
      </c>
      <c r="E3558" s="2213">
        <v>29822617.393491901</v>
      </c>
      <c r="F3558" s="2214">
        <v>13.445393691531599</v>
      </c>
      <c r="G3558" s="2215">
        <v>0.265812415175258</v>
      </c>
    </row>
    <row r="3559" spans="1:7" x14ac:dyDescent="0.3">
      <c r="A3559" s="6" t="s">
        <v>968</v>
      </c>
      <c r="B3559" s="6"/>
      <c r="C3559" s="2208">
        <v>2340</v>
      </c>
      <c r="D3559" s="2208">
        <v>484728789.36159998</v>
      </c>
      <c r="E3559" s="2209">
        <v>20866690.399291299</v>
      </c>
      <c r="F3559" s="2210">
        <v>6.04167425852068</v>
      </c>
      <c r="G3559" s="2211">
        <v>0.28965325642623602</v>
      </c>
    </row>
    <row r="3560" spans="1:7" x14ac:dyDescent="0.3">
      <c r="A3560" s="11" t="s">
        <v>970</v>
      </c>
      <c r="B3560" s="11"/>
      <c r="C3560" s="2212">
        <v>642</v>
      </c>
      <c r="D3560" s="2212">
        <v>142592691.45516101</v>
      </c>
      <c r="E3560" s="2213">
        <v>9635186.9376230408</v>
      </c>
      <c r="F3560" s="2214">
        <v>1.7772796093923799</v>
      </c>
      <c r="G3560" s="2215">
        <v>0.12880621249073201</v>
      </c>
    </row>
    <row r="3561" spans="1:7" x14ac:dyDescent="0.3">
      <c r="A3561" s="6" t="s">
        <v>972</v>
      </c>
      <c r="B3561" s="6"/>
      <c r="C3561" s="2208">
        <v>144</v>
      </c>
      <c r="D3561" s="2208">
        <v>39037021.226756401</v>
      </c>
      <c r="E3561" s="2209">
        <v>5173833.5384379001</v>
      </c>
      <c r="F3561" s="2210">
        <v>0.48655861061118</v>
      </c>
      <c r="G3561" s="2211">
        <v>6.3118176876809498E-2</v>
      </c>
    </row>
    <row r="3562" spans="1:7" x14ac:dyDescent="0.3">
      <c r="A3562" s="11" t="s">
        <v>981</v>
      </c>
      <c r="B3562" s="11"/>
      <c r="C3562" s="2212">
        <v>58</v>
      </c>
      <c r="D3562" s="2212">
        <v>17212138.749867</v>
      </c>
      <c r="E3562" s="2213">
        <v>3987060.3671891098</v>
      </c>
      <c r="F3562" s="2214">
        <v>0.21453261679818</v>
      </c>
      <c r="G3562" s="2215">
        <v>4.9256508320601897E-2</v>
      </c>
    </row>
    <row r="3563" spans="1:7" x14ac:dyDescent="0.3">
      <c r="A3563" s="6" t="s">
        <v>991</v>
      </c>
      <c r="B3563" s="6"/>
      <c r="C3563" s="2208">
        <v>31</v>
      </c>
      <c r="D3563" s="2208">
        <v>6879372.1965301698</v>
      </c>
      <c r="E3563" s="2209">
        <v>2982682.40602506</v>
      </c>
      <c r="F3563" s="2210">
        <v>8.5744702660014493E-2</v>
      </c>
      <c r="G3563" s="2211">
        <v>3.6748775644710303E-2</v>
      </c>
    </row>
    <row r="3564" spans="1:7" x14ac:dyDescent="0.3">
      <c r="A3564" s="11" t="s">
        <v>993</v>
      </c>
      <c r="B3564" s="11"/>
      <c r="C3564" s="2212">
        <v>3</v>
      </c>
      <c r="D3564" s="2212">
        <v>438607.48154907301</v>
      </c>
      <c r="E3564" s="2213">
        <v>444082.30221045099</v>
      </c>
      <c r="F3564" s="2214">
        <v>5.4668168861181799E-3</v>
      </c>
      <c r="G3564" s="2215">
        <v>5.5384971607956102E-3</v>
      </c>
    </row>
    <row r="3565" spans="1:7" x14ac:dyDescent="0.3">
      <c r="A3565" s="6" t="s">
        <v>995</v>
      </c>
      <c r="B3565" s="6"/>
      <c r="C3565" s="2208">
        <v>2</v>
      </c>
      <c r="D3565" s="2208">
        <v>280714.92226587998</v>
      </c>
      <c r="E3565" s="2209">
        <v>281176.36272504798</v>
      </c>
      <c r="F3565" s="2210">
        <v>3.4988392624049798E-3</v>
      </c>
      <c r="G3565" s="2211">
        <v>3.5076569326290699E-3</v>
      </c>
    </row>
    <row r="3566" spans="1:7" x14ac:dyDescent="0.3">
      <c r="A3566" s="11" t="s">
        <v>6269</v>
      </c>
      <c r="B3566" s="11" t="s">
        <v>6270</v>
      </c>
      <c r="C3566" s="2212">
        <v>59876</v>
      </c>
      <c r="D3566" s="2212">
        <v>8023087121.5537395</v>
      </c>
      <c r="E3566" s="2213">
        <v>109184500.795011</v>
      </c>
      <c r="F3566" s="2214">
        <v>100</v>
      </c>
      <c r="G3566" s="2215">
        <v>2.29838001744816E-14</v>
      </c>
    </row>
    <row r="3567" spans="1:7" x14ac:dyDescent="0.3">
      <c r="A3567" s="6" t="s">
        <v>6269</v>
      </c>
      <c r="B3567" s="6" t="s">
        <v>6271</v>
      </c>
      <c r="C3567" s="2208">
        <v>59876</v>
      </c>
      <c r="D3567" s="2208">
        <v>8023087121.5537395</v>
      </c>
      <c r="E3567" s="2209">
        <v>0</v>
      </c>
      <c r="F3567" s="2210">
        <v>100</v>
      </c>
      <c r="G3567" s="2211">
        <v>0</v>
      </c>
    </row>
    <row r="3568" spans="1:7" x14ac:dyDescent="0.3">
      <c r="A3568" s="3299" t="s">
        <v>604</v>
      </c>
      <c r="B3568" s="3298"/>
      <c r="C3568" s="3298"/>
      <c r="D3568" s="3298"/>
      <c r="E3568" s="3298"/>
      <c r="F3568" s="3298"/>
      <c r="G3568" s="3298"/>
    </row>
    <row r="3569" spans="1:7" x14ac:dyDescent="0.3">
      <c r="A3569" s="11" t="s">
        <v>962</v>
      </c>
      <c r="B3569" s="11"/>
      <c r="C3569" s="2220">
        <v>14647</v>
      </c>
      <c r="D3569" s="2220">
        <v>2036904716.8777299</v>
      </c>
      <c r="E3569" s="2221">
        <v>13036780.6682308</v>
      </c>
      <c r="F3569" s="2222">
        <v>25.3880418599175</v>
      </c>
      <c r="G3569" s="2223">
        <v>0.32615668287458599</v>
      </c>
    </row>
    <row r="3570" spans="1:7" x14ac:dyDescent="0.3">
      <c r="A3570" s="6" t="s">
        <v>964</v>
      </c>
      <c r="B3570" s="6"/>
      <c r="C3570" s="2216">
        <v>14272</v>
      </c>
      <c r="D3570" s="2216">
        <v>1981316260.1215601</v>
      </c>
      <c r="E3570" s="2217">
        <v>15855569.971434301</v>
      </c>
      <c r="F3570" s="2218">
        <v>24.695185657386201</v>
      </c>
      <c r="G3570" s="2219">
        <v>0.284755522174853</v>
      </c>
    </row>
    <row r="3571" spans="1:7" x14ac:dyDescent="0.3">
      <c r="A3571" s="11" t="s">
        <v>966</v>
      </c>
      <c r="B3571" s="11"/>
      <c r="C3571" s="2220">
        <v>9946</v>
      </c>
      <c r="D3571" s="2220">
        <v>1329103052.9851301</v>
      </c>
      <c r="E3571" s="2221">
        <v>24339655.561482299</v>
      </c>
      <c r="F3571" s="2222">
        <v>16.565980561454101</v>
      </c>
      <c r="G3571" s="2223">
        <v>0.102974192074477</v>
      </c>
    </row>
    <row r="3572" spans="1:7" x14ac:dyDescent="0.3">
      <c r="A3572" s="6" t="s">
        <v>968</v>
      </c>
      <c r="B3572" s="6"/>
      <c r="C3572" s="2216">
        <v>7674</v>
      </c>
      <c r="D3572" s="2216">
        <v>1014163188.21869</v>
      </c>
      <c r="E3572" s="2217">
        <v>27923416.405790798</v>
      </c>
      <c r="F3572" s="2218">
        <v>12.6405605828979</v>
      </c>
      <c r="G3572" s="2219">
        <v>0.197162792020732</v>
      </c>
    </row>
    <row r="3573" spans="1:7" x14ac:dyDescent="0.3">
      <c r="A3573" s="11" t="s">
        <v>970</v>
      </c>
      <c r="B3573" s="11"/>
      <c r="C3573" s="2220">
        <v>4904</v>
      </c>
      <c r="D3573" s="2220">
        <v>606121290.40594494</v>
      </c>
      <c r="E3573" s="2221">
        <v>15570483.508710099</v>
      </c>
      <c r="F3573" s="2222">
        <v>7.5547140548632097</v>
      </c>
      <c r="G3573" s="2223">
        <v>0.108001097306273</v>
      </c>
    </row>
    <row r="3574" spans="1:7" x14ac:dyDescent="0.3">
      <c r="A3574" s="6" t="s">
        <v>972</v>
      </c>
      <c r="B3574" s="6"/>
      <c r="C3574" s="2216">
        <v>3323</v>
      </c>
      <c r="D3574" s="2216">
        <v>408969714.41324502</v>
      </c>
      <c r="E3574" s="2217">
        <v>15787188.715883</v>
      </c>
      <c r="F3574" s="2218">
        <v>5.0974108621425698</v>
      </c>
      <c r="G3574" s="2219">
        <v>0.13167236870374399</v>
      </c>
    </row>
    <row r="3575" spans="1:7" x14ac:dyDescent="0.3">
      <c r="A3575" s="11" t="s">
        <v>981</v>
      </c>
      <c r="B3575" s="11"/>
      <c r="C3575" s="2220">
        <v>2049</v>
      </c>
      <c r="D3575" s="2220">
        <v>253658610.74150899</v>
      </c>
      <c r="E3575" s="2221">
        <v>12933221.4993806</v>
      </c>
      <c r="F3575" s="2222">
        <v>3.1616085790725399</v>
      </c>
      <c r="G3575" s="2223">
        <v>0.124577184809782</v>
      </c>
    </row>
    <row r="3576" spans="1:7" x14ac:dyDescent="0.3">
      <c r="A3576" s="6" t="s">
        <v>991</v>
      </c>
      <c r="B3576" s="6"/>
      <c r="C3576" s="2216">
        <v>1241</v>
      </c>
      <c r="D3576" s="2216">
        <v>155619435.81546301</v>
      </c>
      <c r="E3576" s="2217">
        <v>11912644.7921547</v>
      </c>
      <c r="F3576" s="2218">
        <v>1.9396453442141399</v>
      </c>
      <c r="G3576" s="2219">
        <v>0.13098055253091001</v>
      </c>
    </row>
    <row r="3577" spans="1:7" x14ac:dyDescent="0.3">
      <c r="A3577" s="11" t="s">
        <v>993</v>
      </c>
      <c r="B3577" s="11"/>
      <c r="C3577" s="2220">
        <v>748</v>
      </c>
      <c r="D3577" s="2220">
        <v>98052323.385662496</v>
      </c>
      <c r="E3577" s="2221">
        <v>7289472.9706752095</v>
      </c>
      <c r="F3577" s="2222">
        <v>1.2221271176558399</v>
      </c>
      <c r="G3577" s="2223">
        <v>8.4454390251380906E-2</v>
      </c>
    </row>
    <row r="3578" spans="1:7" x14ac:dyDescent="0.3">
      <c r="A3578" s="6" t="s">
        <v>995</v>
      </c>
      <c r="B3578" s="6"/>
      <c r="C3578" s="2216">
        <v>438</v>
      </c>
      <c r="D3578" s="2216">
        <v>52684595.452030502</v>
      </c>
      <c r="E3578" s="2217">
        <v>3769273.71189025</v>
      </c>
      <c r="F3578" s="2218">
        <v>0.656662387605074</v>
      </c>
      <c r="G3578" s="2219">
        <v>4.48930899183188E-2</v>
      </c>
    </row>
    <row r="3579" spans="1:7" x14ac:dyDescent="0.3">
      <c r="A3579" s="11" t="s">
        <v>997</v>
      </c>
      <c r="B3579" s="11"/>
      <c r="C3579" s="2220">
        <v>251</v>
      </c>
      <c r="D3579" s="2220">
        <v>31783649.676851299</v>
      </c>
      <c r="E3579" s="2221">
        <v>2680699.8062963001</v>
      </c>
      <c r="F3579" s="2222">
        <v>0.39615236872432003</v>
      </c>
      <c r="G3579" s="2223">
        <v>3.2443076733955703E-2</v>
      </c>
    </row>
    <row r="3580" spans="1:7" x14ac:dyDescent="0.3">
      <c r="A3580" s="6" t="s">
        <v>999</v>
      </c>
      <c r="B3580" s="6"/>
      <c r="C3580" s="2216">
        <v>140</v>
      </c>
      <c r="D3580" s="2216">
        <v>16974619.088011399</v>
      </c>
      <c r="E3580" s="2217">
        <v>1515737.1640210401</v>
      </c>
      <c r="F3580" s="2218">
        <v>0.21157216456505301</v>
      </c>
      <c r="G3580" s="2219">
        <v>1.99737836180593E-2</v>
      </c>
    </row>
    <row r="3581" spans="1:7" x14ac:dyDescent="0.3">
      <c r="A3581" s="11" t="s">
        <v>1001</v>
      </c>
      <c r="B3581" s="11"/>
      <c r="C3581" s="2220">
        <v>87</v>
      </c>
      <c r="D3581" s="2220">
        <v>9330260.5396063309</v>
      </c>
      <c r="E3581" s="2221">
        <v>1100545.8112490301</v>
      </c>
      <c r="F3581" s="2222">
        <v>0.116292648929872</v>
      </c>
      <c r="G3581" s="2223">
        <v>1.4655722604743199E-2</v>
      </c>
    </row>
    <row r="3582" spans="1:7" x14ac:dyDescent="0.3">
      <c r="A3582" s="6" t="s">
        <v>1003</v>
      </c>
      <c r="B3582" s="6"/>
      <c r="C3582" s="2216">
        <v>48</v>
      </c>
      <c r="D3582" s="2216">
        <v>5192946.0645014402</v>
      </c>
      <c r="E3582" s="2217">
        <v>940259.37704719603</v>
      </c>
      <c r="F3582" s="2218">
        <v>6.4725036458232299E-2</v>
      </c>
      <c r="G3582" s="2219">
        <v>1.2290599688091699E-2</v>
      </c>
    </row>
    <row r="3583" spans="1:7" x14ac:dyDescent="0.3">
      <c r="A3583" s="11" t="s">
        <v>1005</v>
      </c>
      <c r="B3583" s="11"/>
      <c r="C3583" s="2220">
        <v>34</v>
      </c>
      <c r="D3583" s="2220">
        <v>4122239.2566704401</v>
      </c>
      <c r="E3583" s="2221">
        <v>978460.64374562597</v>
      </c>
      <c r="F3583" s="2222">
        <v>5.1379714494139701E-2</v>
      </c>
      <c r="G3583" s="2223">
        <v>1.25970952392084E-2</v>
      </c>
    </row>
    <row r="3584" spans="1:7" x14ac:dyDescent="0.3">
      <c r="A3584" s="6" t="s">
        <v>1007</v>
      </c>
      <c r="B3584" s="6"/>
      <c r="C3584" s="2216">
        <v>25</v>
      </c>
      <c r="D3584" s="2216">
        <v>3594074.3562976099</v>
      </c>
      <c r="E3584" s="2217">
        <v>885168.26472892996</v>
      </c>
      <c r="F3584" s="2218">
        <v>4.4796651237180497E-2</v>
      </c>
      <c r="G3584" s="2219">
        <v>1.13359200529504E-2</v>
      </c>
    </row>
    <row r="3585" spans="1:7" x14ac:dyDescent="0.3">
      <c r="A3585" s="11" t="s">
        <v>1009</v>
      </c>
      <c r="B3585" s="11"/>
      <c r="C3585" s="2220">
        <v>14</v>
      </c>
      <c r="D3585" s="2220">
        <v>1886194.7378124001</v>
      </c>
      <c r="E3585" s="2221">
        <v>857925.87005966995</v>
      </c>
      <c r="F3585" s="2222">
        <v>2.3509588132792299E-2</v>
      </c>
      <c r="G3585" s="2223">
        <v>1.07764025491507E-2</v>
      </c>
    </row>
    <row r="3586" spans="1:7" x14ac:dyDescent="0.3">
      <c r="A3586" s="6" t="s">
        <v>1011</v>
      </c>
      <c r="B3586" s="6"/>
      <c r="C3586" s="2216">
        <v>7</v>
      </c>
      <c r="D3586" s="2216">
        <v>1044051.89147547</v>
      </c>
      <c r="E3586" s="2217">
        <v>631402.30000317399</v>
      </c>
      <c r="F3586" s="2218">
        <v>1.30130942822576E-2</v>
      </c>
      <c r="G3586" s="2219">
        <v>7.9118215717290108E-3</v>
      </c>
    </row>
    <row r="3587" spans="1:7" x14ac:dyDescent="0.3">
      <c r="A3587" s="11" t="s">
        <v>1013</v>
      </c>
      <c r="B3587" s="11"/>
      <c r="C3587" s="2220">
        <v>4</v>
      </c>
      <c r="D3587" s="2220">
        <v>859426.81585260597</v>
      </c>
      <c r="E3587" s="2221">
        <v>616015.621063367</v>
      </c>
      <c r="F3587" s="2222">
        <v>1.0711921768165499E-2</v>
      </c>
      <c r="G3587" s="2223">
        <v>7.6958624667030203E-3</v>
      </c>
    </row>
    <row r="3588" spans="1:7" x14ac:dyDescent="0.3">
      <c r="A3588" s="6" t="s">
        <v>1155</v>
      </c>
      <c r="B3588" s="6"/>
      <c r="C3588" s="2216">
        <v>2</v>
      </c>
      <c r="D3588" s="2216">
        <v>630657.32303675299</v>
      </c>
      <c r="E3588" s="2217">
        <v>635801.77783403604</v>
      </c>
      <c r="F3588" s="2218">
        <v>7.8605319060104598E-3</v>
      </c>
      <c r="G3588" s="2219">
        <v>7.9292059764029393E-3</v>
      </c>
    </row>
    <row r="3589" spans="1:7" x14ac:dyDescent="0.3">
      <c r="A3589" s="11" t="s">
        <v>1047</v>
      </c>
      <c r="B3589" s="11"/>
      <c r="C3589" s="2220">
        <v>2</v>
      </c>
      <c r="D3589" s="2220">
        <v>630657.32303675299</v>
      </c>
      <c r="E3589" s="2221">
        <v>635801.77783403604</v>
      </c>
      <c r="F3589" s="2222">
        <v>7.8605319060104598E-3</v>
      </c>
      <c r="G3589" s="2223">
        <v>7.9292059764029393E-3</v>
      </c>
    </row>
    <row r="3590" spans="1:7" x14ac:dyDescent="0.3">
      <c r="A3590" s="6" t="s">
        <v>1049</v>
      </c>
      <c r="B3590" s="6"/>
      <c r="C3590" s="2216">
        <v>2</v>
      </c>
      <c r="D3590" s="2216">
        <v>630657.32303675299</v>
      </c>
      <c r="E3590" s="2217">
        <v>635801.77783403604</v>
      </c>
      <c r="F3590" s="2218">
        <v>7.8605319060104598E-3</v>
      </c>
      <c r="G3590" s="2219">
        <v>7.9292059764029393E-3</v>
      </c>
    </row>
    <row r="3591" spans="1:7" x14ac:dyDescent="0.3">
      <c r="A3591" s="11" t="s">
        <v>1051</v>
      </c>
      <c r="B3591" s="11"/>
      <c r="C3591" s="2220">
        <v>2</v>
      </c>
      <c r="D3591" s="2220">
        <v>630657.32303675299</v>
      </c>
      <c r="E3591" s="2221">
        <v>635801.77783403604</v>
      </c>
      <c r="F3591" s="2222">
        <v>7.8605319060104598E-3</v>
      </c>
      <c r="G3591" s="2223">
        <v>7.9292059764029393E-3</v>
      </c>
    </row>
    <row r="3592" spans="1:7" x14ac:dyDescent="0.3">
      <c r="A3592" s="6" t="s">
        <v>1053</v>
      </c>
      <c r="B3592" s="6"/>
      <c r="C3592" s="2216">
        <v>1</v>
      </c>
      <c r="D3592" s="2216">
        <v>573990.08860094799</v>
      </c>
      <c r="E3592" s="2217">
        <v>580121.92282473599</v>
      </c>
      <c r="F3592" s="2218">
        <v>7.1542297859254096E-3</v>
      </c>
      <c r="G3592" s="2219">
        <v>7.2352372000710503E-3</v>
      </c>
    </row>
    <row r="3593" spans="1:7" x14ac:dyDescent="0.3">
      <c r="A3593" s="11" t="s">
        <v>3032</v>
      </c>
      <c r="B3593" s="11"/>
      <c r="C3593" s="2220">
        <v>1</v>
      </c>
      <c r="D3593" s="2220">
        <v>573990.08860094799</v>
      </c>
      <c r="E3593" s="2221">
        <v>580121.92282473599</v>
      </c>
      <c r="F3593" s="2222">
        <v>7.1542297859254096E-3</v>
      </c>
      <c r="G3593" s="2223">
        <v>7.2352372000710503E-3</v>
      </c>
    </row>
    <row r="3594" spans="1:7" x14ac:dyDescent="0.3">
      <c r="A3594" s="6" t="s">
        <v>3034</v>
      </c>
      <c r="B3594" s="6"/>
      <c r="C3594" s="2216">
        <v>1</v>
      </c>
      <c r="D3594" s="2216">
        <v>573990.08860094799</v>
      </c>
      <c r="E3594" s="2217">
        <v>580121.92282473599</v>
      </c>
      <c r="F3594" s="2218">
        <v>7.1542297859254096E-3</v>
      </c>
      <c r="G3594" s="2219">
        <v>7.2352372000710503E-3</v>
      </c>
    </row>
    <row r="3595" spans="1:7" x14ac:dyDescent="0.3">
      <c r="A3595" s="11" t="s">
        <v>3036</v>
      </c>
      <c r="B3595" s="11"/>
      <c r="C3595" s="2220">
        <v>1</v>
      </c>
      <c r="D3595" s="2220">
        <v>573990.08860094799</v>
      </c>
      <c r="E3595" s="2221">
        <v>580121.92282473599</v>
      </c>
      <c r="F3595" s="2222">
        <v>7.1542297859254096E-3</v>
      </c>
      <c r="G3595" s="2223">
        <v>7.2352372000710503E-3</v>
      </c>
    </row>
    <row r="3596" spans="1:7" x14ac:dyDescent="0.3">
      <c r="A3596" s="6" t="s">
        <v>3038</v>
      </c>
      <c r="B3596" s="6"/>
      <c r="C3596" s="2216">
        <v>1</v>
      </c>
      <c r="D3596" s="2216">
        <v>573990.08860094799</v>
      </c>
      <c r="E3596" s="2217">
        <v>580121.92282473599</v>
      </c>
      <c r="F3596" s="2218">
        <v>7.1542297859254096E-3</v>
      </c>
      <c r="G3596" s="2219">
        <v>7.2352372000710503E-3</v>
      </c>
    </row>
    <row r="3597" spans="1:7" x14ac:dyDescent="0.3">
      <c r="A3597" s="11" t="s">
        <v>3040</v>
      </c>
      <c r="B3597" s="11"/>
      <c r="C3597" s="2220">
        <v>1</v>
      </c>
      <c r="D3597" s="2220">
        <v>573990.08860094799</v>
      </c>
      <c r="E3597" s="2221">
        <v>580121.92282473599</v>
      </c>
      <c r="F3597" s="2222">
        <v>7.1542297859254096E-3</v>
      </c>
      <c r="G3597" s="2223">
        <v>7.2352372000710503E-3</v>
      </c>
    </row>
    <row r="3598" spans="1:7" x14ac:dyDescent="0.3">
      <c r="A3598" s="6" t="s">
        <v>1157</v>
      </c>
      <c r="B3598" s="6"/>
      <c r="C3598" s="2216">
        <v>1</v>
      </c>
      <c r="D3598" s="2216">
        <v>573990.08860094799</v>
      </c>
      <c r="E3598" s="2217">
        <v>580121.92282473599</v>
      </c>
      <c r="F3598" s="2218">
        <v>7.1542297859254096E-3</v>
      </c>
      <c r="G3598" s="2219">
        <v>7.2352372000710503E-3</v>
      </c>
    </row>
    <row r="3599" spans="1:7" x14ac:dyDescent="0.3">
      <c r="A3599" s="11" t="s">
        <v>1055</v>
      </c>
      <c r="B3599" s="11"/>
      <c r="C3599" s="2220">
        <v>1</v>
      </c>
      <c r="D3599" s="2220">
        <v>573990.08860094799</v>
      </c>
      <c r="E3599" s="2221">
        <v>580121.92282473599</v>
      </c>
      <c r="F3599" s="2222">
        <v>7.1542297859254096E-3</v>
      </c>
      <c r="G3599" s="2223">
        <v>7.2352372000710503E-3</v>
      </c>
    </row>
    <row r="3600" spans="1:7" x14ac:dyDescent="0.3">
      <c r="A3600" s="6" t="s">
        <v>1057</v>
      </c>
      <c r="B3600" s="6"/>
      <c r="C3600" s="2216">
        <v>1</v>
      </c>
      <c r="D3600" s="2216">
        <v>573990.08860094799</v>
      </c>
      <c r="E3600" s="2217">
        <v>580121.92282473599</v>
      </c>
      <c r="F3600" s="2218">
        <v>7.1542297859254096E-3</v>
      </c>
      <c r="G3600" s="2219">
        <v>7.2352372000710503E-3</v>
      </c>
    </row>
    <row r="3601" spans="1:7" x14ac:dyDescent="0.3">
      <c r="A3601" s="11" t="s">
        <v>1059</v>
      </c>
      <c r="B3601" s="11"/>
      <c r="C3601" s="2220">
        <v>1</v>
      </c>
      <c r="D3601" s="2220">
        <v>573990.08860094799</v>
      </c>
      <c r="E3601" s="2221">
        <v>580121.92282473599</v>
      </c>
      <c r="F3601" s="2222">
        <v>7.1542297859254096E-3</v>
      </c>
      <c r="G3601" s="2223">
        <v>7.2352372000710503E-3</v>
      </c>
    </row>
    <row r="3602" spans="1:7" x14ac:dyDescent="0.3">
      <c r="A3602" s="6" t="s">
        <v>1061</v>
      </c>
      <c r="B3602" s="6"/>
      <c r="C3602" s="2216">
        <v>1</v>
      </c>
      <c r="D3602" s="2216">
        <v>573990.08860094799</v>
      </c>
      <c r="E3602" s="2217">
        <v>580121.92282473599</v>
      </c>
      <c r="F3602" s="2218">
        <v>7.1542297859254096E-3</v>
      </c>
      <c r="G3602" s="2219">
        <v>7.2352372000710503E-3</v>
      </c>
    </row>
    <row r="3603" spans="1:7" x14ac:dyDescent="0.3">
      <c r="A3603" s="11" t="s">
        <v>3047</v>
      </c>
      <c r="B3603" s="11"/>
      <c r="C3603" s="2220">
        <v>1</v>
      </c>
      <c r="D3603" s="2220">
        <v>573990.08860094799</v>
      </c>
      <c r="E3603" s="2221">
        <v>580121.92282473599</v>
      </c>
      <c r="F3603" s="2222">
        <v>7.1542297859254096E-3</v>
      </c>
      <c r="G3603" s="2223">
        <v>7.2352372000710503E-3</v>
      </c>
    </row>
    <row r="3604" spans="1:7" x14ac:dyDescent="0.3">
      <c r="A3604" s="6" t="s">
        <v>3049</v>
      </c>
      <c r="B3604" s="6"/>
      <c r="C3604" s="2216">
        <v>1</v>
      </c>
      <c r="D3604" s="2216">
        <v>573990.08860094799</v>
      </c>
      <c r="E3604" s="2217">
        <v>580121.92282473599</v>
      </c>
      <c r="F3604" s="2218">
        <v>7.1542297859254096E-3</v>
      </c>
      <c r="G3604" s="2219">
        <v>7.2352372000710503E-3</v>
      </c>
    </row>
    <row r="3605" spans="1:7" x14ac:dyDescent="0.3">
      <c r="A3605" s="11" t="s">
        <v>3051</v>
      </c>
      <c r="B3605" s="11"/>
      <c r="C3605" s="2220">
        <v>1</v>
      </c>
      <c r="D3605" s="2220">
        <v>573990.08860094799</v>
      </c>
      <c r="E3605" s="2221">
        <v>580121.92282473599</v>
      </c>
      <c r="F3605" s="2222">
        <v>7.1542297859254096E-3</v>
      </c>
      <c r="G3605" s="2223">
        <v>7.2352372000710503E-3</v>
      </c>
    </row>
    <row r="3606" spans="1:7" x14ac:dyDescent="0.3">
      <c r="A3606" s="6" t="s">
        <v>3053</v>
      </c>
      <c r="B3606" s="6"/>
      <c r="C3606" s="2216">
        <v>1</v>
      </c>
      <c r="D3606" s="2216">
        <v>573990.08860094799</v>
      </c>
      <c r="E3606" s="2217">
        <v>580121.92282473599</v>
      </c>
      <c r="F3606" s="2218">
        <v>7.1542297859254096E-3</v>
      </c>
      <c r="G3606" s="2219">
        <v>7.2352372000710503E-3</v>
      </c>
    </row>
    <row r="3607" spans="1:7" x14ac:dyDescent="0.3">
      <c r="A3607" s="11" t="s">
        <v>3055</v>
      </c>
      <c r="B3607" s="11"/>
      <c r="C3607" s="2220">
        <v>1</v>
      </c>
      <c r="D3607" s="2220">
        <v>573990.08860094799</v>
      </c>
      <c r="E3607" s="2221">
        <v>580121.92282473599</v>
      </c>
      <c r="F3607" s="2222">
        <v>7.1542297859254096E-3</v>
      </c>
      <c r="G3607" s="2223">
        <v>7.2352372000710503E-3</v>
      </c>
    </row>
    <row r="3608" spans="1:7" x14ac:dyDescent="0.3">
      <c r="A3608" s="6" t="s">
        <v>6269</v>
      </c>
      <c r="B3608" s="6" t="s">
        <v>6270</v>
      </c>
      <c r="C3608" s="2216">
        <v>59876</v>
      </c>
      <c r="D3608" s="2216">
        <v>8023087121.5538101</v>
      </c>
      <c r="E3608" s="2217">
        <v>109184500.79501601</v>
      </c>
      <c r="F3608" s="2218">
        <v>100</v>
      </c>
      <c r="G3608" s="2219">
        <v>1.45362315675074E-14</v>
      </c>
    </row>
    <row r="3609" spans="1:7" x14ac:dyDescent="0.3">
      <c r="A3609" s="11" t="s">
        <v>6269</v>
      </c>
      <c r="B3609" s="11" t="s">
        <v>6271</v>
      </c>
      <c r="C3609" s="2220">
        <v>59876</v>
      </c>
      <c r="D3609" s="2220">
        <v>8023087121.5538101</v>
      </c>
      <c r="E3609" s="2221">
        <v>0</v>
      </c>
      <c r="F3609" s="2222">
        <v>100</v>
      </c>
      <c r="G3609" s="2223">
        <v>0</v>
      </c>
    </row>
    <row r="3610" spans="1:7" x14ac:dyDescent="0.3">
      <c r="A3610" s="3299" t="s">
        <v>400</v>
      </c>
      <c r="B3610" s="3298"/>
      <c r="C3610" s="3298"/>
      <c r="D3610" s="3298"/>
      <c r="E3610" s="3298"/>
      <c r="F3610" s="3298"/>
      <c r="G3610" s="3298"/>
    </row>
    <row r="3611" spans="1:7" x14ac:dyDescent="0.3">
      <c r="A3611" s="11" t="s">
        <v>4286</v>
      </c>
      <c r="B3611" s="11"/>
      <c r="C3611" s="2228">
        <v>20648</v>
      </c>
      <c r="D3611" s="2228">
        <v>2831940530.30443</v>
      </c>
      <c r="E3611" s="2229">
        <v>39254963.924277402</v>
      </c>
      <c r="F3611" s="2230">
        <v>35.297392230685098</v>
      </c>
      <c r="G3611" s="2231">
        <v>0.24376159128630101</v>
      </c>
    </row>
    <row r="3612" spans="1:7" x14ac:dyDescent="0.3">
      <c r="A3612" s="6" t="s">
        <v>6666</v>
      </c>
      <c r="B3612" s="6"/>
      <c r="C3612" s="2224">
        <v>9913</v>
      </c>
      <c r="D3612" s="2224">
        <v>1163037108.64451</v>
      </c>
      <c r="E3612" s="2225">
        <v>12995755.976824701</v>
      </c>
      <c r="F3612" s="2226">
        <v>14.496129619732599</v>
      </c>
      <c r="G3612" s="2227">
        <v>0.19376956488781399</v>
      </c>
    </row>
    <row r="3613" spans="1:7" x14ac:dyDescent="0.3">
      <c r="A3613" s="11" t="s">
        <v>6667</v>
      </c>
      <c r="B3613" s="11"/>
      <c r="C3613" s="2228">
        <v>7118</v>
      </c>
      <c r="D3613" s="2228">
        <v>835445645.34741199</v>
      </c>
      <c r="E3613" s="2229">
        <v>19761321.1166372</v>
      </c>
      <c r="F3613" s="2230">
        <v>10.413019735296301</v>
      </c>
      <c r="G3613" s="2231">
        <v>0.12920033061462699</v>
      </c>
    </row>
    <row r="3614" spans="1:7" x14ac:dyDescent="0.3">
      <c r="A3614" s="6" t="s">
        <v>6668</v>
      </c>
      <c r="B3614" s="6"/>
      <c r="C3614" s="2224">
        <v>5019</v>
      </c>
      <c r="D3614" s="2224">
        <v>585210085.61426198</v>
      </c>
      <c r="E3614" s="2225">
        <v>22987998.723618701</v>
      </c>
      <c r="F3614" s="2226">
        <v>7.29407616729116</v>
      </c>
      <c r="G3614" s="2227">
        <v>0.20374825405663599</v>
      </c>
    </row>
    <row r="3615" spans="1:7" x14ac:dyDescent="0.3">
      <c r="A3615" s="11" t="s">
        <v>6669</v>
      </c>
      <c r="B3615" s="11"/>
      <c r="C3615" s="2228">
        <v>3425</v>
      </c>
      <c r="D3615" s="2228">
        <v>521581192.71679997</v>
      </c>
      <c r="E3615" s="2229">
        <v>9204768.1001493502</v>
      </c>
      <c r="F3615" s="2230">
        <v>6.5010037260543596</v>
      </c>
      <c r="G3615" s="2231">
        <v>0.17460978949366199</v>
      </c>
    </row>
    <row r="3616" spans="1:7" x14ac:dyDescent="0.3">
      <c r="A3616" s="6" t="s">
        <v>6670</v>
      </c>
      <c r="B3616" s="6"/>
      <c r="C3616" s="2224">
        <v>3348</v>
      </c>
      <c r="D3616" s="2224">
        <v>391796429.57205802</v>
      </c>
      <c r="E3616" s="2225">
        <v>12830160.783391399</v>
      </c>
      <c r="F3616" s="2226">
        <v>4.8833625216346901</v>
      </c>
      <c r="G3616" s="2227">
        <v>0.116654446282109</v>
      </c>
    </row>
    <row r="3617" spans="1:7" x14ac:dyDescent="0.3">
      <c r="A3617" s="11" t="s">
        <v>6671</v>
      </c>
      <c r="B3617" s="11"/>
      <c r="C3617" s="2228">
        <v>2274</v>
      </c>
      <c r="D3617" s="2228">
        <v>387153900.359595</v>
      </c>
      <c r="E3617" s="2229">
        <v>8472744.8111491296</v>
      </c>
      <c r="F3617" s="2230">
        <v>4.8254978974304796</v>
      </c>
      <c r="G3617" s="2231">
        <v>0.12887047923368</v>
      </c>
    </row>
    <row r="3618" spans="1:7" x14ac:dyDescent="0.3">
      <c r="A3618" s="6" t="s">
        <v>6672</v>
      </c>
      <c r="B3618" s="6"/>
      <c r="C3618" s="2224">
        <v>2192</v>
      </c>
      <c r="D3618" s="2224">
        <v>266133743.13007101</v>
      </c>
      <c r="E3618" s="2225">
        <v>17363423.5623511</v>
      </c>
      <c r="F3618" s="2226">
        <v>3.3170990056322598</v>
      </c>
      <c r="G3618" s="2227">
        <v>0.17652586665040301</v>
      </c>
    </row>
    <row r="3619" spans="1:7" x14ac:dyDescent="0.3">
      <c r="A3619" s="11" t="s">
        <v>6673</v>
      </c>
      <c r="B3619" s="11"/>
      <c r="C3619" s="2228">
        <v>1147</v>
      </c>
      <c r="D3619" s="2228">
        <v>221857782.532179</v>
      </c>
      <c r="E3619" s="2229">
        <v>14011218.1010147</v>
      </c>
      <c r="F3619" s="2230">
        <v>2.7652420966009998</v>
      </c>
      <c r="G3619" s="2231">
        <v>0.182374159753149</v>
      </c>
    </row>
    <row r="3620" spans="1:7" x14ac:dyDescent="0.3">
      <c r="A3620" s="6" t="s">
        <v>6674</v>
      </c>
      <c r="B3620" s="6"/>
      <c r="C3620" s="2224">
        <v>1224</v>
      </c>
      <c r="D3620" s="2224">
        <v>153129800.49471399</v>
      </c>
      <c r="E3620" s="2225">
        <v>11595261.0444976</v>
      </c>
      <c r="F3620" s="2226">
        <v>1.9086144544452801</v>
      </c>
      <c r="G3620" s="2227">
        <v>0.124454506157467</v>
      </c>
    </row>
    <row r="3621" spans="1:7" x14ac:dyDescent="0.3">
      <c r="A3621" s="11" t="s">
        <v>4835</v>
      </c>
      <c r="B3621" s="11"/>
      <c r="C3621" s="2228">
        <v>636</v>
      </c>
      <c r="D3621" s="2228">
        <v>139730335.12818599</v>
      </c>
      <c r="E3621" s="2229">
        <v>4621811.2886642702</v>
      </c>
      <c r="F3621" s="2230">
        <v>1.7416031137541099</v>
      </c>
      <c r="G3621" s="2231">
        <v>6.42747970277813E-2</v>
      </c>
    </row>
    <row r="3622" spans="1:7" x14ac:dyDescent="0.3">
      <c r="A3622" s="6" t="s">
        <v>6675</v>
      </c>
      <c r="B3622" s="6"/>
      <c r="C3622" s="2224">
        <v>357</v>
      </c>
      <c r="D3622" s="2224">
        <v>95880827.692470193</v>
      </c>
      <c r="E3622" s="2225">
        <v>5496122.4789490895</v>
      </c>
      <c r="F3622" s="2226">
        <v>1.1950615298055201</v>
      </c>
      <c r="G3622" s="2227">
        <v>7.4241888173772599E-2</v>
      </c>
    </row>
    <row r="3623" spans="1:7" x14ac:dyDescent="0.3">
      <c r="A3623" s="11" t="s">
        <v>6676</v>
      </c>
      <c r="B3623" s="11"/>
      <c r="C3623" s="2228">
        <v>718</v>
      </c>
      <c r="D3623" s="2228">
        <v>94060491.845232204</v>
      </c>
      <c r="E3623" s="2229">
        <v>7632831.78500026</v>
      </c>
      <c r="F3623" s="2230">
        <v>1.1723728088723</v>
      </c>
      <c r="G3623" s="2231">
        <v>8.2729624616977193E-2</v>
      </c>
    </row>
    <row r="3624" spans="1:7" x14ac:dyDescent="0.3">
      <c r="A3624" s="6" t="s">
        <v>6677</v>
      </c>
      <c r="B3624" s="6"/>
      <c r="C3624" s="2224">
        <v>303</v>
      </c>
      <c r="D3624" s="2224">
        <v>65816708.769278198</v>
      </c>
      <c r="E3624" s="2225">
        <v>7032478.2603895701</v>
      </c>
      <c r="F3624" s="2226">
        <v>0.82034144428599598</v>
      </c>
      <c r="G3624" s="2227">
        <v>8.1518041610505604E-2</v>
      </c>
    </row>
    <row r="3625" spans="1:7" x14ac:dyDescent="0.3">
      <c r="A3625" s="11" t="s">
        <v>6678</v>
      </c>
      <c r="B3625" s="11"/>
      <c r="C3625" s="2228">
        <v>421</v>
      </c>
      <c r="D3625" s="2228">
        <v>60587261.951247104</v>
      </c>
      <c r="E3625" s="2229">
        <v>2872803.7943567298</v>
      </c>
      <c r="F3625" s="2230">
        <v>0.75516146133426698</v>
      </c>
      <c r="G3625" s="2231">
        <v>3.1727163234798801E-2</v>
      </c>
    </row>
    <row r="3626" spans="1:7" x14ac:dyDescent="0.3">
      <c r="A3626" s="6" t="s">
        <v>6679</v>
      </c>
      <c r="B3626" s="6"/>
      <c r="C3626" s="2224">
        <v>168</v>
      </c>
      <c r="D3626" s="2224">
        <v>42369498.169739597</v>
      </c>
      <c r="E3626" s="2225">
        <v>6137666.5370792504</v>
      </c>
      <c r="F3626" s="2226">
        <v>0.52809470379444101</v>
      </c>
      <c r="G3626" s="2227">
        <v>8.0778008905472806E-2</v>
      </c>
    </row>
    <row r="3627" spans="1:7" x14ac:dyDescent="0.3">
      <c r="A3627" s="11" t="s">
        <v>6680</v>
      </c>
      <c r="B3627" s="11"/>
      <c r="C3627" s="2228">
        <v>279</v>
      </c>
      <c r="D3627" s="2228">
        <v>39528644.570021398</v>
      </c>
      <c r="E3627" s="2229">
        <v>2715074.5109650102</v>
      </c>
      <c r="F3627" s="2230">
        <v>0.49268621879760899</v>
      </c>
      <c r="G3627" s="2231">
        <v>3.2314809496989602E-2</v>
      </c>
    </row>
    <row r="3628" spans="1:7" x14ac:dyDescent="0.3">
      <c r="A3628" s="6" t="s">
        <v>6681</v>
      </c>
      <c r="B3628" s="6"/>
      <c r="C3628" s="2224">
        <v>156</v>
      </c>
      <c r="D3628" s="2224">
        <v>27530449.127513502</v>
      </c>
      <c r="E3628" s="2225">
        <v>2252097.9305876102</v>
      </c>
      <c r="F3628" s="2226">
        <v>0.34314034872628602</v>
      </c>
      <c r="G3628" s="2227">
        <v>2.88593131870961E-2</v>
      </c>
    </row>
    <row r="3629" spans="1:7" x14ac:dyDescent="0.3">
      <c r="A3629" s="11" t="s">
        <v>6682</v>
      </c>
      <c r="B3629" s="11"/>
      <c r="C3629" s="2228">
        <v>76</v>
      </c>
      <c r="D3629" s="2228">
        <v>19828093.648207299</v>
      </c>
      <c r="E3629" s="2229">
        <v>3650691.9856403801</v>
      </c>
      <c r="F3629" s="2230">
        <v>0.247137957594149</v>
      </c>
      <c r="G3629" s="2231">
        <v>4.7833554450724299E-2</v>
      </c>
    </row>
    <row r="3630" spans="1:7" x14ac:dyDescent="0.3">
      <c r="A3630" s="6" t="s">
        <v>6683</v>
      </c>
      <c r="B3630" s="6"/>
      <c r="C3630" s="2224">
        <v>113</v>
      </c>
      <c r="D3630" s="2224">
        <v>15708533.093843101</v>
      </c>
      <c r="E3630" s="2225">
        <v>2714050.1067114202</v>
      </c>
      <c r="F3630" s="2226">
        <v>0.19579163052639101</v>
      </c>
      <c r="G3630" s="2227">
        <v>3.4007707287446599E-2</v>
      </c>
    </row>
    <row r="3631" spans="1:7" x14ac:dyDescent="0.3">
      <c r="A3631" s="11" t="s">
        <v>6684</v>
      </c>
      <c r="B3631" s="11"/>
      <c r="C3631" s="2228">
        <v>68</v>
      </c>
      <c r="D3631" s="2228">
        <v>12362652.1182181</v>
      </c>
      <c r="E3631" s="2229">
        <v>2763179.76175729</v>
      </c>
      <c r="F3631" s="2230">
        <v>0.154088469075777</v>
      </c>
      <c r="G3631" s="2231">
        <v>3.4693158042786998E-2</v>
      </c>
    </row>
    <row r="3632" spans="1:7" x14ac:dyDescent="0.3">
      <c r="A3632" s="6" t="s">
        <v>6685</v>
      </c>
      <c r="B3632" s="6"/>
      <c r="C3632" s="2224">
        <v>42</v>
      </c>
      <c r="D3632" s="2224">
        <v>11094696.5945901</v>
      </c>
      <c r="E3632" s="2225">
        <v>2669915.7298424002</v>
      </c>
      <c r="F3632" s="2226">
        <v>0.13828463316551201</v>
      </c>
      <c r="G3632" s="2227">
        <v>3.3794988757119303E-2</v>
      </c>
    </row>
    <row r="3633" spans="1:7" x14ac:dyDescent="0.3">
      <c r="A3633" s="11" t="s">
        <v>6686</v>
      </c>
      <c r="B3633" s="11"/>
      <c r="C3633" s="2228">
        <v>57</v>
      </c>
      <c r="D3633" s="2228">
        <v>8271977.1413968597</v>
      </c>
      <c r="E3633" s="2229">
        <v>2698196.3374801702</v>
      </c>
      <c r="F3633" s="2230">
        <v>0.10310217271821</v>
      </c>
      <c r="G3633" s="2231">
        <v>3.3796556441032001E-2</v>
      </c>
    </row>
    <row r="3634" spans="1:7" x14ac:dyDescent="0.3">
      <c r="A3634" s="6" t="s">
        <v>6687</v>
      </c>
      <c r="B3634" s="6"/>
      <c r="C3634" s="2224">
        <v>34</v>
      </c>
      <c r="D3634" s="2224">
        <v>8050745.1303895796</v>
      </c>
      <c r="E3634" s="2225">
        <v>1479823.18449011</v>
      </c>
      <c r="F3634" s="2226">
        <v>0.10034473025677899</v>
      </c>
      <c r="G3634" s="2227">
        <v>1.86780273970731E-2</v>
      </c>
    </row>
    <row r="3635" spans="1:7" x14ac:dyDescent="0.3">
      <c r="A3635" s="11" t="s">
        <v>6688</v>
      </c>
      <c r="B3635" s="11"/>
      <c r="C3635" s="2228">
        <v>43</v>
      </c>
      <c r="D3635" s="2228">
        <v>7212453.5055908896</v>
      </c>
      <c r="E3635" s="2229">
        <v>2594105.34143415</v>
      </c>
      <c r="F3635" s="2230">
        <v>8.98962381477178E-2</v>
      </c>
      <c r="G3635" s="2231">
        <v>3.2653760965272803E-2</v>
      </c>
    </row>
    <row r="3636" spans="1:7" x14ac:dyDescent="0.3">
      <c r="A3636" s="6" t="s">
        <v>6689</v>
      </c>
      <c r="B3636" s="6"/>
      <c r="C3636" s="2224">
        <v>18</v>
      </c>
      <c r="D3636" s="2224">
        <v>4591202.12505644</v>
      </c>
      <c r="E3636" s="2225">
        <v>1358421.79015597</v>
      </c>
      <c r="F3636" s="2226">
        <v>5.7224881837843897E-2</v>
      </c>
      <c r="G3636" s="2227">
        <v>1.7045554408925599E-2</v>
      </c>
    </row>
    <row r="3637" spans="1:7" x14ac:dyDescent="0.3">
      <c r="A3637" s="11" t="s">
        <v>6690</v>
      </c>
      <c r="B3637" s="11"/>
      <c r="C3637" s="2228">
        <v>27</v>
      </c>
      <c r="D3637" s="2228">
        <v>3933709.0248598601</v>
      </c>
      <c r="E3637" s="2229">
        <v>1859690.39337618</v>
      </c>
      <c r="F3637" s="2230">
        <v>4.9029867995475901E-2</v>
      </c>
      <c r="G3637" s="2231">
        <v>2.33243855265679E-2</v>
      </c>
    </row>
    <row r="3638" spans="1:7" x14ac:dyDescent="0.3">
      <c r="A3638" s="6" t="s">
        <v>6691</v>
      </c>
      <c r="B3638" s="6"/>
      <c r="C3638" s="2224">
        <v>19</v>
      </c>
      <c r="D3638" s="2224">
        <v>3222474.1199659398</v>
      </c>
      <c r="E3638" s="2225">
        <v>1340901.8820772001</v>
      </c>
      <c r="F3638" s="2226">
        <v>4.0165014677565301E-2</v>
      </c>
      <c r="G3638" s="2227">
        <v>1.6798222684362599E-2</v>
      </c>
    </row>
    <row r="3639" spans="1:7" x14ac:dyDescent="0.3">
      <c r="A3639" s="11" t="s">
        <v>6692</v>
      </c>
      <c r="B3639" s="11"/>
      <c r="C3639" s="2228">
        <v>10</v>
      </c>
      <c r="D3639" s="2228">
        <v>1783961.1961143699</v>
      </c>
      <c r="E3639" s="2229">
        <v>1190418.7278845999</v>
      </c>
      <c r="F3639" s="2230">
        <v>2.2235346183912201E-2</v>
      </c>
      <c r="G3639" s="2231">
        <v>1.48930328755848E-2</v>
      </c>
    </row>
    <row r="3640" spans="1:7" x14ac:dyDescent="0.3">
      <c r="A3640" s="6" t="s">
        <v>6693</v>
      </c>
      <c r="B3640" s="6"/>
      <c r="C3640" s="2224">
        <v>6</v>
      </c>
      <c r="D3640" s="2224">
        <v>1553363.37820785</v>
      </c>
      <c r="E3640" s="2225">
        <v>712775.52389575203</v>
      </c>
      <c r="F3640" s="2226">
        <v>1.9361168022652701E-2</v>
      </c>
      <c r="G3640" s="2227">
        <v>8.8658824596034094E-3</v>
      </c>
    </row>
    <row r="3641" spans="1:7" x14ac:dyDescent="0.3">
      <c r="A3641" s="11" t="s">
        <v>6694</v>
      </c>
      <c r="B3641" s="11"/>
      <c r="C3641" s="2228">
        <v>5</v>
      </c>
      <c r="D3641" s="2228">
        <v>712505.70758231205</v>
      </c>
      <c r="E3641" s="2229">
        <v>736414.43638067204</v>
      </c>
      <c r="F3641" s="2230">
        <v>8.8806926409684007E-3</v>
      </c>
      <c r="G3641" s="2231">
        <v>9.1556905163194206E-3</v>
      </c>
    </row>
    <row r="3642" spans="1:7" x14ac:dyDescent="0.3">
      <c r="A3642" s="6" t="s">
        <v>6695</v>
      </c>
      <c r="B3642" s="6"/>
      <c r="C3642" s="2224">
        <v>3</v>
      </c>
      <c r="D3642" s="2224">
        <v>559840.61695545004</v>
      </c>
      <c r="E3642" s="2225">
        <v>564457.13245658204</v>
      </c>
      <c r="F3642" s="2226">
        <v>6.9778703443398203E-3</v>
      </c>
      <c r="G3642" s="2227">
        <v>7.0158614955047501E-3</v>
      </c>
    </row>
    <row r="3643" spans="1:7" x14ac:dyDescent="0.3">
      <c r="A3643" s="11" t="s">
        <v>6696</v>
      </c>
      <c r="B3643" s="11"/>
      <c r="C3643" s="2228">
        <v>2</v>
      </c>
      <c r="D3643" s="2228">
        <v>419539.58627926302</v>
      </c>
      <c r="E3643" s="2229">
        <v>302073.35057393002</v>
      </c>
      <c r="F3643" s="2230">
        <v>5.2291540640532399E-3</v>
      </c>
      <c r="G3643" s="2231">
        <v>3.7629944729007602E-3</v>
      </c>
    </row>
    <row r="3644" spans="1:7" x14ac:dyDescent="0.3">
      <c r="A3644" s="6" t="s">
        <v>6697</v>
      </c>
      <c r="B3644" s="6"/>
      <c r="C3644" s="2224">
        <v>2</v>
      </c>
      <c r="D3644" s="2224">
        <v>200006.572004666</v>
      </c>
      <c r="E3644" s="2225">
        <v>182078.381965365</v>
      </c>
      <c r="F3644" s="2226">
        <v>2.49288794917051E-3</v>
      </c>
      <c r="G3644" s="2227">
        <v>2.2638846475836198E-3</v>
      </c>
    </row>
    <row r="3645" spans="1:7" x14ac:dyDescent="0.3">
      <c r="A3645" s="11" t="s">
        <v>6698</v>
      </c>
      <c r="B3645" s="11"/>
      <c r="C3645" s="2228">
        <v>1</v>
      </c>
      <c r="D3645" s="2228">
        <v>178126.42689557801</v>
      </c>
      <c r="E3645" s="2229">
        <v>184103.60909516801</v>
      </c>
      <c r="F3645" s="2230">
        <v>2.2201731602421002E-3</v>
      </c>
      <c r="G3645" s="2231">
        <v>2.2889226290798599E-3</v>
      </c>
    </row>
    <row r="3646" spans="1:7" x14ac:dyDescent="0.3">
      <c r="A3646" s="6" t="s">
        <v>6699</v>
      </c>
      <c r="B3646" s="6"/>
      <c r="C3646" s="2224">
        <v>1</v>
      </c>
      <c r="D3646" s="2224">
        <v>157482.71226483199</v>
      </c>
      <c r="E3646" s="2225">
        <v>160768.065717933</v>
      </c>
      <c r="F3646" s="2226">
        <v>1.9628692781081601E-3</v>
      </c>
      <c r="G3646" s="2227">
        <v>2.00016417350308E-3</v>
      </c>
    </row>
    <row r="3647" spans="1:7" x14ac:dyDescent="0.3">
      <c r="A3647" s="11" t="s">
        <v>6700</v>
      </c>
      <c r="B3647" s="11"/>
      <c r="C3647" s="2228">
        <v>1</v>
      </c>
      <c r="D3647" s="2228">
        <v>157482.71226483199</v>
      </c>
      <c r="E3647" s="2229">
        <v>160768.065717933</v>
      </c>
      <c r="F3647" s="2230">
        <v>1.9628692781081601E-3</v>
      </c>
      <c r="G3647" s="2231">
        <v>2.00016417350308E-3</v>
      </c>
    </row>
    <row r="3648" spans="1:7" x14ac:dyDescent="0.3">
      <c r="A3648" s="6" t="s">
        <v>6701</v>
      </c>
      <c r="B3648" s="6"/>
      <c r="C3648" s="2224">
        <v>1</v>
      </c>
      <c r="D3648" s="2224">
        <v>157482.71226483199</v>
      </c>
      <c r="E3648" s="2225">
        <v>160768.065717933</v>
      </c>
      <c r="F3648" s="2226">
        <v>1.9628692781081601E-3</v>
      </c>
      <c r="G3648" s="2227">
        <v>2.00016417350308E-3</v>
      </c>
    </row>
    <row r="3649" spans="1:7" x14ac:dyDescent="0.3">
      <c r="A3649" s="11" t="s">
        <v>3228</v>
      </c>
      <c r="B3649" s="11"/>
      <c r="C3649" s="2228">
        <v>1</v>
      </c>
      <c r="D3649" s="2228">
        <v>140357.46113293999</v>
      </c>
      <c r="E3649" s="2229">
        <v>140588.18136252399</v>
      </c>
      <c r="F3649" s="2230">
        <v>1.7494196312024799E-3</v>
      </c>
      <c r="G3649" s="2231">
        <v>1.75382846631454E-3</v>
      </c>
    </row>
    <row r="3650" spans="1:7" x14ac:dyDescent="0.3">
      <c r="A3650" s="6" t="s">
        <v>6269</v>
      </c>
      <c r="B3650" s="6" t="s">
        <v>6270</v>
      </c>
      <c r="C3650" s="2224">
        <v>59876</v>
      </c>
      <c r="D3650" s="2224">
        <v>8023087121.5538101</v>
      </c>
      <c r="E3650" s="2225">
        <v>109184500.795019</v>
      </c>
      <c r="F3650" s="2226">
        <v>100</v>
      </c>
      <c r="G3650" s="2227">
        <v>1.02786679142825E-14</v>
      </c>
    </row>
    <row r="3651" spans="1:7" x14ac:dyDescent="0.3">
      <c r="A3651" s="11" t="s">
        <v>6269</v>
      </c>
      <c r="B3651" s="11" t="s">
        <v>6271</v>
      </c>
      <c r="C3651" s="2228">
        <v>59876</v>
      </c>
      <c r="D3651" s="2228">
        <v>8023087121.5538101</v>
      </c>
      <c r="E3651" s="2229">
        <v>0</v>
      </c>
      <c r="F3651" s="2230">
        <v>100</v>
      </c>
      <c r="G3651" s="2231">
        <v>0</v>
      </c>
    </row>
    <row r="3652" spans="1:7" x14ac:dyDescent="0.3">
      <c r="A3652" s="3299" t="s">
        <v>317</v>
      </c>
      <c r="B3652" s="3298"/>
      <c r="C3652" s="3298"/>
      <c r="D3652" s="3298"/>
      <c r="E3652" s="3298"/>
      <c r="F3652" s="3298"/>
      <c r="G3652" s="3298"/>
    </row>
    <row r="3653" spans="1:7" x14ac:dyDescent="0.3">
      <c r="A3653" s="11" t="s">
        <v>4286</v>
      </c>
      <c r="B3653" s="11"/>
      <c r="C3653" s="2236">
        <v>20517</v>
      </c>
      <c r="D3653" s="2236">
        <v>2806802090.7908702</v>
      </c>
      <c r="E3653" s="2237">
        <v>39570967.9301586</v>
      </c>
      <c r="F3653" s="2238">
        <v>34.9840659619721</v>
      </c>
      <c r="G3653" s="2239">
        <v>0.21534113003740099</v>
      </c>
    </row>
    <row r="3654" spans="1:7" x14ac:dyDescent="0.3">
      <c r="A3654" s="6" t="s">
        <v>6666</v>
      </c>
      <c r="B3654" s="6"/>
      <c r="C3654" s="2232">
        <v>9750</v>
      </c>
      <c r="D3654" s="2232">
        <v>1150429857.1145999</v>
      </c>
      <c r="E3654" s="2233">
        <v>13502544.679138299</v>
      </c>
      <c r="F3654" s="2234">
        <v>14.3389924562081</v>
      </c>
      <c r="G3654" s="2235">
        <v>0.21445129035823501</v>
      </c>
    </row>
    <row r="3655" spans="1:7" x14ac:dyDescent="0.3">
      <c r="A3655" s="11" t="s">
        <v>6667</v>
      </c>
      <c r="B3655" s="11"/>
      <c r="C3655" s="2236">
        <v>7193</v>
      </c>
      <c r="D3655" s="2236">
        <v>841608910.23734105</v>
      </c>
      <c r="E3655" s="2237">
        <v>19834813.436494701</v>
      </c>
      <c r="F3655" s="2238">
        <v>10.489838854876499</v>
      </c>
      <c r="G3655" s="2239">
        <v>0.12783452618256699</v>
      </c>
    </row>
    <row r="3656" spans="1:7" x14ac:dyDescent="0.3">
      <c r="A3656" s="6" t="s">
        <v>6668</v>
      </c>
      <c r="B3656" s="6"/>
      <c r="C3656" s="2232">
        <v>5088</v>
      </c>
      <c r="D3656" s="2232">
        <v>596881766.018996</v>
      </c>
      <c r="E3656" s="2233">
        <v>23041771.7768333</v>
      </c>
      <c r="F3656" s="2234">
        <v>7.4395523440782503</v>
      </c>
      <c r="G3656" s="2235">
        <v>0.204871645077467</v>
      </c>
    </row>
    <row r="3657" spans="1:7" x14ac:dyDescent="0.3">
      <c r="A3657" s="11" t="s">
        <v>6669</v>
      </c>
      <c r="B3657" s="11"/>
      <c r="C3657" s="2236">
        <v>3425</v>
      </c>
      <c r="D3657" s="2236">
        <v>520903493.37480998</v>
      </c>
      <c r="E3657" s="2237">
        <v>10689059.5043789</v>
      </c>
      <c r="F3657" s="2238">
        <v>6.4925568610045001</v>
      </c>
      <c r="G3657" s="2239">
        <v>0.18986973221408401</v>
      </c>
    </row>
    <row r="3658" spans="1:7" x14ac:dyDescent="0.3">
      <c r="A3658" s="6" t="s">
        <v>6670</v>
      </c>
      <c r="B3658" s="6"/>
      <c r="C3658" s="2232">
        <v>3392</v>
      </c>
      <c r="D3658" s="2232">
        <v>394926192.92350799</v>
      </c>
      <c r="E3658" s="2233">
        <v>13141044.714063499</v>
      </c>
      <c r="F3658" s="2234">
        <v>4.9223719864956896</v>
      </c>
      <c r="G3658" s="2235">
        <v>0.11763992665166501</v>
      </c>
    </row>
    <row r="3659" spans="1:7" x14ac:dyDescent="0.3">
      <c r="A3659" s="11" t="s">
        <v>6671</v>
      </c>
      <c r="B3659" s="11"/>
      <c r="C3659" s="2236">
        <v>2277</v>
      </c>
      <c r="D3659" s="2236">
        <v>388030803.297925</v>
      </c>
      <c r="E3659" s="2237">
        <v>9731049.4283279795</v>
      </c>
      <c r="F3659" s="2238">
        <v>4.8364276421166004</v>
      </c>
      <c r="G3659" s="2239">
        <v>0.14640539309096101</v>
      </c>
    </row>
    <row r="3660" spans="1:7" x14ac:dyDescent="0.3">
      <c r="A3660" s="6" t="s">
        <v>6672</v>
      </c>
      <c r="B3660" s="6"/>
      <c r="C3660" s="2232">
        <v>2219</v>
      </c>
      <c r="D3660" s="2232">
        <v>265555964.444399</v>
      </c>
      <c r="E3660" s="2233">
        <v>17402976.421128701</v>
      </c>
      <c r="F3660" s="2234">
        <v>3.3098975546581002</v>
      </c>
      <c r="G3660" s="2235">
        <v>0.17730217578972299</v>
      </c>
    </row>
    <row r="3661" spans="1:7" x14ac:dyDescent="0.3">
      <c r="A3661" s="11" t="s">
        <v>6673</v>
      </c>
      <c r="B3661" s="11"/>
      <c r="C3661" s="2236">
        <v>1153</v>
      </c>
      <c r="D3661" s="2236">
        <v>224545363.97058201</v>
      </c>
      <c r="E3661" s="2237">
        <v>14222134.828420499</v>
      </c>
      <c r="F3661" s="2238">
        <v>2.79874019275382</v>
      </c>
      <c r="G3661" s="2239">
        <v>0.185291556127677</v>
      </c>
    </row>
    <row r="3662" spans="1:7" x14ac:dyDescent="0.3">
      <c r="A3662" s="6" t="s">
        <v>6674</v>
      </c>
      <c r="B3662" s="6"/>
      <c r="C3662" s="2232">
        <v>1257</v>
      </c>
      <c r="D3662" s="2232">
        <v>159365008.62425199</v>
      </c>
      <c r="E3662" s="2233">
        <v>13333900.5963731</v>
      </c>
      <c r="F3662" s="2234">
        <v>1.9863302767350299</v>
      </c>
      <c r="G3662" s="2235">
        <v>0.14511017255845099</v>
      </c>
    </row>
    <row r="3663" spans="1:7" x14ac:dyDescent="0.3">
      <c r="A3663" s="11" t="s">
        <v>4835</v>
      </c>
      <c r="B3663" s="11"/>
      <c r="C3663" s="2236">
        <v>639</v>
      </c>
      <c r="D3663" s="2236">
        <v>140502621.28858301</v>
      </c>
      <c r="E3663" s="2237">
        <v>4584757.3567317799</v>
      </c>
      <c r="F3663" s="2238">
        <v>1.75122891176299</v>
      </c>
      <c r="G3663" s="2239">
        <v>6.2773086919142101E-2</v>
      </c>
    </row>
    <row r="3664" spans="1:7" x14ac:dyDescent="0.3">
      <c r="A3664" s="6" t="s">
        <v>6675</v>
      </c>
      <c r="B3664" s="6"/>
      <c r="C3664" s="2232">
        <v>358</v>
      </c>
      <c r="D3664" s="2232">
        <v>97441861.020520896</v>
      </c>
      <c r="E3664" s="2233">
        <v>4956850.23829515</v>
      </c>
      <c r="F3664" s="2234">
        <v>1.2145182963144701</v>
      </c>
      <c r="G3664" s="2235">
        <v>6.6806480757720901E-2</v>
      </c>
    </row>
    <row r="3665" spans="1:7" x14ac:dyDescent="0.3">
      <c r="A3665" s="11" t="s">
        <v>6676</v>
      </c>
      <c r="B3665" s="11"/>
      <c r="C3665" s="2236">
        <v>732</v>
      </c>
      <c r="D3665" s="2236">
        <v>95945100.785292298</v>
      </c>
      <c r="E3665" s="2237">
        <v>7221983.5725222202</v>
      </c>
      <c r="F3665" s="2238">
        <v>1.1958626315740499</v>
      </c>
      <c r="G3665" s="2239">
        <v>7.7733164448775094E-2</v>
      </c>
    </row>
    <row r="3666" spans="1:7" x14ac:dyDescent="0.3">
      <c r="A3666" s="6" t="s">
        <v>6677</v>
      </c>
      <c r="B3666" s="6"/>
      <c r="C3666" s="2232">
        <v>305</v>
      </c>
      <c r="D3666" s="2232">
        <v>66947005.438964203</v>
      </c>
      <c r="E3666" s="2233">
        <v>7032231.7262845198</v>
      </c>
      <c r="F3666" s="2234">
        <v>0.83442949608652295</v>
      </c>
      <c r="G3666" s="2235">
        <v>8.1570415753082298E-2</v>
      </c>
    </row>
    <row r="3667" spans="1:7" x14ac:dyDescent="0.3">
      <c r="A3667" s="11" t="s">
        <v>6678</v>
      </c>
      <c r="B3667" s="11"/>
      <c r="C3667" s="2236">
        <v>430</v>
      </c>
      <c r="D3667" s="2236">
        <v>61052281.309668601</v>
      </c>
      <c r="E3667" s="2237">
        <v>2964931.0015434301</v>
      </c>
      <c r="F3667" s="2238">
        <v>0.76095747665076796</v>
      </c>
      <c r="G3667" s="2239">
        <v>3.2907003111264002E-2</v>
      </c>
    </row>
    <row r="3668" spans="1:7" x14ac:dyDescent="0.3">
      <c r="A3668" s="6" t="s">
        <v>6679</v>
      </c>
      <c r="B3668" s="6"/>
      <c r="C3668" s="2232">
        <v>168</v>
      </c>
      <c r="D3668" s="2232">
        <v>41936929.638829999</v>
      </c>
      <c r="E3668" s="2233">
        <v>6266316.62943759</v>
      </c>
      <c r="F3668" s="2234">
        <v>0.52270315657133504</v>
      </c>
      <c r="G3668" s="2235">
        <v>8.2068285942531793E-2</v>
      </c>
    </row>
    <row r="3669" spans="1:7" x14ac:dyDescent="0.3">
      <c r="A3669" s="11" t="s">
        <v>6680</v>
      </c>
      <c r="B3669" s="11"/>
      <c r="C3669" s="2236">
        <v>282</v>
      </c>
      <c r="D3669" s="2236">
        <v>40130004.854122996</v>
      </c>
      <c r="E3669" s="2237">
        <v>2766243.89434308</v>
      </c>
      <c r="F3669" s="2238">
        <v>0.50018159152621999</v>
      </c>
      <c r="G3669" s="2239">
        <v>3.33328326786861E-2</v>
      </c>
    </row>
    <row r="3670" spans="1:7" x14ac:dyDescent="0.3">
      <c r="A3670" s="6" t="s">
        <v>6681</v>
      </c>
      <c r="B3670" s="6"/>
      <c r="C3670" s="2232">
        <v>158</v>
      </c>
      <c r="D3670" s="2232">
        <v>27938280.903608099</v>
      </c>
      <c r="E3670" s="2233">
        <v>2260382.1804401702</v>
      </c>
      <c r="F3670" s="2234">
        <v>0.34822357629088502</v>
      </c>
      <c r="G3670" s="2235">
        <v>2.9344837757260898E-2</v>
      </c>
    </row>
    <row r="3671" spans="1:7" x14ac:dyDescent="0.3">
      <c r="A3671" s="11" t="s">
        <v>6682</v>
      </c>
      <c r="B3671" s="11"/>
      <c r="C3671" s="2236">
        <v>77</v>
      </c>
      <c r="D3671" s="2236">
        <v>20335980.163631</v>
      </c>
      <c r="E3671" s="2237">
        <v>3657465.5979288798</v>
      </c>
      <c r="F3671" s="2238">
        <v>0.25346827044915099</v>
      </c>
      <c r="G3671" s="2239">
        <v>4.8106182943256998E-2</v>
      </c>
    </row>
    <row r="3672" spans="1:7" x14ac:dyDescent="0.3">
      <c r="A3672" s="6" t="s">
        <v>6683</v>
      </c>
      <c r="B3672" s="6"/>
      <c r="C3672" s="2232">
        <v>114</v>
      </c>
      <c r="D3672" s="2232">
        <v>16206769.577894701</v>
      </c>
      <c r="E3672" s="2233">
        <v>2778463.68271486</v>
      </c>
      <c r="F3672" s="2234">
        <v>0.20200166509915601</v>
      </c>
      <c r="G3672" s="2235">
        <v>3.4667188373975498E-2</v>
      </c>
    </row>
    <row r="3673" spans="1:7" x14ac:dyDescent="0.3">
      <c r="A3673" s="11" t="s">
        <v>6684</v>
      </c>
      <c r="B3673" s="11"/>
      <c r="C3673" s="2236">
        <v>70</v>
      </c>
      <c r="D3673" s="2236">
        <v>13101416.538183801</v>
      </c>
      <c r="E3673" s="2237">
        <v>3289640.0774669</v>
      </c>
      <c r="F3673" s="2238">
        <v>0.16329645110031499</v>
      </c>
      <c r="G3673" s="2239">
        <v>4.1315521125725903E-2</v>
      </c>
    </row>
    <row r="3674" spans="1:7" x14ac:dyDescent="0.3">
      <c r="A3674" s="6" t="s">
        <v>6685</v>
      </c>
      <c r="B3674" s="6"/>
      <c r="C3674" s="2232">
        <v>42</v>
      </c>
      <c r="D3674" s="2232">
        <v>11094696.5945901</v>
      </c>
      <c r="E3674" s="2233">
        <v>2669915.7298424002</v>
      </c>
      <c r="F3674" s="2234">
        <v>0.13828463316551201</v>
      </c>
      <c r="G3674" s="2235">
        <v>3.3794988757119199E-2</v>
      </c>
    </row>
    <row r="3675" spans="1:7" x14ac:dyDescent="0.3">
      <c r="A3675" s="11" t="s">
        <v>6686</v>
      </c>
      <c r="B3675" s="11"/>
      <c r="C3675" s="2236">
        <v>57</v>
      </c>
      <c r="D3675" s="2236">
        <v>8405256.2436705604</v>
      </c>
      <c r="E3675" s="2237">
        <v>2898492.2203624099</v>
      </c>
      <c r="F3675" s="2238">
        <v>0.104763367470983</v>
      </c>
      <c r="G3675" s="2239">
        <v>3.6244137932521098E-2</v>
      </c>
    </row>
    <row r="3676" spans="1:7" x14ac:dyDescent="0.3">
      <c r="A3676" s="6" t="s">
        <v>6687</v>
      </c>
      <c r="B3676" s="6"/>
      <c r="C3676" s="2232">
        <v>34</v>
      </c>
      <c r="D3676" s="2232">
        <v>8050745.1303895796</v>
      </c>
      <c r="E3676" s="2233">
        <v>1479823.18449011</v>
      </c>
      <c r="F3676" s="2234">
        <v>0.10034473025677899</v>
      </c>
      <c r="G3676" s="2235">
        <v>1.8678027397073201E-2</v>
      </c>
    </row>
    <row r="3677" spans="1:7" x14ac:dyDescent="0.3">
      <c r="A3677" s="11" t="s">
        <v>6688</v>
      </c>
      <c r="B3677" s="11"/>
      <c r="C3677" s="2236">
        <v>43</v>
      </c>
      <c r="D3677" s="2236">
        <v>7212453.5055908896</v>
      </c>
      <c r="E3677" s="2237">
        <v>2594105.34143415</v>
      </c>
      <c r="F3677" s="2238">
        <v>8.98962381477178E-2</v>
      </c>
      <c r="G3677" s="2239">
        <v>3.2653760965272803E-2</v>
      </c>
    </row>
    <row r="3678" spans="1:7" x14ac:dyDescent="0.3">
      <c r="A3678" s="6" t="s">
        <v>6689</v>
      </c>
      <c r="B3678" s="6"/>
      <c r="C3678" s="2232">
        <v>18</v>
      </c>
      <c r="D3678" s="2232">
        <v>4591202.12505644</v>
      </c>
      <c r="E3678" s="2233">
        <v>1358421.79015597</v>
      </c>
      <c r="F3678" s="2234">
        <v>5.7224881837844001E-2</v>
      </c>
      <c r="G3678" s="2235">
        <v>1.70455544089257E-2</v>
      </c>
    </row>
    <row r="3679" spans="1:7" x14ac:dyDescent="0.3">
      <c r="A3679" s="11" t="s">
        <v>6690</v>
      </c>
      <c r="B3679" s="11"/>
      <c r="C3679" s="2236">
        <v>28</v>
      </c>
      <c r="D3679" s="2236">
        <v>3933709.0248598601</v>
      </c>
      <c r="E3679" s="2237">
        <v>1859690.39337618</v>
      </c>
      <c r="F3679" s="2238">
        <v>4.9029867995475901E-2</v>
      </c>
      <c r="G3679" s="2239">
        <v>2.33243855265679E-2</v>
      </c>
    </row>
    <row r="3680" spans="1:7" x14ac:dyDescent="0.3">
      <c r="A3680" s="6" t="s">
        <v>6691</v>
      </c>
      <c r="B3680" s="6"/>
      <c r="C3680" s="2232">
        <v>20</v>
      </c>
      <c r="D3680" s="2232">
        <v>3751048.14804924</v>
      </c>
      <c r="E3680" s="2233">
        <v>1756303.57237146</v>
      </c>
      <c r="F3680" s="2234">
        <v>4.6753177314654198E-2</v>
      </c>
      <c r="G3680" s="2235">
        <v>2.1987806100428501E-2</v>
      </c>
    </row>
    <row r="3681" spans="1:7" x14ac:dyDescent="0.3">
      <c r="A3681" s="11" t="s">
        <v>6692</v>
      </c>
      <c r="B3681" s="11"/>
      <c r="C3681" s="2236">
        <v>10</v>
      </c>
      <c r="D3681" s="2236">
        <v>1783961.1961143699</v>
      </c>
      <c r="E3681" s="2237">
        <v>1190418.7278845999</v>
      </c>
      <c r="F3681" s="2238">
        <v>2.2235346183912201E-2</v>
      </c>
      <c r="G3681" s="2239">
        <v>1.48930328755848E-2</v>
      </c>
    </row>
    <row r="3682" spans="1:7" x14ac:dyDescent="0.3">
      <c r="A3682" s="6" t="s">
        <v>6693</v>
      </c>
      <c r="B3682" s="6"/>
      <c r="C3682" s="2232">
        <v>6</v>
      </c>
      <c r="D3682" s="2232">
        <v>1553363.37820785</v>
      </c>
      <c r="E3682" s="2233">
        <v>712775.52389575203</v>
      </c>
      <c r="F3682" s="2234">
        <v>1.9361168022652701E-2</v>
      </c>
      <c r="G3682" s="2235">
        <v>8.8658824596034198E-3</v>
      </c>
    </row>
    <row r="3683" spans="1:7" x14ac:dyDescent="0.3">
      <c r="A3683" s="11" t="s">
        <v>6694</v>
      </c>
      <c r="B3683" s="11"/>
      <c r="C3683" s="2236">
        <v>5</v>
      </c>
      <c r="D3683" s="2236">
        <v>712505.70758231205</v>
      </c>
      <c r="E3683" s="2237">
        <v>736414.43638067204</v>
      </c>
      <c r="F3683" s="2238">
        <v>8.8806926409684007E-3</v>
      </c>
      <c r="G3683" s="2239">
        <v>9.1556905163194206E-3</v>
      </c>
    </row>
    <row r="3684" spans="1:7" x14ac:dyDescent="0.3">
      <c r="A3684" s="6" t="s">
        <v>6696</v>
      </c>
      <c r="B3684" s="6"/>
      <c r="C3684" s="2232">
        <v>2</v>
      </c>
      <c r="D3684" s="2232">
        <v>419539.58627926302</v>
      </c>
      <c r="E3684" s="2233">
        <v>302073.35057393002</v>
      </c>
      <c r="F3684" s="2234">
        <v>5.2291540640532399E-3</v>
      </c>
      <c r="G3684" s="2235">
        <v>3.7629944729007602E-3</v>
      </c>
    </row>
    <row r="3685" spans="1:7" x14ac:dyDescent="0.3">
      <c r="A3685" s="11" t="s">
        <v>6697</v>
      </c>
      <c r="B3685" s="11"/>
      <c r="C3685" s="2236">
        <v>2</v>
      </c>
      <c r="D3685" s="2236">
        <v>200006.572004666</v>
      </c>
      <c r="E3685" s="2237">
        <v>182078.381965365</v>
      </c>
      <c r="F3685" s="2238">
        <v>2.49288794917051E-3</v>
      </c>
      <c r="G3685" s="2239">
        <v>2.2638846475836198E-3</v>
      </c>
    </row>
    <row r="3686" spans="1:7" x14ac:dyDescent="0.3">
      <c r="A3686" s="6" t="s">
        <v>6698</v>
      </c>
      <c r="B3686" s="6"/>
      <c r="C3686" s="2232">
        <v>1</v>
      </c>
      <c r="D3686" s="2232">
        <v>178126.42689557801</v>
      </c>
      <c r="E3686" s="2233">
        <v>184103.60909516801</v>
      </c>
      <c r="F3686" s="2234">
        <v>2.2201731602421002E-3</v>
      </c>
      <c r="G3686" s="2235">
        <v>2.2889226290798599E-3</v>
      </c>
    </row>
    <row r="3687" spans="1:7" x14ac:dyDescent="0.3">
      <c r="A3687" s="11" t="s">
        <v>6699</v>
      </c>
      <c r="B3687" s="11"/>
      <c r="C3687" s="2236">
        <v>1</v>
      </c>
      <c r="D3687" s="2236">
        <v>157482.71226483199</v>
      </c>
      <c r="E3687" s="2237">
        <v>160768.065717933</v>
      </c>
      <c r="F3687" s="2238">
        <v>1.9628692781081601E-3</v>
      </c>
      <c r="G3687" s="2239">
        <v>2.00016417350308E-3</v>
      </c>
    </row>
    <row r="3688" spans="1:7" x14ac:dyDescent="0.3">
      <c r="A3688" s="6" t="s">
        <v>6700</v>
      </c>
      <c r="B3688" s="6"/>
      <c r="C3688" s="2232">
        <v>1</v>
      </c>
      <c r="D3688" s="2232">
        <v>157482.71226483199</v>
      </c>
      <c r="E3688" s="2233">
        <v>160768.065717933</v>
      </c>
      <c r="F3688" s="2234">
        <v>1.9628692781081601E-3</v>
      </c>
      <c r="G3688" s="2235">
        <v>2.00016417350308E-3</v>
      </c>
    </row>
    <row r="3689" spans="1:7" x14ac:dyDescent="0.3">
      <c r="A3689" s="11" t="s">
        <v>6701</v>
      </c>
      <c r="B3689" s="11"/>
      <c r="C3689" s="2236">
        <v>1</v>
      </c>
      <c r="D3689" s="2236">
        <v>157482.71226483199</v>
      </c>
      <c r="E3689" s="2237">
        <v>160768.065717933</v>
      </c>
      <c r="F3689" s="2238">
        <v>1.9628692781081601E-3</v>
      </c>
      <c r="G3689" s="2239">
        <v>2.00016417350308E-3</v>
      </c>
    </row>
    <row r="3690" spans="1:7" x14ac:dyDescent="0.3">
      <c r="A3690" s="6" t="s">
        <v>3228</v>
      </c>
      <c r="B3690" s="6"/>
      <c r="C3690" s="2232">
        <v>1</v>
      </c>
      <c r="D3690" s="2232">
        <v>140357.46113293999</v>
      </c>
      <c r="E3690" s="2233">
        <v>140588.18136252399</v>
      </c>
      <c r="F3690" s="2234">
        <v>1.7494196312024799E-3</v>
      </c>
      <c r="G3690" s="2235">
        <v>1.75382846631454E-3</v>
      </c>
    </row>
    <row r="3691" spans="1:7" x14ac:dyDescent="0.3">
      <c r="A3691" s="11" t="s">
        <v>6269</v>
      </c>
      <c r="B3691" s="11" t="s">
        <v>6270</v>
      </c>
      <c r="C3691" s="2236">
        <v>59876</v>
      </c>
      <c r="D3691" s="2236">
        <v>8023087121.5538101</v>
      </c>
      <c r="E3691" s="2237">
        <v>109184500.79501601</v>
      </c>
      <c r="F3691" s="2238">
        <v>100</v>
      </c>
      <c r="G3691" s="2239">
        <v>1.02786679142825E-14</v>
      </c>
    </row>
    <row r="3692" spans="1:7" x14ac:dyDescent="0.3">
      <c r="A3692" s="6" t="s">
        <v>6269</v>
      </c>
      <c r="B3692" s="6" t="s">
        <v>6271</v>
      </c>
      <c r="C3692" s="2232">
        <v>59876</v>
      </c>
      <c r="D3692" s="2232">
        <v>8023087121.5538101</v>
      </c>
      <c r="E3692" s="2233">
        <v>0</v>
      </c>
      <c r="F3692" s="2234">
        <v>100</v>
      </c>
      <c r="G3692" s="2235">
        <v>0</v>
      </c>
    </row>
    <row r="3693" spans="1:7" x14ac:dyDescent="0.3">
      <c r="A3693" s="3299" t="s">
        <v>586</v>
      </c>
      <c r="B3693" s="3298"/>
      <c r="C3693" s="3298"/>
      <c r="D3693" s="3298"/>
      <c r="E3693" s="3298"/>
      <c r="F3693" s="3298"/>
      <c r="G3693" s="3298"/>
    </row>
    <row r="3694" spans="1:7" x14ac:dyDescent="0.3">
      <c r="A3694" s="11" t="s">
        <v>6269</v>
      </c>
      <c r="B3694" s="11" t="s">
        <v>6270</v>
      </c>
      <c r="C3694" s="2244">
        <v>59859</v>
      </c>
      <c r="D3694" s="2244">
        <v>8023087121.5538101</v>
      </c>
      <c r="E3694" s="2245">
        <v>109184500.795012</v>
      </c>
      <c r="F3694" s="2246">
        <v>100</v>
      </c>
      <c r="G3694" s="2247">
        <v>0</v>
      </c>
    </row>
    <row r="3695" spans="1:7" x14ac:dyDescent="0.3">
      <c r="A3695" s="6" t="s">
        <v>6269</v>
      </c>
      <c r="B3695" s="6" t="s">
        <v>6271</v>
      </c>
      <c r="C3695" s="2240">
        <v>59859</v>
      </c>
      <c r="D3695" s="2240">
        <v>8023087121.5538101</v>
      </c>
      <c r="E3695" s="2241">
        <v>0</v>
      </c>
      <c r="F3695" s="2242">
        <v>100</v>
      </c>
      <c r="G3695" s="2243">
        <v>0</v>
      </c>
    </row>
    <row r="3696" spans="1:7" x14ac:dyDescent="0.3">
      <c r="A3696" s="3299" t="s">
        <v>176</v>
      </c>
      <c r="B3696" s="3298"/>
      <c r="C3696" s="3298"/>
      <c r="D3696" s="3298"/>
      <c r="E3696" s="3298"/>
      <c r="F3696" s="3298"/>
      <c r="G3696" s="3298"/>
    </row>
    <row r="3697" spans="1:7" x14ac:dyDescent="0.3">
      <c r="A3697" s="11" t="s">
        <v>6269</v>
      </c>
      <c r="B3697" s="11" t="s">
        <v>6270</v>
      </c>
      <c r="C3697" s="2252">
        <v>59844</v>
      </c>
      <c r="D3697" s="2252">
        <v>8023087121.5538101</v>
      </c>
      <c r="E3697" s="2253">
        <v>109184500.795013</v>
      </c>
      <c r="F3697" s="2254">
        <v>100</v>
      </c>
      <c r="G3697" s="2255">
        <v>0</v>
      </c>
    </row>
    <row r="3698" spans="1:7" x14ac:dyDescent="0.3">
      <c r="A3698" s="6" t="s">
        <v>6269</v>
      </c>
      <c r="B3698" s="6" t="s">
        <v>6271</v>
      </c>
      <c r="C3698" s="2248">
        <v>59844</v>
      </c>
      <c r="D3698" s="2248">
        <v>8023087121.5538101</v>
      </c>
      <c r="E3698" s="2249">
        <v>0</v>
      </c>
      <c r="F3698" s="2250">
        <v>100</v>
      </c>
      <c r="G3698" s="2251">
        <v>0</v>
      </c>
    </row>
    <row r="3699" spans="1:7" x14ac:dyDescent="0.3">
      <c r="A3699" s="3299" t="s">
        <v>588</v>
      </c>
      <c r="B3699" s="3298"/>
      <c r="C3699" s="3298"/>
      <c r="D3699" s="3298"/>
      <c r="E3699" s="3298"/>
      <c r="F3699" s="3298"/>
      <c r="G3699" s="3298"/>
    </row>
    <row r="3700" spans="1:7" x14ac:dyDescent="0.3">
      <c r="A3700" s="11" t="s">
        <v>6269</v>
      </c>
      <c r="B3700" s="11" t="s">
        <v>6270</v>
      </c>
      <c r="C3700" s="2260">
        <v>50317</v>
      </c>
      <c r="D3700" s="2260">
        <v>8023087121.5538101</v>
      </c>
      <c r="E3700" s="2261">
        <v>109184500.79501399</v>
      </c>
      <c r="F3700" s="2262">
        <v>100</v>
      </c>
      <c r="G3700" s="2263">
        <v>9.4764635797477106E-14</v>
      </c>
    </row>
    <row r="3701" spans="1:7" x14ac:dyDescent="0.3">
      <c r="A3701" s="6" t="s">
        <v>6269</v>
      </c>
      <c r="B3701" s="6" t="s">
        <v>6271</v>
      </c>
      <c r="C3701" s="2256">
        <v>50317</v>
      </c>
      <c r="D3701" s="2256">
        <v>8023087121.5538101</v>
      </c>
      <c r="E3701" s="2257">
        <v>0</v>
      </c>
      <c r="F3701" s="2258">
        <v>100</v>
      </c>
      <c r="G3701" s="2259">
        <v>0</v>
      </c>
    </row>
    <row r="3702" spans="1:7" x14ac:dyDescent="0.3">
      <c r="A3702" s="3299" t="s">
        <v>178</v>
      </c>
      <c r="B3702" s="3298"/>
      <c r="C3702" s="3298"/>
      <c r="D3702" s="3298"/>
      <c r="E3702" s="3298"/>
      <c r="F3702" s="3298"/>
      <c r="G3702" s="3298"/>
    </row>
    <row r="3703" spans="1:7" x14ac:dyDescent="0.3">
      <c r="A3703" s="11" t="s">
        <v>6269</v>
      </c>
      <c r="B3703" s="11" t="s">
        <v>6270</v>
      </c>
      <c r="C3703" s="2268">
        <v>50317</v>
      </c>
      <c r="D3703" s="2268">
        <v>8023087121.5538101</v>
      </c>
      <c r="E3703" s="2269">
        <v>109184500.79501399</v>
      </c>
      <c r="F3703" s="2270">
        <v>100</v>
      </c>
      <c r="G3703" s="2271">
        <v>1.02786679142825E-14</v>
      </c>
    </row>
    <row r="3704" spans="1:7" x14ac:dyDescent="0.3">
      <c r="A3704" s="6" t="s">
        <v>6269</v>
      </c>
      <c r="B3704" s="6" t="s">
        <v>6271</v>
      </c>
      <c r="C3704" s="2264">
        <v>50317</v>
      </c>
      <c r="D3704" s="2264">
        <v>8023087121.5538101</v>
      </c>
      <c r="E3704" s="2265">
        <v>0</v>
      </c>
      <c r="F3704" s="2266">
        <v>100</v>
      </c>
      <c r="G3704" s="2267">
        <v>0</v>
      </c>
    </row>
    <row r="3705" spans="1:7" x14ac:dyDescent="0.3">
      <c r="A3705" s="3299" t="s">
        <v>582</v>
      </c>
      <c r="B3705" s="3298"/>
      <c r="C3705" s="3298"/>
      <c r="D3705" s="3298"/>
      <c r="E3705" s="3298"/>
      <c r="F3705" s="3298"/>
      <c r="G3705" s="3298"/>
    </row>
    <row r="3706" spans="1:7" x14ac:dyDescent="0.3">
      <c r="A3706" s="11" t="s">
        <v>981</v>
      </c>
      <c r="B3706" s="11"/>
      <c r="C3706" s="2276">
        <v>6975</v>
      </c>
      <c r="D3706" s="2276">
        <v>1133169044.2689199</v>
      </c>
      <c r="E3706" s="2277">
        <v>28967226.842720501</v>
      </c>
      <c r="F3706" s="2278">
        <v>14.123853164010701</v>
      </c>
      <c r="G3706" s="2279">
        <v>0.44009339502720002</v>
      </c>
    </row>
    <row r="3707" spans="1:7" x14ac:dyDescent="0.3">
      <c r="A3707" s="6" t="s">
        <v>972</v>
      </c>
      <c r="B3707" s="6"/>
      <c r="C3707" s="2272">
        <v>5711</v>
      </c>
      <c r="D3707" s="2272">
        <v>882348265.81551194</v>
      </c>
      <c r="E3707" s="2273">
        <v>31786199.2774789</v>
      </c>
      <c r="F3707" s="2274">
        <v>10.9976154122159</v>
      </c>
      <c r="G3707" s="2275">
        <v>0.29742125526185198</v>
      </c>
    </row>
    <row r="3708" spans="1:7" x14ac:dyDescent="0.3">
      <c r="A3708" s="11" t="s">
        <v>970</v>
      </c>
      <c r="B3708" s="11"/>
      <c r="C3708" s="2276">
        <v>5512</v>
      </c>
      <c r="D3708" s="2276">
        <v>785780503.49756896</v>
      </c>
      <c r="E3708" s="2277">
        <v>16152516.131105401</v>
      </c>
      <c r="F3708" s="2278">
        <v>9.7939919085084899</v>
      </c>
      <c r="G3708" s="2279">
        <v>0.157522549205385</v>
      </c>
    </row>
    <row r="3709" spans="1:7" x14ac:dyDescent="0.3">
      <c r="A3709" s="6" t="s">
        <v>991</v>
      </c>
      <c r="B3709" s="6"/>
      <c r="C3709" s="2272">
        <v>5289</v>
      </c>
      <c r="D3709" s="2272">
        <v>731864775.89142597</v>
      </c>
      <c r="E3709" s="2273">
        <v>25518591.265507001</v>
      </c>
      <c r="F3709" s="2274">
        <v>9.1219846525820305</v>
      </c>
      <c r="G3709" s="2275">
        <v>0.24832871849931001</v>
      </c>
    </row>
    <row r="3710" spans="1:7" x14ac:dyDescent="0.3">
      <c r="A3710" s="11" t="s">
        <v>966</v>
      </c>
      <c r="B3710" s="11"/>
      <c r="C3710" s="2276">
        <v>5055</v>
      </c>
      <c r="D3710" s="2276">
        <v>689557887.14934802</v>
      </c>
      <c r="E3710" s="2277">
        <v>16154885.224585401</v>
      </c>
      <c r="F3710" s="2278">
        <v>8.5946703145833592</v>
      </c>
      <c r="G3710" s="2279">
        <v>0.22968420397263101</v>
      </c>
    </row>
    <row r="3711" spans="1:7" x14ac:dyDescent="0.3">
      <c r="A3711" s="6" t="s">
        <v>968</v>
      </c>
      <c r="B3711" s="6"/>
      <c r="C3711" s="2272">
        <v>4850</v>
      </c>
      <c r="D3711" s="2272">
        <v>672180072.45967698</v>
      </c>
      <c r="E3711" s="2273">
        <v>20232398.8467599</v>
      </c>
      <c r="F3711" s="2274">
        <v>8.3780727078717803</v>
      </c>
      <c r="G3711" s="2275">
        <v>0.33164829955500102</v>
      </c>
    </row>
    <row r="3712" spans="1:7" x14ac:dyDescent="0.3">
      <c r="A3712" s="11" t="s">
        <v>964</v>
      </c>
      <c r="B3712" s="11"/>
      <c r="C3712" s="2276">
        <v>4320</v>
      </c>
      <c r="D3712" s="2276">
        <v>558616248.91540897</v>
      </c>
      <c r="E3712" s="2277">
        <v>14889135.116967499</v>
      </c>
      <c r="F3712" s="2278">
        <v>6.9626097841403203</v>
      </c>
      <c r="G3712" s="2279">
        <v>0.19255742468825099</v>
      </c>
    </row>
    <row r="3713" spans="1:7" x14ac:dyDescent="0.3">
      <c r="A3713" s="6" t="s">
        <v>993</v>
      </c>
      <c r="B3713" s="6"/>
      <c r="C3713" s="2272">
        <v>4446</v>
      </c>
      <c r="D3713" s="2272">
        <v>555347798.71044099</v>
      </c>
      <c r="E3713" s="2273">
        <v>17949275.277049702</v>
      </c>
      <c r="F3713" s="2274">
        <v>6.92187172215184</v>
      </c>
      <c r="G3713" s="2275">
        <v>0.18758814789023101</v>
      </c>
    </row>
    <row r="3714" spans="1:7" x14ac:dyDescent="0.3">
      <c r="A3714" s="11" t="s">
        <v>999</v>
      </c>
      <c r="B3714" s="11"/>
      <c r="C3714" s="2276">
        <v>4833</v>
      </c>
      <c r="D3714" s="2276">
        <v>550054742.13731599</v>
      </c>
      <c r="E3714" s="2277">
        <v>13320748.169957399</v>
      </c>
      <c r="F3714" s="2278">
        <v>6.8558989052930404</v>
      </c>
      <c r="G3714" s="2279">
        <v>0.16997537445011501</v>
      </c>
    </row>
    <row r="3715" spans="1:7" x14ac:dyDescent="0.3">
      <c r="A3715" s="6" t="s">
        <v>997</v>
      </c>
      <c r="B3715" s="6"/>
      <c r="C3715" s="2272">
        <v>4444</v>
      </c>
      <c r="D3715" s="2272">
        <v>521275249.15940398</v>
      </c>
      <c r="E3715" s="2273">
        <v>23519660.796133701</v>
      </c>
      <c r="F3715" s="2274">
        <v>6.4971904363223301</v>
      </c>
      <c r="G3715" s="2275">
        <v>0.21418441294592699</v>
      </c>
    </row>
    <row r="3716" spans="1:7" x14ac:dyDescent="0.3">
      <c r="A3716" s="11" t="s">
        <v>995</v>
      </c>
      <c r="B3716" s="11"/>
      <c r="C3716" s="2276">
        <v>4373</v>
      </c>
      <c r="D3716" s="2276">
        <v>492112420.24788898</v>
      </c>
      <c r="E3716" s="2277">
        <v>28358480.997525498</v>
      </c>
      <c r="F3716" s="2278">
        <v>6.1337040567070602</v>
      </c>
      <c r="G3716" s="2279">
        <v>0.28782062036649098</v>
      </c>
    </row>
    <row r="3717" spans="1:7" x14ac:dyDescent="0.3">
      <c r="A3717" s="6" t="s">
        <v>962</v>
      </c>
      <c r="B3717" s="6"/>
      <c r="C3717" s="2272">
        <v>4068</v>
      </c>
      <c r="D3717" s="2272">
        <v>450780113.30092198</v>
      </c>
      <c r="E3717" s="2273">
        <v>18401429.485711999</v>
      </c>
      <c r="F3717" s="2274">
        <v>5.6185369356131201</v>
      </c>
      <c r="G3717" s="2275">
        <v>0.18680778623421801</v>
      </c>
    </row>
    <row r="3718" spans="1:7" x14ac:dyDescent="0.3">
      <c r="A3718" s="11" t="s">
        <v>6269</v>
      </c>
      <c r="B3718" s="11" t="s">
        <v>6270</v>
      </c>
      <c r="C3718" s="2276">
        <v>59876</v>
      </c>
      <c r="D3718" s="2276">
        <v>8023087121.5538301</v>
      </c>
      <c r="E3718" s="2277">
        <v>109184500.795026</v>
      </c>
      <c r="F3718" s="2278">
        <v>100</v>
      </c>
      <c r="G3718" s="2279">
        <v>0</v>
      </c>
    </row>
    <row r="3719" spans="1:7" x14ac:dyDescent="0.3">
      <c r="A3719" s="6" t="s">
        <v>6269</v>
      </c>
      <c r="B3719" s="6" t="s">
        <v>6271</v>
      </c>
      <c r="C3719" s="2272">
        <v>59876</v>
      </c>
      <c r="D3719" s="2272">
        <v>8023087121.5538301</v>
      </c>
      <c r="E3719" s="2273">
        <v>0</v>
      </c>
      <c r="F3719" s="2274">
        <v>100</v>
      </c>
      <c r="G3719" s="2275">
        <v>0</v>
      </c>
    </row>
    <row r="3720" spans="1:7" x14ac:dyDescent="0.3">
      <c r="A3720" s="3299" t="s">
        <v>584</v>
      </c>
      <c r="B3720" s="3298"/>
      <c r="C3720" s="3298"/>
      <c r="D3720" s="3298"/>
      <c r="E3720" s="3298"/>
      <c r="F3720" s="3298"/>
      <c r="G3720" s="3298"/>
    </row>
    <row r="3721" spans="1:7" x14ac:dyDescent="0.3">
      <c r="A3721" s="11" t="s">
        <v>1152</v>
      </c>
      <c r="B3721" s="11"/>
      <c r="C3721" s="2284">
        <v>12714</v>
      </c>
      <c r="D3721" s="2284">
        <v>1742887303.1182799</v>
      </c>
      <c r="E3721" s="2285">
        <v>44260167.524327099</v>
      </c>
      <c r="F3721" s="2286">
        <v>21.7233999421004</v>
      </c>
      <c r="G3721" s="2287">
        <v>0.38609713163091902</v>
      </c>
    </row>
    <row r="3722" spans="1:7" x14ac:dyDescent="0.3">
      <c r="A3722" s="6" t="s">
        <v>1157</v>
      </c>
      <c r="B3722" s="6"/>
      <c r="C3722" s="2280">
        <v>10405</v>
      </c>
      <c r="D3722" s="2280">
        <v>1384188116.1940501</v>
      </c>
      <c r="E3722" s="2281">
        <v>25047113.0266895</v>
      </c>
      <c r="F3722" s="2282">
        <v>17.252562451621198</v>
      </c>
      <c r="G3722" s="2283">
        <v>0.37868823764130199</v>
      </c>
    </row>
    <row r="3723" spans="1:7" x14ac:dyDescent="0.3">
      <c r="A3723" s="11" t="s">
        <v>3061</v>
      </c>
      <c r="B3723" s="11"/>
      <c r="C3723" s="2284">
        <v>4999</v>
      </c>
      <c r="D3723" s="2284">
        <v>658548003.28267598</v>
      </c>
      <c r="E3723" s="2285">
        <v>11626822.144406799</v>
      </c>
      <c r="F3723" s="2286">
        <v>8.2081621862674794</v>
      </c>
      <c r="G3723" s="2287">
        <v>8.7783392030490306E-2</v>
      </c>
    </row>
    <row r="3724" spans="1:7" x14ac:dyDescent="0.3">
      <c r="A3724" s="6" t="s">
        <v>1005</v>
      </c>
      <c r="B3724" s="6"/>
      <c r="C3724" s="2280">
        <v>4883</v>
      </c>
      <c r="D3724" s="2280">
        <v>629888807.61673403</v>
      </c>
      <c r="E3724" s="2281">
        <v>13142976.7535813</v>
      </c>
      <c r="F3724" s="2282">
        <v>7.8509531066234404</v>
      </c>
      <c r="G3724" s="2283">
        <v>0.22418426731784399</v>
      </c>
    </row>
    <row r="3725" spans="1:7" x14ac:dyDescent="0.3">
      <c r="A3725" s="11" t="s">
        <v>1155</v>
      </c>
      <c r="B3725" s="11"/>
      <c r="C3725" s="2284">
        <v>2613</v>
      </c>
      <c r="D3725" s="2284">
        <v>360177205.44228399</v>
      </c>
      <c r="E3725" s="2285">
        <v>14965521.1616215</v>
      </c>
      <c r="F3725" s="2286">
        <v>4.4892595578911001</v>
      </c>
      <c r="G3725" s="2287">
        <v>0.18150228616652</v>
      </c>
    </row>
    <row r="3726" spans="1:7" x14ac:dyDescent="0.3">
      <c r="A3726" s="6" t="s">
        <v>1161</v>
      </c>
      <c r="B3726" s="6"/>
      <c r="C3726" s="2280">
        <v>2351</v>
      </c>
      <c r="D3726" s="2280">
        <v>336901010.61806899</v>
      </c>
      <c r="E3726" s="2281">
        <v>9264452.0328511894</v>
      </c>
      <c r="F3726" s="2282">
        <v>4.1991443631840104</v>
      </c>
      <c r="G3726" s="2283">
        <v>9.2320757076233398E-2</v>
      </c>
    </row>
    <row r="3727" spans="1:7" x14ac:dyDescent="0.3">
      <c r="A3727" s="11" t="s">
        <v>1159</v>
      </c>
      <c r="B3727" s="11"/>
      <c r="C3727" s="2284">
        <v>2232</v>
      </c>
      <c r="D3727" s="2284">
        <v>313014598.52232897</v>
      </c>
      <c r="E3727" s="2285">
        <v>16047206.213847401</v>
      </c>
      <c r="F3727" s="2286">
        <v>3.9014234019897902</v>
      </c>
      <c r="G3727" s="2287">
        <v>0.17701793274289301</v>
      </c>
    </row>
    <row r="3728" spans="1:7" x14ac:dyDescent="0.3">
      <c r="A3728" s="6" t="s">
        <v>995</v>
      </c>
      <c r="B3728" s="6"/>
      <c r="C3728" s="2280">
        <v>2299</v>
      </c>
      <c r="D3728" s="2280">
        <v>294632257.89111102</v>
      </c>
      <c r="E3728" s="2281">
        <v>13805614.8323971</v>
      </c>
      <c r="F3728" s="2282">
        <v>3.6723053536286501</v>
      </c>
      <c r="G3728" s="2283">
        <v>0.14791420065484601</v>
      </c>
    </row>
    <row r="3729" spans="1:7" x14ac:dyDescent="0.3">
      <c r="A3729" s="11" t="s">
        <v>3047</v>
      </c>
      <c r="B3729" s="11"/>
      <c r="C3729" s="2284">
        <v>1869</v>
      </c>
      <c r="D3729" s="2284">
        <v>247994142.952187</v>
      </c>
      <c r="E3729" s="2285">
        <v>14287063.1392715</v>
      </c>
      <c r="F3729" s="2286">
        <v>3.0910064816067799</v>
      </c>
      <c r="G3729" s="2287">
        <v>0.18315274450331201</v>
      </c>
    </row>
    <row r="3730" spans="1:7" x14ac:dyDescent="0.3">
      <c r="A3730" s="6" t="s">
        <v>970</v>
      </c>
      <c r="B3730" s="6"/>
      <c r="C3730" s="2280">
        <v>1728</v>
      </c>
      <c r="D3730" s="2280">
        <v>230852229.85972899</v>
      </c>
      <c r="E3730" s="2281">
        <v>14537221.8470462</v>
      </c>
      <c r="F3730" s="2282">
        <v>2.8773491595217799</v>
      </c>
      <c r="G3730" s="2283">
        <v>0.162237967740199</v>
      </c>
    </row>
    <row r="3731" spans="1:7" x14ac:dyDescent="0.3">
      <c r="A3731" s="11" t="s">
        <v>3032</v>
      </c>
      <c r="B3731" s="11"/>
      <c r="C3731" s="2284">
        <v>1513</v>
      </c>
      <c r="D3731" s="2284">
        <v>185915715.45252901</v>
      </c>
      <c r="E3731" s="2285">
        <v>8591605.6059204694</v>
      </c>
      <c r="F3731" s="2286">
        <v>2.3172590878774302</v>
      </c>
      <c r="G3731" s="2287">
        <v>9.7148171550685697E-2</v>
      </c>
    </row>
    <row r="3732" spans="1:7" x14ac:dyDescent="0.3">
      <c r="A3732" s="6" t="s">
        <v>3075</v>
      </c>
      <c r="B3732" s="6"/>
      <c r="C3732" s="2280">
        <v>1423</v>
      </c>
      <c r="D3732" s="2280">
        <v>180083619.18850601</v>
      </c>
      <c r="E3732" s="2281">
        <v>9747494.9076016396</v>
      </c>
      <c r="F3732" s="2282">
        <v>2.2445676640443799</v>
      </c>
      <c r="G3732" s="2283">
        <v>0.117552247562119</v>
      </c>
    </row>
    <row r="3733" spans="1:7" x14ac:dyDescent="0.3">
      <c r="A3733" s="11" t="s">
        <v>999</v>
      </c>
      <c r="B3733" s="11"/>
      <c r="C3733" s="2284">
        <v>359</v>
      </c>
      <c r="D3733" s="2284">
        <v>48968605.8506364</v>
      </c>
      <c r="E3733" s="2285">
        <v>5481160.7091149697</v>
      </c>
      <c r="F3733" s="2286">
        <v>0.61034618107391003</v>
      </c>
      <c r="G3733" s="2287">
        <v>6.4195578414325799E-2</v>
      </c>
    </row>
    <row r="3734" spans="1:7" x14ac:dyDescent="0.3">
      <c r="A3734" s="6" t="s">
        <v>964</v>
      </c>
      <c r="B3734" s="6"/>
      <c r="C3734" s="2280">
        <v>314</v>
      </c>
      <c r="D3734" s="2280">
        <v>40853890.420732804</v>
      </c>
      <c r="E3734" s="2281">
        <v>5269422.9175709402</v>
      </c>
      <c r="F3734" s="2282">
        <v>0.50920412307352203</v>
      </c>
      <c r="G3734" s="2283">
        <v>6.3490188380648002E-2</v>
      </c>
    </row>
    <row r="3735" spans="1:7" x14ac:dyDescent="0.3">
      <c r="A3735" s="11" t="s">
        <v>1049</v>
      </c>
      <c r="B3735" s="11"/>
      <c r="C3735" s="2284">
        <v>279</v>
      </c>
      <c r="D3735" s="2284">
        <v>39879484.724874496</v>
      </c>
      <c r="E3735" s="2285">
        <v>5176610.1310420204</v>
      </c>
      <c r="F3735" s="2286">
        <v>0.49705910107518703</v>
      </c>
      <c r="G3735" s="2287">
        <v>6.1735664361447E-2</v>
      </c>
    </row>
    <row r="3736" spans="1:7" x14ac:dyDescent="0.3">
      <c r="A3736" s="6" t="s">
        <v>1057</v>
      </c>
      <c r="B3736" s="6"/>
      <c r="C3736" s="2280">
        <v>316</v>
      </c>
      <c r="D3736" s="2280">
        <v>39865669.637316301</v>
      </c>
      <c r="E3736" s="2281">
        <v>3516700.5881101401</v>
      </c>
      <c r="F3736" s="2282">
        <v>0.49688690940695701</v>
      </c>
      <c r="G3736" s="2283">
        <v>4.6772252980139498E-2</v>
      </c>
    </row>
    <row r="3737" spans="1:7" x14ac:dyDescent="0.3">
      <c r="A3737" s="11" t="s">
        <v>3063</v>
      </c>
      <c r="B3737" s="11"/>
      <c r="C3737" s="2284">
        <v>281</v>
      </c>
      <c r="D3737" s="2284">
        <v>39605896.283091299</v>
      </c>
      <c r="E3737" s="2285">
        <v>3349447.8442420498</v>
      </c>
      <c r="F3737" s="2286">
        <v>0.49364908648057898</v>
      </c>
      <c r="G3737" s="2287">
        <v>4.4735255597233403E-2</v>
      </c>
    </row>
    <row r="3738" spans="1:7" x14ac:dyDescent="0.3">
      <c r="A3738" s="6" t="s">
        <v>1075</v>
      </c>
      <c r="B3738" s="6"/>
      <c r="C3738" s="2280">
        <v>209</v>
      </c>
      <c r="D3738" s="2280">
        <v>39567724.123265997</v>
      </c>
      <c r="E3738" s="2281">
        <v>5480437.28326602</v>
      </c>
      <c r="F3738" s="2282">
        <v>0.49317330752857402</v>
      </c>
      <c r="G3738" s="2283">
        <v>6.9491693997244502E-2</v>
      </c>
    </row>
    <row r="3739" spans="1:7" x14ac:dyDescent="0.3">
      <c r="A3739" s="11" t="s">
        <v>962</v>
      </c>
      <c r="B3739" s="11"/>
      <c r="C3739" s="2284">
        <v>306</v>
      </c>
      <c r="D3739" s="2284">
        <v>38629885.987135999</v>
      </c>
      <c r="E3739" s="2285">
        <v>3621955.1937084799</v>
      </c>
      <c r="F3739" s="2286">
        <v>0.48148406469821098</v>
      </c>
      <c r="G3739" s="2287">
        <v>4.4290507628860401E-2</v>
      </c>
    </row>
    <row r="3740" spans="1:7" x14ac:dyDescent="0.3">
      <c r="A3740" s="6" t="s">
        <v>3053</v>
      </c>
      <c r="B3740" s="6"/>
      <c r="C3740" s="2280">
        <v>273</v>
      </c>
      <c r="D3740" s="2280">
        <v>38248845.414551601</v>
      </c>
      <c r="E3740" s="2281">
        <v>5136771.2661047699</v>
      </c>
      <c r="F3740" s="2282">
        <v>0.47673476350265598</v>
      </c>
      <c r="G3740" s="2283">
        <v>6.2744407081780695E-2</v>
      </c>
    </row>
    <row r="3741" spans="1:7" x14ac:dyDescent="0.3">
      <c r="A3741" s="11" t="s">
        <v>966</v>
      </c>
      <c r="B3741" s="11"/>
      <c r="C3741" s="2284">
        <v>285</v>
      </c>
      <c r="D3741" s="2284">
        <v>38206305.5714489</v>
      </c>
      <c r="E3741" s="2285">
        <v>3900139.0473578498</v>
      </c>
      <c r="F3741" s="2286">
        <v>0.476204545614476</v>
      </c>
      <c r="G3741" s="2287">
        <v>4.7366701393377897E-2</v>
      </c>
    </row>
    <row r="3742" spans="1:7" x14ac:dyDescent="0.3">
      <c r="A3742" s="6" t="s">
        <v>1007</v>
      </c>
      <c r="B3742" s="6"/>
      <c r="C3742" s="2280">
        <v>277</v>
      </c>
      <c r="D3742" s="2280">
        <v>37969531.246757403</v>
      </c>
      <c r="E3742" s="2281">
        <v>3098888.3257478401</v>
      </c>
      <c r="F3742" s="2282">
        <v>0.47325338328625699</v>
      </c>
      <c r="G3742" s="2283">
        <v>3.9677221785503702E-2</v>
      </c>
    </row>
    <row r="3743" spans="1:7" x14ac:dyDescent="0.3">
      <c r="A3743" s="11" t="s">
        <v>3161</v>
      </c>
      <c r="B3743" s="11"/>
      <c r="C3743" s="2284">
        <v>234</v>
      </c>
      <c r="D3743" s="2284">
        <v>37008359.836127996</v>
      </c>
      <c r="E3743" s="2285">
        <v>5123731.0898540597</v>
      </c>
      <c r="F3743" s="2286">
        <v>0.46127331381839298</v>
      </c>
      <c r="G3743" s="2287">
        <v>6.3599638790772198E-2</v>
      </c>
    </row>
    <row r="3744" spans="1:7" x14ac:dyDescent="0.3">
      <c r="A3744" s="6" t="s">
        <v>3065</v>
      </c>
      <c r="B3744" s="6"/>
      <c r="C3744" s="2280">
        <v>261</v>
      </c>
      <c r="D3744" s="2280">
        <v>36927397.340268999</v>
      </c>
      <c r="E3744" s="2281">
        <v>4716543.9934740998</v>
      </c>
      <c r="F3744" s="2282">
        <v>0.46026419482675901</v>
      </c>
      <c r="G3744" s="2283">
        <v>5.5447165009530397E-2</v>
      </c>
    </row>
    <row r="3745" spans="1:7" x14ac:dyDescent="0.3">
      <c r="A3745" s="11" t="s">
        <v>991</v>
      </c>
      <c r="B3745" s="11"/>
      <c r="C3745" s="2284">
        <v>241</v>
      </c>
      <c r="D3745" s="2284">
        <v>35215643.7850025</v>
      </c>
      <c r="E3745" s="2285">
        <v>8044525.3119170498</v>
      </c>
      <c r="F3745" s="2286">
        <v>0.43892884685742301</v>
      </c>
      <c r="G3745" s="2287">
        <v>9.9716844839208202E-2</v>
      </c>
    </row>
    <row r="3746" spans="1:7" x14ac:dyDescent="0.3">
      <c r="A3746" s="6" t="s">
        <v>1055</v>
      </c>
      <c r="B3746" s="6"/>
      <c r="C3746" s="2280">
        <v>239</v>
      </c>
      <c r="D3746" s="2280">
        <v>35020562.9027889</v>
      </c>
      <c r="E3746" s="2281">
        <v>5122522.8594704904</v>
      </c>
      <c r="F3746" s="2282">
        <v>0.43649735285445301</v>
      </c>
      <c r="G3746" s="2283">
        <v>6.1102696154931101E-2</v>
      </c>
    </row>
    <row r="3747" spans="1:7" x14ac:dyDescent="0.3">
      <c r="A3747" s="11" t="s">
        <v>1065</v>
      </c>
      <c r="B3747" s="11"/>
      <c r="C3747" s="2284">
        <v>289</v>
      </c>
      <c r="D3747" s="2284">
        <v>33798412.065185301</v>
      </c>
      <c r="E3747" s="2285">
        <v>2384861.3177946201</v>
      </c>
      <c r="F3747" s="2286">
        <v>0.42126442793306801</v>
      </c>
      <c r="G3747" s="2287">
        <v>2.9195912811907199E-2</v>
      </c>
    </row>
    <row r="3748" spans="1:7" x14ac:dyDescent="0.3">
      <c r="A3748" s="6" t="s">
        <v>981</v>
      </c>
      <c r="B3748" s="6"/>
      <c r="C3748" s="2280">
        <v>273</v>
      </c>
      <c r="D3748" s="2280">
        <v>33629987.614579402</v>
      </c>
      <c r="E3748" s="2281">
        <v>4408397.40213448</v>
      </c>
      <c r="F3748" s="2282">
        <v>0.41916518049808099</v>
      </c>
      <c r="G3748" s="2283">
        <v>5.4098700279867303E-2</v>
      </c>
    </row>
    <row r="3749" spans="1:7" x14ac:dyDescent="0.3">
      <c r="A3749" s="11" t="s">
        <v>1011</v>
      </c>
      <c r="B3749" s="11"/>
      <c r="C3749" s="2284">
        <v>264</v>
      </c>
      <c r="D3749" s="2284">
        <v>33439041.134468701</v>
      </c>
      <c r="E3749" s="2285">
        <v>3735687.3831565501</v>
      </c>
      <c r="F3749" s="2286">
        <v>0.41678521780768901</v>
      </c>
      <c r="G3749" s="2287">
        <v>4.2944915254822698E-2</v>
      </c>
    </row>
    <row r="3750" spans="1:7" x14ac:dyDescent="0.3">
      <c r="A3750" s="6" t="s">
        <v>1009</v>
      </c>
      <c r="B3750" s="6"/>
      <c r="C3750" s="2280">
        <v>243</v>
      </c>
      <c r="D3750" s="2280">
        <v>32954216.314763099</v>
      </c>
      <c r="E3750" s="2281">
        <v>3455211.45021539</v>
      </c>
      <c r="F3750" s="2282">
        <v>0.410742346624063</v>
      </c>
      <c r="G3750" s="2283">
        <v>4.3720874750813203E-2</v>
      </c>
    </row>
    <row r="3751" spans="1:7" x14ac:dyDescent="0.3">
      <c r="A3751" s="11" t="s">
        <v>3067</v>
      </c>
      <c r="B3751" s="11"/>
      <c r="C3751" s="2284">
        <v>255</v>
      </c>
      <c r="D3751" s="2284">
        <v>32799856.168633401</v>
      </c>
      <c r="E3751" s="2285">
        <v>4447278.1168724904</v>
      </c>
      <c r="F3751" s="2286">
        <v>0.40881839710449502</v>
      </c>
      <c r="G3751" s="2287">
        <v>5.3925753969394197E-2</v>
      </c>
    </row>
    <row r="3752" spans="1:7" x14ac:dyDescent="0.3">
      <c r="A3752" s="6" t="s">
        <v>3049</v>
      </c>
      <c r="B3752" s="6"/>
      <c r="C3752" s="2280">
        <v>242</v>
      </c>
      <c r="D3752" s="2280">
        <v>32327412.796711899</v>
      </c>
      <c r="E3752" s="2281">
        <v>2769323.3503678702</v>
      </c>
      <c r="F3752" s="2282">
        <v>0.402929848659691</v>
      </c>
      <c r="G3752" s="2283">
        <v>3.5196849611089799E-2</v>
      </c>
    </row>
    <row r="3753" spans="1:7" x14ac:dyDescent="0.3">
      <c r="A3753" s="11" t="s">
        <v>1059</v>
      </c>
      <c r="B3753" s="11"/>
      <c r="C3753" s="2284">
        <v>225</v>
      </c>
      <c r="D3753" s="2284">
        <v>31963286.0876863</v>
      </c>
      <c r="E3753" s="2285">
        <v>5026699.9661893696</v>
      </c>
      <c r="F3753" s="2286">
        <v>0.39839136236994999</v>
      </c>
      <c r="G3753" s="2287">
        <v>5.9419640684765997E-2</v>
      </c>
    </row>
    <row r="3754" spans="1:7" x14ac:dyDescent="0.3">
      <c r="A3754" s="6" t="s">
        <v>3038</v>
      </c>
      <c r="B3754" s="6"/>
      <c r="C3754" s="2280">
        <v>234</v>
      </c>
      <c r="D3754" s="2280">
        <v>31288501.017416298</v>
      </c>
      <c r="E3754" s="2281">
        <v>5466621.5485017402</v>
      </c>
      <c r="F3754" s="2282">
        <v>0.38998082089075897</v>
      </c>
      <c r="G3754" s="2283">
        <v>6.4403590339346298E-2</v>
      </c>
    </row>
    <row r="3755" spans="1:7" x14ac:dyDescent="0.3">
      <c r="A3755" s="11" t="s">
        <v>972</v>
      </c>
      <c r="B3755" s="11"/>
      <c r="C3755" s="2284">
        <v>223</v>
      </c>
      <c r="D3755" s="2284">
        <v>31255404.914148401</v>
      </c>
      <c r="E3755" s="2285">
        <v>4494482.5134456595</v>
      </c>
      <c r="F3755" s="2286">
        <v>0.38956831006086901</v>
      </c>
      <c r="G3755" s="2287">
        <v>5.4391771089898497E-2</v>
      </c>
    </row>
    <row r="3756" spans="1:7" x14ac:dyDescent="0.3">
      <c r="A3756" s="6" t="s">
        <v>1071</v>
      </c>
      <c r="B3756" s="6"/>
      <c r="C3756" s="2280">
        <v>201</v>
      </c>
      <c r="D3756" s="2280">
        <v>30760069.489317</v>
      </c>
      <c r="E3756" s="2281">
        <v>4686641.5532906502</v>
      </c>
      <c r="F3756" s="2282">
        <v>0.38339443437777099</v>
      </c>
      <c r="G3756" s="2283">
        <v>6.0087934007373903E-2</v>
      </c>
    </row>
    <row r="3757" spans="1:7" x14ac:dyDescent="0.3">
      <c r="A3757" s="11" t="s">
        <v>3051</v>
      </c>
      <c r="B3757" s="11"/>
      <c r="C3757" s="2284">
        <v>244</v>
      </c>
      <c r="D3757" s="2284">
        <v>30722151.620065201</v>
      </c>
      <c r="E3757" s="2285">
        <v>3682166.5175880599</v>
      </c>
      <c r="F3757" s="2286">
        <v>0.38292182491114901</v>
      </c>
      <c r="G3757" s="2287">
        <v>4.3607947047043703E-2</v>
      </c>
    </row>
    <row r="3758" spans="1:7" x14ac:dyDescent="0.3">
      <c r="A3758" s="6" t="s">
        <v>1063</v>
      </c>
      <c r="B3758" s="6"/>
      <c r="C3758" s="2280">
        <v>177</v>
      </c>
      <c r="D3758" s="2280">
        <v>30129200.770732202</v>
      </c>
      <c r="E3758" s="2281">
        <v>3057136.6449237899</v>
      </c>
      <c r="F3758" s="2282">
        <v>0.37553126763126998</v>
      </c>
      <c r="G3758" s="2283">
        <v>3.6782688790985701E-2</v>
      </c>
    </row>
    <row r="3759" spans="1:7" x14ac:dyDescent="0.3">
      <c r="A3759" s="11" t="s">
        <v>3163</v>
      </c>
      <c r="B3759" s="11"/>
      <c r="C3759" s="2284">
        <v>212</v>
      </c>
      <c r="D3759" s="2284">
        <v>29657719.3996116</v>
      </c>
      <c r="E3759" s="2285">
        <v>3612432.4361358001</v>
      </c>
      <c r="F3759" s="2286">
        <v>0.36965470959347901</v>
      </c>
      <c r="G3759" s="2287">
        <v>4.77281022117838E-2</v>
      </c>
    </row>
    <row r="3760" spans="1:7" x14ac:dyDescent="0.3">
      <c r="A3760" s="6" t="s">
        <v>1013</v>
      </c>
      <c r="B3760" s="6"/>
      <c r="C3760" s="2280">
        <v>172</v>
      </c>
      <c r="D3760" s="2280">
        <v>29599900.604221702</v>
      </c>
      <c r="E3760" s="2281">
        <v>4881686.3735754797</v>
      </c>
      <c r="F3760" s="2282">
        <v>0.36893405438291099</v>
      </c>
      <c r="G3760" s="2283">
        <v>6.1832287495032903E-2</v>
      </c>
    </row>
    <row r="3761" spans="1:7" x14ac:dyDescent="0.3">
      <c r="A3761" s="11" t="s">
        <v>1073</v>
      </c>
      <c r="B3761" s="11"/>
      <c r="C3761" s="2284">
        <v>256</v>
      </c>
      <c r="D3761" s="2284">
        <v>29137630.288529102</v>
      </c>
      <c r="E3761" s="2285">
        <v>2405145.1518570399</v>
      </c>
      <c r="F3761" s="2286">
        <v>0.36317230321794303</v>
      </c>
      <c r="G3761" s="2287">
        <v>3.0993741136622E-2</v>
      </c>
    </row>
    <row r="3762" spans="1:7" x14ac:dyDescent="0.3">
      <c r="A3762" s="6" t="s">
        <v>1051</v>
      </c>
      <c r="B3762" s="6"/>
      <c r="C3762" s="2280">
        <v>211</v>
      </c>
      <c r="D3762" s="2280">
        <v>28718616.134244502</v>
      </c>
      <c r="E3762" s="2281">
        <v>2661747.99926676</v>
      </c>
      <c r="F3762" s="2282">
        <v>0.35794969815412597</v>
      </c>
      <c r="G3762" s="2283">
        <v>3.1882749464521E-2</v>
      </c>
    </row>
    <row r="3763" spans="1:7" x14ac:dyDescent="0.3">
      <c r="A3763" s="11" t="s">
        <v>3036</v>
      </c>
      <c r="B3763" s="11"/>
      <c r="C3763" s="2284">
        <v>199</v>
      </c>
      <c r="D3763" s="2284">
        <v>27777883.429311</v>
      </c>
      <c r="E3763" s="2285">
        <v>3035316.2279679598</v>
      </c>
      <c r="F3763" s="2286">
        <v>0.34622437733084599</v>
      </c>
      <c r="G3763" s="2287">
        <v>3.78169162164897E-2</v>
      </c>
    </row>
    <row r="3764" spans="1:7" x14ac:dyDescent="0.3">
      <c r="A3764" s="6" t="s">
        <v>1047</v>
      </c>
      <c r="B3764" s="6"/>
      <c r="C3764" s="2280">
        <v>219</v>
      </c>
      <c r="D3764" s="2280">
        <v>27705744.008125201</v>
      </c>
      <c r="E3764" s="2281">
        <v>4800709.9589451402</v>
      </c>
      <c r="F3764" s="2282">
        <v>0.34532522940819699</v>
      </c>
      <c r="G3764" s="2283">
        <v>6.2029072865015002E-2</v>
      </c>
    </row>
    <row r="3765" spans="1:7" x14ac:dyDescent="0.3">
      <c r="A3765" s="11" t="s">
        <v>1053</v>
      </c>
      <c r="B3765" s="11"/>
      <c r="C3765" s="2284">
        <v>183</v>
      </c>
      <c r="D3765" s="2284">
        <v>26121591.4900693</v>
      </c>
      <c r="E3765" s="2285">
        <v>3906505.3398268898</v>
      </c>
      <c r="F3765" s="2286">
        <v>0.325580304617338</v>
      </c>
      <c r="G3765" s="2287">
        <v>5.0161070234668703E-2</v>
      </c>
    </row>
    <row r="3766" spans="1:7" x14ac:dyDescent="0.3">
      <c r="A3766" s="6" t="s">
        <v>1003</v>
      </c>
      <c r="B3766" s="6"/>
      <c r="C3766" s="2280">
        <v>193</v>
      </c>
      <c r="D3766" s="2280">
        <v>25780835.837822098</v>
      </c>
      <c r="E3766" s="2281">
        <v>3940941.8425676501</v>
      </c>
      <c r="F3766" s="2282">
        <v>0.32133311588456498</v>
      </c>
      <c r="G3766" s="2283">
        <v>4.8575072266045002E-2</v>
      </c>
    </row>
    <row r="3767" spans="1:7" x14ac:dyDescent="0.3">
      <c r="A3767" s="11" t="s">
        <v>1061</v>
      </c>
      <c r="B3767" s="11"/>
      <c r="C3767" s="2284">
        <v>203</v>
      </c>
      <c r="D3767" s="2284">
        <v>25529644.3769456</v>
      </c>
      <c r="E3767" s="2285">
        <v>2139116.1586175398</v>
      </c>
      <c r="F3767" s="2286">
        <v>0.31820225793586199</v>
      </c>
      <c r="G3767" s="2287">
        <v>2.4769777857129801E-2</v>
      </c>
    </row>
    <row r="3768" spans="1:7" x14ac:dyDescent="0.3">
      <c r="A3768" s="6" t="s">
        <v>3077</v>
      </c>
      <c r="B3768" s="6"/>
      <c r="C3768" s="2280">
        <v>181</v>
      </c>
      <c r="D3768" s="2280">
        <v>25292865.146627001</v>
      </c>
      <c r="E3768" s="2281">
        <v>1652136.59968457</v>
      </c>
      <c r="F3768" s="2282">
        <v>0.31525103446375902</v>
      </c>
      <c r="G3768" s="2283">
        <v>2.0416246190412501E-2</v>
      </c>
    </row>
    <row r="3769" spans="1:7" x14ac:dyDescent="0.3">
      <c r="A3769" s="11" t="s">
        <v>997</v>
      </c>
      <c r="B3769" s="11"/>
      <c r="C3769" s="2284">
        <v>217</v>
      </c>
      <c r="D3769" s="2284">
        <v>25095820.332833499</v>
      </c>
      <c r="E3769" s="2285">
        <v>2158155.9544353001</v>
      </c>
      <c r="F3769" s="2286">
        <v>0.31279506195831103</v>
      </c>
      <c r="G3769" s="2287">
        <v>2.5585302629259302E-2</v>
      </c>
    </row>
    <row r="3770" spans="1:7" x14ac:dyDescent="0.3">
      <c r="A3770" s="6" t="s">
        <v>1001</v>
      </c>
      <c r="B3770" s="6"/>
      <c r="C3770" s="2280">
        <v>184</v>
      </c>
      <c r="D3770" s="2280">
        <v>24734076.280559499</v>
      </c>
      <c r="E3770" s="2281">
        <v>4053866.4507887899</v>
      </c>
      <c r="F3770" s="2282">
        <v>0.30828627317422602</v>
      </c>
      <c r="G3770" s="2283">
        <v>4.9465437569253298E-2</v>
      </c>
    </row>
    <row r="3771" spans="1:7" x14ac:dyDescent="0.3">
      <c r="A3771" s="11" t="s">
        <v>1067</v>
      </c>
      <c r="B3771" s="11"/>
      <c r="C3771" s="2284">
        <v>208</v>
      </c>
      <c r="D3771" s="2284">
        <v>23691619.500278</v>
      </c>
      <c r="E3771" s="2285">
        <v>2700315.4583662199</v>
      </c>
      <c r="F3771" s="2286">
        <v>0.29529306040602599</v>
      </c>
      <c r="G3771" s="2287">
        <v>3.3931037739491202E-2</v>
      </c>
    </row>
    <row r="3772" spans="1:7" x14ac:dyDescent="0.3">
      <c r="A3772" s="6" t="s">
        <v>3165</v>
      </c>
      <c r="B3772" s="6"/>
      <c r="C3772" s="2280">
        <v>170</v>
      </c>
      <c r="D3772" s="2280">
        <v>23176004.4964948</v>
      </c>
      <c r="E3772" s="2281">
        <v>1977910.8745130401</v>
      </c>
      <c r="F3772" s="2282">
        <v>0.28886641943888502</v>
      </c>
      <c r="G3772" s="2283">
        <v>2.4087830407776002E-2</v>
      </c>
    </row>
    <row r="3773" spans="1:7" x14ac:dyDescent="0.3">
      <c r="A3773" s="11" t="s">
        <v>3034</v>
      </c>
      <c r="B3773" s="11"/>
      <c r="C3773" s="2284">
        <v>194</v>
      </c>
      <c r="D3773" s="2284">
        <v>22769924.453699902</v>
      </c>
      <c r="E3773" s="2285">
        <v>3821264.7809530199</v>
      </c>
      <c r="F3773" s="2286">
        <v>0.28380502553099601</v>
      </c>
      <c r="G3773" s="2287">
        <v>4.9174465465072703E-2</v>
      </c>
    </row>
    <row r="3774" spans="1:7" x14ac:dyDescent="0.3">
      <c r="A3774" s="6" t="s">
        <v>1069</v>
      </c>
      <c r="B3774" s="6"/>
      <c r="C3774" s="2280">
        <v>165</v>
      </c>
      <c r="D3774" s="2280">
        <v>21993914.301136199</v>
      </c>
      <c r="E3774" s="2281">
        <v>4346130.9137985697</v>
      </c>
      <c r="F3774" s="2282">
        <v>0.27413281157137298</v>
      </c>
      <c r="G3774" s="2283">
        <v>5.38642640542722E-2</v>
      </c>
    </row>
    <row r="3775" spans="1:7" x14ac:dyDescent="0.3">
      <c r="A3775" s="11" t="s">
        <v>1077</v>
      </c>
      <c r="B3775" s="11"/>
      <c r="C3775" s="2284">
        <v>166</v>
      </c>
      <c r="D3775" s="2284">
        <v>20258395.755847901</v>
      </c>
      <c r="E3775" s="2285">
        <v>4591658.8735288996</v>
      </c>
      <c r="F3775" s="2286">
        <v>0.25250125604923701</v>
      </c>
      <c r="G3775" s="2287">
        <v>5.7695851853483401E-2</v>
      </c>
    </row>
    <row r="3776" spans="1:7" x14ac:dyDescent="0.3">
      <c r="A3776" s="6" t="s">
        <v>968</v>
      </c>
      <c r="B3776" s="6"/>
      <c r="C3776" s="2280">
        <v>190</v>
      </c>
      <c r="D3776" s="2280">
        <v>19584770.797658999</v>
      </c>
      <c r="E3776" s="2281">
        <v>2206892.6415571598</v>
      </c>
      <c r="F3776" s="2282">
        <v>0.24410517424203201</v>
      </c>
      <c r="G3776" s="2283">
        <v>2.86918926955246E-2</v>
      </c>
    </row>
    <row r="3777" spans="1:7" x14ac:dyDescent="0.3">
      <c r="A3777" s="11" t="s">
        <v>3055</v>
      </c>
      <c r="B3777" s="11"/>
      <c r="C3777" s="2284">
        <v>162</v>
      </c>
      <c r="D3777" s="2284">
        <v>19523558.068534799</v>
      </c>
      <c r="E3777" s="2285">
        <v>3909962.60576285</v>
      </c>
      <c r="F3777" s="2286">
        <v>0.24334221693898</v>
      </c>
      <c r="G3777" s="2287">
        <v>4.7010293950682597E-2</v>
      </c>
    </row>
    <row r="3778" spans="1:7" x14ac:dyDescent="0.3">
      <c r="A3778" s="6" t="s">
        <v>993</v>
      </c>
      <c r="B3778" s="6"/>
      <c r="C3778" s="2280">
        <v>159</v>
      </c>
      <c r="D3778" s="2280">
        <v>18237688.849015899</v>
      </c>
      <c r="E3778" s="2281">
        <v>3901406.5859074499</v>
      </c>
      <c r="F3778" s="2282">
        <v>0.227315104182539</v>
      </c>
      <c r="G3778" s="2283">
        <v>4.8766048620442003E-2</v>
      </c>
    </row>
    <row r="3779" spans="1:7" x14ac:dyDescent="0.3">
      <c r="A3779" s="11" t="s">
        <v>3040</v>
      </c>
      <c r="B3779" s="11"/>
      <c r="C3779" s="2284">
        <v>126</v>
      </c>
      <c r="D3779" s="2284">
        <v>17191780.725931302</v>
      </c>
      <c r="E3779" s="2285">
        <v>2782996.8924539699</v>
      </c>
      <c r="F3779" s="2286">
        <v>0.214278873773489</v>
      </c>
      <c r="G3779" s="2287">
        <v>3.3107833944004801E-2</v>
      </c>
    </row>
    <row r="3780" spans="1:7" x14ac:dyDescent="0.3">
      <c r="A3780" s="6" t="s">
        <v>3069</v>
      </c>
      <c r="B3780" s="6"/>
      <c r="C3780" s="2280">
        <v>133</v>
      </c>
      <c r="D3780" s="2280">
        <v>15388784.0201224</v>
      </c>
      <c r="E3780" s="2281">
        <v>1852057.19458626</v>
      </c>
      <c r="F3780" s="2282">
        <v>0.191806268422299</v>
      </c>
      <c r="G3780" s="2283">
        <v>2.26421810950782E-2</v>
      </c>
    </row>
    <row r="3781" spans="1:7" x14ac:dyDescent="0.3">
      <c r="A3781" s="11" t="s">
        <v>6269</v>
      </c>
      <c r="B3781" s="11" t="s">
        <v>6270</v>
      </c>
      <c r="C3781" s="2284">
        <v>59876</v>
      </c>
      <c r="D3781" s="2284">
        <v>8023087121.5538101</v>
      </c>
      <c r="E3781" s="2285">
        <v>109184500.795012</v>
      </c>
      <c r="F3781" s="2286">
        <v>100</v>
      </c>
      <c r="G3781" s="2287">
        <v>1.02786679142825E-14</v>
      </c>
    </row>
    <row r="3782" spans="1:7" x14ac:dyDescent="0.3">
      <c r="A3782" s="6" t="s">
        <v>6269</v>
      </c>
      <c r="B3782" s="6" t="s">
        <v>6271</v>
      </c>
      <c r="C3782" s="2280">
        <v>59876</v>
      </c>
      <c r="D3782" s="2280">
        <v>8023087121.5538101</v>
      </c>
      <c r="E3782" s="2281">
        <v>0</v>
      </c>
      <c r="F3782" s="2282">
        <v>100</v>
      </c>
      <c r="G3782" s="2283">
        <v>0</v>
      </c>
    </row>
    <row r="3783" spans="1:7" x14ac:dyDescent="0.3">
      <c r="A3783" s="3299" t="s">
        <v>579</v>
      </c>
      <c r="B3783" s="3298"/>
      <c r="C3783" s="3298"/>
      <c r="D3783" s="3298"/>
      <c r="E3783" s="3298"/>
      <c r="F3783" s="3298"/>
      <c r="G3783" s="3298"/>
    </row>
    <row r="3784" spans="1:7" x14ac:dyDescent="0.3">
      <c r="A3784" s="11" t="s">
        <v>6492</v>
      </c>
      <c r="B3784" s="11"/>
      <c r="C3784" s="2292">
        <v>37763</v>
      </c>
      <c r="D3784" s="2292">
        <v>4978796746.5954905</v>
      </c>
      <c r="E3784" s="2293">
        <v>67945666.613940001</v>
      </c>
      <c r="F3784" s="2294">
        <v>62.0558728973554</v>
      </c>
      <c r="G3784" s="2295">
        <v>0.57274308038506105</v>
      </c>
    </row>
    <row r="3785" spans="1:7" x14ac:dyDescent="0.3">
      <c r="A3785" s="6" t="s">
        <v>6491</v>
      </c>
      <c r="B3785" s="6"/>
      <c r="C3785" s="2288">
        <v>22113</v>
      </c>
      <c r="D3785" s="2288">
        <v>3044290374.9582701</v>
      </c>
      <c r="E3785" s="2289">
        <v>71564098.020308703</v>
      </c>
      <c r="F3785" s="2290">
        <v>37.9441271026446</v>
      </c>
      <c r="G3785" s="2291">
        <v>0.57274308038506605</v>
      </c>
    </row>
    <row r="3786" spans="1:7" x14ac:dyDescent="0.3">
      <c r="A3786" s="11" t="s">
        <v>6269</v>
      </c>
      <c r="B3786" s="11" t="s">
        <v>6270</v>
      </c>
      <c r="C3786" s="2292">
        <v>59876</v>
      </c>
      <c r="D3786" s="2292">
        <v>8023087121.5537596</v>
      </c>
      <c r="E3786" s="2293">
        <v>109184500.79500701</v>
      </c>
      <c r="F3786" s="2294">
        <v>100</v>
      </c>
      <c r="G3786" s="2295">
        <v>1.02786679142825E-14</v>
      </c>
    </row>
    <row r="3787" spans="1:7" x14ac:dyDescent="0.3">
      <c r="A3787" s="6" t="s">
        <v>6269</v>
      </c>
      <c r="B3787" s="6" t="s">
        <v>6271</v>
      </c>
      <c r="C3787" s="2288">
        <v>59876</v>
      </c>
      <c r="D3787" s="2288">
        <v>8023087121.5537596</v>
      </c>
      <c r="E3787" s="2289">
        <v>0</v>
      </c>
      <c r="F3787" s="2290">
        <v>100</v>
      </c>
      <c r="G3787" s="2291">
        <v>0</v>
      </c>
    </row>
    <row r="3788" spans="1:7" x14ac:dyDescent="0.3">
      <c r="A3788" s="3299" t="s">
        <v>172</v>
      </c>
      <c r="B3788" s="3298"/>
      <c r="C3788" s="3298"/>
      <c r="D3788" s="3298"/>
      <c r="E3788" s="3298"/>
      <c r="F3788" s="3298"/>
      <c r="G3788" s="3298"/>
    </row>
    <row r="3789" spans="1:7" x14ac:dyDescent="0.3">
      <c r="A3789" s="11" t="s">
        <v>981</v>
      </c>
      <c r="B3789" s="11"/>
      <c r="C3789" s="2300">
        <v>6745</v>
      </c>
      <c r="D3789" s="2300">
        <v>1088535247.79691</v>
      </c>
      <c r="E3789" s="2301">
        <v>23600209.1815456</v>
      </c>
      <c r="F3789" s="2302">
        <v>13.5675361778459</v>
      </c>
      <c r="G3789" s="2303">
        <v>0.30642107272983499</v>
      </c>
    </row>
    <row r="3790" spans="1:7" x14ac:dyDescent="0.3">
      <c r="A3790" s="6" t="s">
        <v>991</v>
      </c>
      <c r="B3790" s="6"/>
      <c r="C3790" s="2296">
        <v>5895</v>
      </c>
      <c r="D3790" s="2296">
        <v>877919261.936517</v>
      </c>
      <c r="E3790" s="2297">
        <v>20235988.816438701</v>
      </c>
      <c r="F3790" s="2298">
        <v>10.9424121742117</v>
      </c>
      <c r="G3790" s="2299">
        <v>0.159138369883145</v>
      </c>
    </row>
    <row r="3791" spans="1:7" x14ac:dyDescent="0.3">
      <c r="A3791" s="11" t="s">
        <v>972</v>
      </c>
      <c r="B3791" s="11"/>
      <c r="C3791" s="2300">
        <v>5547</v>
      </c>
      <c r="D3791" s="2300">
        <v>841334823.99541605</v>
      </c>
      <c r="E3791" s="2301">
        <v>22336064.917405698</v>
      </c>
      <c r="F3791" s="2302">
        <v>10.4864226356858</v>
      </c>
      <c r="G3791" s="2303">
        <v>0.18999903542025001</v>
      </c>
    </row>
    <row r="3792" spans="1:7" x14ac:dyDescent="0.3">
      <c r="A3792" s="6" t="s">
        <v>970</v>
      </c>
      <c r="B3792" s="6"/>
      <c r="C3792" s="2296">
        <v>5391</v>
      </c>
      <c r="D3792" s="2296">
        <v>741658601.44516504</v>
      </c>
      <c r="E3792" s="2297">
        <v>20030540.454638399</v>
      </c>
      <c r="F3792" s="2298">
        <v>9.2440551898372991</v>
      </c>
      <c r="G3792" s="2299">
        <v>0.24314439020681899</v>
      </c>
    </row>
    <row r="3793" spans="1:7" x14ac:dyDescent="0.3">
      <c r="A3793" s="11" t="s">
        <v>968</v>
      </c>
      <c r="B3793" s="11"/>
      <c r="C3793" s="2300">
        <v>4852</v>
      </c>
      <c r="D3793" s="2300">
        <v>669645789.44672704</v>
      </c>
      <c r="E3793" s="2301">
        <v>28184437.197674699</v>
      </c>
      <c r="F3793" s="2302">
        <v>8.3464853279199698</v>
      </c>
      <c r="G3793" s="2303">
        <v>0.42334055531320802</v>
      </c>
    </row>
    <row r="3794" spans="1:7" x14ac:dyDescent="0.3">
      <c r="A3794" s="6" t="s">
        <v>993</v>
      </c>
      <c r="B3794" s="6"/>
      <c r="C3794" s="2296">
        <v>4754</v>
      </c>
      <c r="D3794" s="2296">
        <v>625809640.08076704</v>
      </c>
      <c r="E3794" s="2297">
        <v>15893153.659597401</v>
      </c>
      <c r="F3794" s="2298">
        <v>7.8001102393559298</v>
      </c>
      <c r="G3794" s="2299">
        <v>0.17989627347032</v>
      </c>
    </row>
    <row r="3795" spans="1:7" x14ac:dyDescent="0.3">
      <c r="A3795" s="11" t="s">
        <v>966</v>
      </c>
      <c r="B3795" s="11"/>
      <c r="C3795" s="2300">
        <v>4727</v>
      </c>
      <c r="D3795" s="2300">
        <v>623922892.81155097</v>
      </c>
      <c r="E3795" s="2301">
        <v>12568340.282299399</v>
      </c>
      <c r="F3795" s="2302">
        <v>7.7765937644550496</v>
      </c>
      <c r="G3795" s="2303">
        <v>0.15903866866609001</v>
      </c>
    </row>
    <row r="3796" spans="1:7" x14ac:dyDescent="0.3">
      <c r="A3796" s="6" t="s">
        <v>999</v>
      </c>
      <c r="B3796" s="6"/>
      <c r="C3796" s="2296">
        <v>4789</v>
      </c>
      <c r="D3796" s="2296">
        <v>541543456.37261903</v>
      </c>
      <c r="E3796" s="2297">
        <v>21490530.140895501</v>
      </c>
      <c r="F3796" s="2298">
        <v>6.7498139826722898</v>
      </c>
      <c r="G3796" s="2299">
        <v>0.23824961755885099</v>
      </c>
    </row>
    <row r="3797" spans="1:7" x14ac:dyDescent="0.3">
      <c r="A3797" s="11" t="s">
        <v>997</v>
      </c>
      <c r="B3797" s="11"/>
      <c r="C3797" s="2300">
        <v>4426</v>
      </c>
      <c r="D3797" s="2300">
        <v>513610041.11219198</v>
      </c>
      <c r="E3797" s="2301">
        <v>21757628.788598601</v>
      </c>
      <c r="F3797" s="2302">
        <v>6.40165105190483</v>
      </c>
      <c r="G3797" s="2303">
        <v>0.199189992713596</v>
      </c>
    </row>
    <row r="3798" spans="1:7" x14ac:dyDescent="0.3">
      <c r="A3798" s="6" t="s">
        <v>995</v>
      </c>
      <c r="B3798" s="6"/>
      <c r="C3798" s="2296">
        <v>4403</v>
      </c>
      <c r="D3798" s="2296">
        <v>513461440.06680101</v>
      </c>
      <c r="E3798" s="2297">
        <v>27853109.246500801</v>
      </c>
      <c r="F3798" s="2298">
        <v>6.3997988839906697</v>
      </c>
      <c r="G3798" s="2299">
        <v>0.28015416973212698</v>
      </c>
    </row>
    <row r="3799" spans="1:7" x14ac:dyDescent="0.3">
      <c r="A3799" s="11" t="s">
        <v>964</v>
      </c>
      <c r="B3799" s="11"/>
      <c r="C3799" s="2300">
        <v>4088</v>
      </c>
      <c r="D3799" s="2300">
        <v>505608412.70136899</v>
      </c>
      <c r="E3799" s="2301">
        <v>20327289.538621601</v>
      </c>
      <c r="F3799" s="2302">
        <v>6.3019185139229501</v>
      </c>
      <c r="G3799" s="2303">
        <v>0.256622476364184</v>
      </c>
    </row>
    <row r="3800" spans="1:7" x14ac:dyDescent="0.3">
      <c r="A3800" s="6" t="s">
        <v>962</v>
      </c>
      <c r="B3800" s="6"/>
      <c r="C3800" s="2296">
        <v>4259</v>
      </c>
      <c r="D3800" s="2296">
        <v>480037513.78778702</v>
      </c>
      <c r="E3800" s="2297">
        <v>16170133.779029701</v>
      </c>
      <c r="F3800" s="2298">
        <v>5.9832020581974996</v>
      </c>
      <c r="G3800" s="2299">
        <v>0.146730675532939</v>
      </c>
    </row>
    <row r="3801" spans="1:7" x14ac:dyDescent="0.3">
      <c r="A3801" s="11" t="s">
        <v>6269</v>
      </c>
      <c r="B3801" s="11" t="s">
        <v>6270</v>
      </c>
      <c r="C3801" s="2300">
        <v>59876</v>
      </c>
      <c r="D3801" s="2300">
        <v>8023087121.5538197</v>
      </c>
      <c r="E3801" s="2301">
        <v>109184500.79502501</v>
      </c>
      <c r="F3801" s="2302">
        <v>100</v>
      </c>
      <c r="G3801" s="2303">
        <v>0</v>
      </c>
    </row>
    <row r="3802" spans="1:7" x14ac:dyDescent="0.3">
      <c r="A3802" s="6" t="s">
        <v>6269</v>
      </c>
      <c r="B3802" s="6" t="s">
        <v>6271</v>
      </c>
      <c r="C3802" s="2296">
        <v>59876</v>
      </c>
      <c r="D3802" s="2296">
        <v>8023087121.5538197</v>
      </c>
      <c r="E3802" s="2297">
        <v>0</v>
      </c>
      <c r="F3802" s="2298">
        <v>100</v>
      </c>
      <c r="G3802" s="2299">
        <v>0</v>
      </c>
    </row>
    <row r="3803" spans="1:7" x14ac:dyDescent="0.3">
      <c r="A3803" s="3299" t="s">
        <v>174</v>
      </c>
      <c r="B3803" s="3298"/>
      <c r="C3803" s="3298"/>
      <c r="D3803" s="3298"/>
      <c r="E3803" s="3298"/>
      <c r="F3803" s="3298"/>
      <c r="G3803" s="3298"/>
    </row>
    <row r="3804" spans="1:7" x14ac:dyDescent="0.3">
      <c r="A3804" s="11" t="s">
        <v>1152</v>
      </c>
      <c r="B3804" s="11"/>
      <c r="C3804" s="2308">
        <v>7031</v>
      </c>
      <c r="D3804" s="2308">
        <v>972301532.18396699</v>
      </c>
      <c r="E3804" s="2309">
        <v>17906423.054187201</v>
      </c>
      <c r="F3804" s="2310">
        <v>12.1187956387997</v>
      </c>
      <c r="G3804" s="2311">
        <v>0.30410199166256002</v>
      </c>
    </row>
    <row r="3805" spans="1:7" x14ac:dyDescent="0.3">
      <c r="A3805" s="6" t="s">
        <v>1157</v>
      </c>
      <c r="B3805" s="6"/>
      <c r="C3805" s="2304">
        <v>6292</v>
      </c>
      <c r="D3805" s="2304">
        <v>837681564.41178596</v>
      </c>
      <c r="E3805" s="2305">
        <v>23376529.870463502</v>
      </c>
      <c r="F3805" s="2306">
        <v>10.440888297989099</v>
      </c>
      <c r="G3805" s="2307">
        <v>0.296696397278844</v>
      </c>
    </row>
    <row r="3806" spans="1:7" x14ac:dyDescent="0.3">
      <c r="A3806" s="11" t="s">
        <v>1005</v>
      </c>
      <c r="B3806" s="11"/>
      <c r="C3806" s="2308">
        <v>5006</v>
      </c>
      <c r="D3806" s="2308">
        <v>677135116.04154599</v>
      </c>
      <c r="E3806" s="2309">
        <v>18627343.954079598</v>
      </c>
      <c r="F3806" s="2310">
        <v>8.4398325206071796</v>
      </c>
      <c r="G3806" s="2311">
        <v>0.23557304414542801</v>
      </c>
    </row>
    <row r="3807" spans="1:7" x14ac:dyDescent="0.3">
      <c r="A3807" s="6" t="s">
        <v>3061</v>
      </c>
      <c r="B3807" s="6"/>
      <c r="C3807" s="2304">
        <v>4854</v>
      </c>
      <c r="D3807" s="2304">
        <v>659323109.03689098</v>
      </c>
      <c r="E3807" s="2305">
        <v>28277181.948024001</v>
      </c>
      <c r="F3807" s="2306">
        <v>8.2178231277787894</v>
      </c>
      <c r="G3807" s="2307">
        <v>0.29051972843684098</v>
      </c>
    </row>
    <row r="3808" spans="1:7" x14ac:dyDescent="0.3">
      <c r="A3808" s="11" t="s">
        <v>1155</v>
      </c>
      <c r="B3808" s="11"/>
      <c r="C3808" s="2308">
        <v>3404</v>
      </c>
      <c r="D3808" s="2308">
        <v>458034711.72267199</v>
      </c>
      <c r="E3808" s="2309">
        <v>11899683.444077499</v>
      </c>
      <c r="F3808" s="2310">
        <v>5.7089584692676896</v>
      </c>
      <c r="G3808" s="2311">
        <v>0.155101836741071</v>
      </c>
    </row>
    <row r="3809" spans="1:7" x14ac:dyDescent="0.3">
      <c r="A3809" s="6" t="s">
        <v>995</v>
      </c>
      <c r="B3809" s="6"/>
      <c r="C3809" s="2304">
        <v>3461</v>
      </c>
      <c r="D3809" s="2304">
        <v>436544134.775096</v>
      </c>
      <c r="E3809" s="2305">
        <v>15807787.441283301</v>
      </c>
      <c r="F3809" s="2306">
        <v>5.4410992696605698</v>
      </c>
      <c r="G3809" s="2307">
        <v>0.183981725244098</v>
      </c>
    </row>
    <row r="3810" spans="1:7" x14ac:dyDescent="0.3">
      <c r="A3810" s="11" t="s">
        <v>1159</v>
      </c>
      <c r="B3810" s="11"/>
      <c r="C3810" s="2308">
        <v>3148</v>
      </c>
      <c r="D3810" s="2308">
        <v>422695187.73360997</v>
      </c>
      <c r="E3810" s="2309">
        <v>15912180.321525799</v>
      </c>
      <c r="F3810" s="2310">
        <v>5.2684855758084703</v>
      </c>
      <c r="G3810" s="2311">
        <v>0.18215690286858999</v>
      </c>
    </row>
    <row r="3811" spans="1:7" x14ac:dyDescent="0.3">
      <c r="A3811" s="6" t="s">
        <v>1161</v>
      </c>
      <c r="B3811" s="6"/>
      <c r="C3811" s="2304">
        <v>2863</v>
      </c>
      <c r="D3811" s="2304">
        <v>388699133.00394797</v>
      </c>
      <c r="E3811" s="2305">
        <v>18073269.671008501</v>
      </c>
      <c r="F3811" s="2306">
        <v>4.844757723741</v>
      </c>
      <c r="G3811" s="2307">
        <v>0.21560523886416599</v>
      </c>
    </row>
    <row r="3812" spans="1:7" x14ac:dyDescent="0.3">
      <c r="A3812" s="11" t="s">
        <v>970</v>
      </c>
      <c r="B3812" s="11"/>
      <c r="C3812" s="2308">
        <v>2644</v>
      </c>
      <c r="D3812" s="2308">
        <v>345215170.25338203</v>
      </c>
      <c r="E3812" s="2309">
        <v>22798379.363826599</v>
      </c>
      <c r="F3812" s="2310">
        <v>4.3027722997793498</v>
      </c>
      <c r="G3812" s="2311">
        <v>0.25603252682796102</v>
      </c>
    </row>
    <row r="3813" spans="1:7" x14ac:dyDescent="0.3">
      <c r="A3813" s="6" t="s">
        <v>3047</v>
      </c>
      <c r="B3813" s="6"/>
      <c r="C3813" s="2304">
        <v>2431</v>
      </c>
      <c r="D3813" s="2304">
        <v>309564492.72082198</v>
      </c>
      <c r="E3813" s="2305">
        <v>16546363.8718946</v>
      </c>
      <c r="F3813" s="2306">
        <v>3.8584211791641301</v>
      </c>
      <c r="G3813" s="2307">
        <v>0.173205969957058</v>
      </c>
    </row>
    <row r="3814" spans="1:7" x14ac:dyDescent="0.3">
      <c r="A3814" s="11" t="s">
        <v>3075</v>
      </c>
      <c r="B3814" s="11"/>
      <c r="C3814" s="2308">
        <v>2087</v>
      </c>
      <c r="D3814" s="2308">
        <v>275129934.12586302</v>
      </c>
      <c r="E3814" s="2309">
        <v>13798277.895155501</v>
      </c>
      <c r="F3814" s="2310">
        <v>3.4292278016866198</v>
      </c>
      <c r="G3814" s="2311">
        <v>0.14131698258584899</v>
      </c>
    </row>
    <row r="3815" spans="1:7" x14ac:dyDescent="0.3">
      <c r="A3815" s="6" t="s">
        <v>3032</v>
      </c>
      <c r="B3815" s="6"/>
      <c r="C3815" s="2304">
        <v>2171</v>
      </c>
      <c r="D3815" s="2304">
        <v>270338116.06408501</v>
      </c>
      <c r="E3815" s="2305">
        <v>11470167.131505501</v>
      </c>
      <c r="F3815" s="2306">
        <v>3.3695024367594</v>
      </c>
      <c r="G3815" s="2307">
        <v>0.144837010303698</v>
      </c>
    </row>
    <row r="3816" spans="1:7" x14ac:dyDescent="0.3">
      <c r="A3816" s="11" t="s">
        <v>964</v>
      </c>
      <c r="B3816" s="11"/>
      <c r="C3816" s="2308">
        <v>465</v>
      </c>
      <c r="D3816" s="2308">
        <v>65961456.926107198</v>
      </c>
      <c r="E3816" s="2309">
        <v>3301355.5474699498</v>
      </c>
      <c r="F3816" s="2310">
        <v>0.82214558968085305</v>
      </c>
      <c r="G3816" s="2311">
        <v>3.7240648873035798E-2</v>
      </c>
    </row>
    <row r="3817" spans="1:7" x14ac:dyDescent="0.3">
      <c r="A3817" s="6" t="s">
        <v>999</v>
      </c>
      <c r="B3817" s="6"/>
      <c r="C3817" s="2304">
        <v>422</v>
      </c>
      <c r="D3817" s="2304">
        <v>62875945.234169498</v>
      </c>
      <c r="E3817" s="2305">
        <v>5163116.87586457</v>
      </c>
      <c r="F3817" s="2306">
        <v>0.78368767883941903</v>
      </c>
      <c r="G3817" s="2307">
        <v>6.4375544494318093E-2</v>
      </c>
    </row>
    <row r="3818" spans="1:7" x14ac:dyDescent="0.3">
      <c r="A3818" s="11" t="s">
        <v>991</v>
      </c>
      <c r="B3818" s="11"/>
      <c r="C3818" s="2308">
        <v>376</v>
      </c>
      <c r="D3818" s="2308">
        <v>61876715.740245998</v>
      </c>
      <c r="E3818" s="2309">
        <v>6865812.2230471903</v>
      </c>
      <c r="F3818" s="2310">
        <v>0.77123325227287898</v>
      </c>
      <c r="G3818" s="2311">
        <v>8.7233115825984406E-2</v>
      </c>
    </row>
    <row r="3819" spans="1:7" x14ac:dyDescent="0.3">
      <c r="A3819" s="6" t="s">
        <v>962</v>
      </c>
      <c r="B3819" s="6"/>
      <c r="C3819" s="2304">
        <v>416</v>
      </c>
      <c r="D3819" s="2304">
        <v>55795783.574639402</v>
      </c>
      <c r="E3819" s="2305">
        <v>5478323.3004314601</v>
      </c>
      <c r="F3819" s="2306">
        <v>0.69544033025324403</v>
      </c>
      <c r="G3819" s="2307">
        <v>6.1732611238540701E-2</v>
      </c>
    </row>
    <row r="3820" spans="1:7" x14ac:dyDescent="0.3">
      <c r="A3820" s="11" t="s">
        <v>1049</v>
      </c>
      <c r="B3820" s="11"/>
      <c r="C3820" s="2308">
        <v>415</v>
      </c>
      <c r="D3820" s="2308">
        <v>55598240.684174798</v>
      </c>
      <c r="E3820" s="2309">
        <v>3212590.21073446</v>
      </c>
      <c r="F3820" s="2310">
        <v>0.69297814970513705</v>
      </c>
      <c r="G3820" s="2311">
        <v>4.4720945411635599E-2</v>
      </c>
    </row>
    <row r="3821" spans="1:7" x14ac:dyDescent="0.3">
      <c r="A3821" s="6" t="s">
        <v>1057</v>
      </c>
      <c r="B3821" s="6"/>
      <c r="C3821" s="2304">
        <v>371</v>
      </c>
      <c r="D3821" s="2304">
        <v>53686283.182067998</v>
      </c>
      <c r="E3821" s="2305">
        <v>7917794.1576442504</v>
      </c>
      <c r="F3821" s="2306">
        <v>0.66914745370072404</v>
      </c>
      <c r="G3821" s="2307">
        <v>9.8146705386421895E-2</v>
      </c>
    </row>
    <row r="3822" spans="1:7" x14ac:dyDescent="0.3">
      <c r="A3822" s="11" t="s">
        <v>3038</v>
      </c>
      <c r="B3822" s="11"/>
      <c r="C3822" s="2308">
        <v>349</v>
      </c>
      <c r="D3822" s="2308">
        <v>53577880.352089196</v>
      </c>
      <c r="E3822" s="2309">
        <v>5156281.61793538</v>
      </c>
      <c r="F3822" s="2310">
        <v>0.66779631755653801</v>
      </c>
      <c r="G3822" s="2311">
        <v>6.4924700660546605E-2</v>
      </c>
    </row>
    <row r="3823" spans="1:7" x14ac:dyDescent="0.3">
      <c r="A3823" s="6" t="s">
        <v>1065</v>
      </c>
      <c r="B3823" s="6"/>
      <c r="C3823" s="2304">
        <v>389</v>
      </c>
      <c r="D3823" s="2304">
        <v>53236246.476040401</v>
      </c>
      <c r="E3823" s="2305">
        <v>2931596.91524758</v>
      </c>
      <c r="F3823" s="2306">
        <v>0.663538182615799</v>
      </c>
      <c r="G3823" s="2307">
        <v>3.5476695067774802E-2</v>
      </c>
    </row>
    <row r="3824" spans="1:7" x14ac:dyDescent="0.3">
      <c r="A3824" s="11" t="s">
        <v>1011</v>
      </c>
      <c r="B3824" s="11"/>
      <c r="C3824" s="2308">
        <v>387</v>
      </c>
      <c r="D3824" s="2308">
        <v>53176852.907422297</v>
      </c>
      <c r="E3824" s="2309">
        <v>3841910.4448504602</v>
      </c>
      <c r="F3824" s="2310">
        <v>0.66279789938419198</v>
      </c>
      <c r="G3824" s="2311">
        <v>5.1537915057668499E-2</v>
      </c>
    </row>
    <row r="3825" spans="1:7" x14ac:dyDescent="0.3">
      <c r="A3825" s="6" t="s">
        <v>981</v>
      </c>
      <c r="B3825" s="6"/>
      <c r="C3825" s="2304">
        <v>408</v>
      </c>
      <c r="D3825" s="2304">
        <v>51965035.648095399</v>
      </c>
      <c r="E3825" s="2305">
        <v>4952705.1050188299</v>
      </c>
      <c r="F3825" s="2306">
        <v>0.64769377249428906</v>
      </c>
      <c r="G3825" s="2307">
        <v>6.1581619928224099E-2</v>
      </c>
    </row>
    <row r="3826" spans="1:7" x14ac:dyDescent="0.3">
      <c r="A3826" s="11" t="s">
        <v>3053</v>
      </c>
      <c r="B3826" s="11"/>
      <c r="C3826" s="2308">
        <v>358</v>
      </c>
      <c r="D3826" s="2308">
        <v>51219632.695057802</v>
      </c>
      <c r="E3826" s="2309">
        <v>6415479.6227247296</v>
      </c>
      <c r="F3826" s="2310">
        <v>0.63840304759320798</v>
      </c>
      <c r="G3826" s="2311">
        <v>7.7462917721784097E-2</v>
      </c>
    </row>
    <row r="3827" spans="1:7" x14ac:dyDescent="0.3">
      <c r="A3827" s="6" t="s">
        <v>3065</v>
      </c>
      <c r="B3827" s="6"/>
      <c r="C3827" s="2304">
        <v>343</v>
      </c>
      <c r="D3827" s="2304">
        <v>51003591.744128101</v>
      </c>
      <c r="E3827" s="2305">
        <v>6326537.4045170899</v>
      </c>
      <c r="F3827" s="2306">
        <v>0.63571030666123896</v>
      </c>
      <c r="G3827" s="2307">
        <v>7.3540088200487005E-2</v>
      </c>
    </row>
    <row r="3828" spans="1:7" x14ac:dyDescent="0.3">
      <c r="A3828" s="11" t="s">
        <v>966</v>
      </c>
      <c r="B3828" s="11"/>
      <c r="C3828" s="2308">
        <v>372</v>
      </c>
      <c r="D3828" s="2308">
        <v>49665878.786612198</v>
      </c>
      <c r="E3828" s="2309">
        <v>6235196.3399228798</v>
      </c>
      <c r="F3828" s="2310">
        <v>0.61903701198988703</v>
      </c>
      <c r="G3828" s="2311">
        <v>7.7352204513115599E-2</v>
      </c>
    </row>
    <row r="3829" spans="1:7" x14ac:dyDescent="0.3">
      <c r="A3829" s="6" t="s">
        <v>3067</v>
      </c>
      <c r="B3829" s="6"/>
      <c r="C3829" s="2304">
        <v>381</v>
      </c>
      <c r="D3829" s="2304">
        <v>48514457.005341798</v>
      </c>
      <c r="E3829" s="2305">
        <v>4268679.3991923397</v>
      </c>
      <c r="F3829" s="2306">
        <v>0.60468565616106695</v>
      </c>
      <c r="G3829" s="2307">
        <v>5.4218561272160397E-2</v>
      </c>
    </row>
    <row r="3830" spans="1:7" x14ac:dyDescent="0.3">
      <c r="A3830" s="11" t="s">
        <v>3049</v>
      </c>
      <c r="B3830" s="11"/>
      <c r="C3830" s="2308">
        <v>318</v>
      </c>
      <c r="D3830" s="2308">
        <v>48452882.902752101</v>
      </c>
      <c r="E3830" s="2309">
        <v>6165558.6896907203</v>
      </c>
      <c r="F3830" s="2310">
        <v>0.60391819468823604</v>
      </c>
      <c r="G3830" s="2311">
        <v>7.7165702230319197E-2</v>
      </c>
    </row>
    <row r="3831" spans="1:7" x14ac:dyDescent="0.3">
      <c r="A3831" s="6" t="s">
        <v>3163</v>
      </c>
      <c r="B3831" s="6"/>
      <c r="C3831" s="2304">
        <v>392</v>
      </c>
      <c r="D3831" s="2304">
        <v>48196164.869755603</v>
      </c>
      <c r="E3831" s="2305">
        <v>4985185.3375297002</v>
      </c>
      <c r="F3831" s="2306">
        <v>0.60071845337785101</v>
      </c>
      <c r="G3831" s="2307">
        <v>6.4924068142899097E-2</v>
      </c>
    </row>
    <row r="3832" spans="1:7" x14ac:dyDescent="0.3">
      <c r="A3832" s="11" t="s">
        <v>1073</v>
      </c>
      <c r="B3832" s="11"/>
      <c r="C3832" s="2308">
        <v>356</v>
      </c>
      <c r="D3832" s="2308">
        <v>47822445.3797113</v>
      </c>
      <c r="E3832" s="2309">
        <v>6153047.2132186098</v>
      </c>
      <c r="F3832" s="2310">
        <v>0.59606040237600799</v>
      </c>
      <c r="G3832" s="2311">
        <v>7.3184917470471705E-2</v>
      </c>
    </row>
    <row r="3833" spans="1:7" x14ac:dyDescent="0.3">
      <c r="A3833" s="6" t="s">
        <v>1067</v>
      </c>
      <c r="B3833" s="6"/>
      <c r="C3833" s="2304">
        <v>285</v>
      </c>
      <c r="D3833" s="2304">
        <v>44566208.826632597</v>
      </c>
      <c r="E3833" s="2305">
        <v>3200535.3449254101</v>
      </c>
      <c r="F3833" s="2306">
        <v>0.55547457171325798</v>
      </c>
      <c r="G3833" s="2307">
        <v>3.97182313646793E-2</v>
      </c>
    </row>
    <row r="3834" spans="1:7" x14ac:dyDescent="0.3">
      <c r="A3834" s="11" t="s">
        <v>3036</v>
      </c>
      <c r="B3834" s="11"/>
      <c r="C3834" s="2308">
        <v>294</v>
      </c>
      <c r="D3834" s="2308">
        <v>43355421.950218</v>
      </c>
      <c r="E3834" s="2309">
        <v>5373492.1836714996</v>
      </c>
      <c r="F3834" s="2310">
        <v>0.54038328754706899</v>
      </c>
      <c r="G3834" s="2311">
        <v>6.8223242374596399E-2</v>
      </c>
    </row>
    <row r="3835" spans="1:7" x14ac:dyDescent="0.3">
      <c r="A3835" s="6" t="s">
        <v>3051</v>
      </c>
      <c r="B3835" s="6"/>
      <c r="C3835" s="2304">
        <v>315</v>
      </c>
      <c r="D3835" s="2304">
        <v>43328157.669427402</v>
      </c>
      <c r="E3835" s="2305">
        <v>4371509.4795102403</v>
      </c>
      <c r="F3835" s="2306">
        <v>0.54004346472852705</v>
      </c>
      <c r="G3835" s="2307">
        <v>5.5699967689258098E-2</v>
      </c>
    </row>
    <row r="3836" spans="1:7" x14ac:dyDescent="0.3">
      <c r="A3836" s="11" t="s">
        <v>1059</v>
      </c>
      <c r="B3836" s="11"/>
      <c r="C3836" s="2308">
        <v>303</v>
      </c>
      <c r="D3836" s="2308">
        <v>42375661.281625196</v>
      </c>
      <c r="E3836" s="2309">
        <v>3922287.0981383598</v>
      </c>
      <c r="F3836" s="2310">
        <v>0.52817152100697196</v>
      </c>
      <c r="G3836" s="2311">
        <v>4.6673706421699601E-2</v>
      </c>
    </row>
    <row r="3837" spans="1:7" x14ac:dyDescent="0.3">
      <c r="A3837" s="6" t="s">
        <v>1009</v>
      </c>
      <c r="B3837" s="6"/>
      <c r="C3837" s="2304">
        <v>343</v>
      </c>
      <c r="D3837" s="2304">
        <v>42130689.933597699</v>
      </c>
      <c r="E3837" s="2305">
        <v>4033061.0221313098</v>
      </c>
      <c r="F3837" s="2306">
        <v>0.52511819073252597</v>
      </c>
      <c r="G3837" s="2307">
        <v>4.9415250531372301E-2</v>
      </c>
    </row>
    <row r="3838" spans="1:7" x14ac:dyDescent="0.3">
      <c r="A3838" s="11" t="s">
        <v>1055</v>
      </c>
      <c r="B3838" s="11"/>
      <c r="C3838" s="2308">
        <v>333</v>
      </c>
      <c r="D3838" s="2308">
        <v>42079384.6483813</v>
      </c>
      <c r="E3838" s="2309">
        <v>6324829.5144332899</v>
      </c>
      <c r="F3838" s="2310">
        <v>0.52447872010932195</v>
      </c>
      <c r="G3838" s="2311">
        <v>7.45419457094013E-2</v>
      </c>
    </row>
    <row r="3839" spans="1:7" x14ac:dyDescent="0.3">
      <c r="A3839" s="6" t="s">
        <v>3161</v>
      </c>
      <c r="B3839" s="6"/>
      <c r="C3839" s="2304">
        <v>306</v>
      </c>
      <c r="D3839" s="2304">
        <v>39510077.407516897</v>
      </c>
      <c r="E3839" s="2305">
        <v>3861283.47880142</v>
      </c>
      <c r="F3839" s="2306">
        <v>0.49245479712384199</v>
      </c>
      <c r="G3839" s="2307">
        <v>4.94061887221727E-2</v>
      </c>
    </row>
    <row r="3840" spans="1:7" x14ac:dyDescent="0.3">
      <c r="A3840" s="11" t="s">
        <v>1007</v>
      </c>
      <c r="B3840" s="11"/>
      <c r="C3840" s="2308">
        <v>284</v>
      </c>
      <c r="D3840" s="2308">
        <v>39186118.599080697</v>
      </c>
      <c r="E3840" s="2309">
        <v>2163090.5880825301</v>
      </c>
      <c r="F3840" s="2310">
        <v>0.48841696475921598</v>
      </c>
      <c r="G3840" s="2311">
        <v>2.4007201859272399E-2</v>
      </c>
    </row>
    <row r="3841" spans="1:7" x14ac:dyDescent="0.3">
      <c r="A3841" s="6" t="s">
        <v>1075</v>
      </c>
      <c r="B3841" s="6"/>
      <c r="C3841" s="2304">
        <v>262</v>
      </c>
      <c r="D3841" s="2304">
        <v>38480007.738792397</v>
      </c>
      <c r="E3841" s="2305">
        <v>6433800.02624417</v>
      </c>
      <c r="F3841" s="2306">
        <v>0.47961597768790099</v>
      </c>
      <c r="G3841" s="2307">
        <v>7.9580068752622496E-2</v>
      </c>
    </row>
    <row r="3842" spans="1:7" x14ac:dyDescent="0.3">
      <c r="A3842" s="11" t="s">
        <v>3077</v>
      </c>
      <c r="B3842" s="11"/>
      <c r="C3842" s="2308">
        <v>293</v>
      </c>
      <c r="D3842" s="2308">
        <v>38468830.565443799</v>
      </c>
      <c r="E3842" s="2309">
        <v>3362181.8669036101</v>
      </c>
      <c r="F3842" s="2310">
        <v>0.479476665061984</v>
      </c>
      <c r="G3842" s="2311">
        <v>3.8239450050102999E-2</v>
      </c>
    </row>
    <row r="3843" spans="1:7" x14ac:dyDescent="0.3">
      <c r="A3843" s="6" t="s">
        <v>1051</v>
      </c>
      <c r="B3843" s="6"/>
      <c r="C3843" s="2304">
        <v>297</v>
      </c>
      <c r="D3843" s="2304">
        <v>38114581.854996398</v>
      </c>
      <c r="E3843" s="2305">
        <v>5582957.7069378998</v>
      </c>
      <c r="F3843" s="2306">
        <v>0.47506129844461698</v>
      </c>
      <c r="G3843" s="2307">
        <v>6.9035270015552902E-2</v>
      </c>
    </row>
    <row r="3844" spans="1:7" x14ac:dyDescent="0.3">
      <c r="A3844" s="11" t="s">
        <v>968</v>
      </c>
      <c r="B3844" s="11"/>
      <c r="C3844" s="2308">
        <v>252</v>
      </c>
      <c r="D3844" s="2308">
        <v>37976236.858277299</v>
      </c>
      <c r="E3844" s="2309">
        <v>6175535.0449564802</v>
      </c>
      <c r="F3844" s="2310">
        <v>0.47333696223060001</v>
      </c>
      <c r="G3844" s="2311">
        <v>7.8783238230993605E-2</v>
      </c>
    </row>
    <row r="3845" spans="1:7" x14ac:dyDescent="0.3">
      <c r="A3845" s="6" t="s">
        <v>972</v>
      </c>
      <c r="B3845" s="6"/>
      <c r="C3845" s="2304">
        <v>302</v>
      </c>
      <c r="D3845" s="2304">
        <v>37759029.0704289</v>
      </c>
      <c r="E3845" s="2305">
        <v>3233300.69964538</v>
      </c>
      <c r="F3845" s="2306">
        <v>0.47062967780806197</v>
      </c>
      <c r="G3845" s="2307">
        <v>3.6305034199649998E-2</v>
      </c>
    </row>
    <row r="3846" spans="1:7" x14ac:dyDescent="0.3">
      <c r="A3846" s="11" t="s">
        <v>1061</v>
      </c>
      <c r="B3846" s="11"/>
      <c r="C3846" s="2308">
        <v>247</v>
      </c>
      <c r="D3846" s="2308">
        <v>34737730.546276398</v>
      </c>
      <c r="E3846" s="2309">
        <v>5215224.0297097303</v>
      </c>
      <c r="F3846" s="2310">
        <v>0.43297212182769901</v>
      </c>
      <c r="G3846" s="2311">
        <v>6.4432912286726901E-2</v>
      </c>
    </row>
    <row r="3847" spans="1:7" x14ac:dyDescent="0.3">
      <c r="A3847" s="6" t="s">
        <v>3063</v>
      </c>
      <c r="B3847" s="6"/>
      <c r="C3847" s="2304">
        <v>292</v>
      </c>
      <c r="D3847" s="2304">
        <v>34399039.6349288</v>
      </c>
      <c r="E3847" s="2305">
        <v>4860171.3637913903</v>
      </c>
      <c r="F3847" s="2306">
        <v>0.42875066808780699</v>
      </c>
      <c r="G3847" s="2307">
        <v>6.0418964360909003E-2</v>
      </c>
    </row>
    <row r="3848" spans="1:7" x14ac:dyDescent="0.3">
      <c r="A3848" s="11" t="s">
        <v>1069</v>
      </c>
      <c r="B3848" s="11"/>
      <c r="C3848" s="2308">
        <v>222</v>
      </c>
      <c r="D3848" s="2308">
        <v>33956753.9670683</v>
      </c>
      <c r="E3848" s="2309">
        <v>5477065.6515466496</v>
      </c>
      <c r="F3848" s="2310">
        <v>0.42323800617650498</v>
      </c>
      <c r="G3848" s="2311">
        <v>6.8365460448386497E-2</v>
      </c>
    </row>
    <row r="3849" spans="1:7" x14ac:dyDescent="0.3">
      <c r="A3849" s="6" t="s">
        <v>1053</v>
      </c>
      <c r="B3849" s="6"/>
      <c r="C3849" s="2304">
        <v>231</v>
      </c>
      <c r="D3849" s="2304">
        <v>33668544.374888599</v>
      </c>
      <c r="E3849" s="2305">
        <v>5091918.5038455697</v>
      </c>
      <c r="F3849" s="2306">
        <v>0.41964575312212399</v>
      </c>
      <c r="G3849" s="2307">
        <v>6.6508313083089701E-2</v>
      </c>
    </row>
    <row r="3850" spans="1:7" x14ac:dyDescent="0.3">
      <c r="A3850" s="11" t="s">
        <v>1047</v>
      </c>
      <c r="B3850" s="11"/>
      <c r="C3850" s="2308">
        <v>260</v>
      </c>
      <c r="D3850" s="2308">
        <v>33203462.825036701</v>
      </c>
      <c r="E3850" s="2309">
        <v>6322596.9984248299</v>
      </c>
      <c r="F3850" s="2310">
        <v>0.41384896264975701</v>
      </c>
      <c r="G3850" s="2311">
        <v>7.8111686258146101E-2</v>
      </c>
    </row>
    <row r="3851" spans="1:7" x14ac:dyDescent="0.3">
      <c r="A3851" s="6" t="s">
        <v>3034</v>
      </c>
      <c r="B3851" s="6"/>
      <c r="C3851" s="2304">
        <v>247</v>
      </c>
      <c r="D3851" s="2304">
        <v>31258169.7832761</v>
      </c>
      <c r="E3851" s="2305">
        <v>3374551.6273874701</v>
      </c>
      <c r="F3851" s="2306">
        <v>0.38960277147311401</v>
      </c>
      <c r="G3851" s="2307">
        <v>4.03308802614026E-2</v>
      </c>
    </row>
    <row r="3852" spans="1:7" x14ac:dyDescent="0.3">
      <c r="A3852" s="11" t="s">
        <v>997</v>
      </c>
      <c r="B3852" s="11"/>
      <c r="C3852" s="2308">
        <v>247</v>
      </c>
      <c r="D3852" s="2308">
        <v>30559425.9196386</v>
      </c>
      <c r="E3852" s="2309">
        <v>4295843.5188166099</v>
      </c>
      <c r="F3852" s="2310">
        <v>0.38089360687037099</v>
      </c>
      <c r="G3852" s="2311">
        <v>5.0277284889195403E-2</v>
      </c>
    </row>
    <row r="3853" spans="1:7" x14ac:dyDescent="0.3">
      <c r="A3853" s="6" t="s">
        <v>1003</v>
      </c>
      <c r="B3853" s="6"/>
      <c r="C3853" s="2304">
        <v>245</v>
      </c>
      <c r="D3853" s="2304">
        <v>29788884.7397536</v>
      </c>
      <c r="E3853" s="2305">
        <v>3064192.50875914</v>
      </c>
      <c r="F3853" s="2306">
        <v>0.37128955835125499</v>
      </c>
      <c r="G3853" s="2307">
        <v>3.7169903618740598E-2</v>
      </c>
    </row>
    <row r="3854" spans="1:7" x14ac:dyDescent="0.3">
      <c r="A3854" s="11" t="s">
        <v>1077</v>
      </c>
      <c r="B3854" s="11"/>
      <c r="C3854" s="2308">
        <v>208</v>
      </c>
      <c r="D3854" s="2308">
        <v>29508434.111676998</v>
      </c>
      <c r="E3854" s="2309">
        <v>5927847.4203332895</v>
      </c>
      <c r="F3854" s="2310">
        <v>0.36779401325960198</v>
      </c>
      <c r="G3854" s="2311">
        <v>7.5737955887650796E-2</v>
      </c>
    </row>
    <row r="3855" spans="1:7" x14ac:dyDescent="0.3">
      <c r="A3855" s="6" t="s">
        <v>1071</v>
      </c>
      <c r="B3855" s="6"/>
      <c r="C3855" s="2304">
        <v>233</v>
      </c>
      <c r="D3855" s="2304">
        <v>28611981.8328183</v>
      </c>
      <c r="E3855" s="2305">
        <v>3166392.7426769198</v>
      </c>
      <c r="F3855" s="2306">
        <v>0.35662060500318998</v>
      </c>
      <c r="G3855" s="2307">
        <v>3.6549483984992602E-2</v>
      </c>
    </row>
    <row r="3856" spans="1:7" x14ac:dyDescent="0.3">
      <c r="A3856" s="11" t="s">
        <v>1063</v>
      </c>
      <c r="B3856" s="11"/>
      <c r="C3856" s="2308">
        <v>205</v>
      </c>
      <c r="D3856" s="2308">
        <v>28566156.301915102</v>
      </c>
      <c r="E3856" s="2309">
        <v>3783668.8576271501</v>
      </c>
      <c r="F3856" s="2310">
        <v>0.35604943420311203</v>
      </c>
      <c r="G3856" s="2311">
        <v>4.80297392541323E-2</v>
      </c>
    </row>
    <row r="3857" spans="1:7" x14ac:dyDescent="0.3">
      <c r="A3857" s="6" t="s">
        <v>1001</v>
      </c>
      <c r="B3857" s="6"/>
      <c r="C3857" s="2304">
        <v>235</v>
      </c>
      <c r="D3857" s="2304">
        <v>28234872.6206269</v>
      </c>
      <c r="E3857" s="2305">
        <v>3742961.6340358001</v>
      </c>
      <c r="F3857" s="2306">
        <v>0.351920304402212</v>
      </c>
      <c r="G3857" s="2307">
        <v>4.77490392234593E-2</v>
      </c>
    </row>
    <row r="3858" spans="1:7" x14ac:dyDescent="0.3">
      <c r="A3858" s="11" t="s">
        <v>1013</v>
      </c>
      <c r="B3858" s="11"/>
      <c r="C3858" s="2308">
        <v>219</v>
      </c>
      <c r="D3858" s="2308">
        <v>27754563.351277899</v>
      </c>
      <c r="E3858" s="2309">
        <v>3871897.57796368</v>
      </c>
      <c r="F3858" s="2310">
        <v>0.345933715174499</v>
      </c>
      <c r="G3858" s="2311">
        <v>4.7677961868405498E-2</v>
      </c>
    </row>
    <row r="3859" spans="1:7" x14ac:dyDescent="0.3">
      <c r="A3859" s="6" t="s">
        <v>3165</v>
      </c>
      <c r="B3859" s="6"/>
      <c r="C3859" s="2304">
        <v>256</v>
      </c>
      <c r="D3859" s="2304">
        <v>27546512.8865593</v>
      </c>
      <c r="E3859" s="2305">
        <v>2335365.7664403799</v>
      </c>
      <c r="F3859" s="2306">
        <v>0.34334056790379802</v>
      </c>
      <c r="G3859" s="2307">
        <v>2.8111903606192801E-2</v>
      </c>
    </row>
    <row r="3860" spans="1:7" x14ac:dyDescent="0.3">
      <c r="A3860" s="11" t="s">
        <v>3055</v>
      </c>
      <c r="B3860" s="11"/>
      <c r="C3860" s="2308">
        <v>194</v>
      </c>
      <c r="D3860" s="2308">
        <v>26608209.9961637</v>
      </c>
      <c r="E3860" s="2309">
        <v>3521053.8298683199</v>
      </c>
      <c r="F3860" s="2310">
        <v>0.33164553236224298</v>
      </c>
      <c r="G3860" s="2311">
        <v>4.2704059457365398E-2</v>
      </c>
    </row>
    <row r="3861" spans="1:7" x14ac:dyDescent="0.3">
      <c r="A3861" s="6" t="s">
        <v>993</v>
      </c>
      <c r="B3861" s="6"/>
      <c r="C3861" s="2304">
        <v>171</v>
      </c>
      <c r="D3861" s="2304">
        <v>25344069.576152101</v>
      </c>
      <c r="E3861" s="2305">
        <v>3740347.2138922</v>
      </c>
      <c r="F3861" s="2306">
        <v>0.31588924801858298</v>
      </c>
      <c r="G3861" s="2307">
        <v>4.4889725697235601E-2</v>
      </c>
    </row>
    <row r="3862" spans="1:7" x14ac:dyDescent="0.3">
      <c r="A3862" s="11" t="s">
        <v>3040</v>
      </c>
      <c r="B3862" s="11"/>
      <c r="C3862" s="2308">
        <v>196</v>
      </c>
      <c r="D3862" s="2308">
        <v>23625160.1220452</v>
      </c>
      <c r="E3862" s="2309">
        <v>2606948.8257735702</v>
      </c>
      <c r="F3862" s="2310">
        <v>0.29446470871015201</v>
      </c>
      <c r="G3862" s="2311">
        <v>3.3501754935523903E-2</v>
      </c>
    </row>
    <row r="3863" spans="1:7" x14ac:dyDescent="0.3">
      <c r="A3863" s="6" t="s">
        <v>3069</v>
      </c>
      <c r="B3863" s="6"/>
      <c r="C3863" s="2304">
        <v>189</v>
      </c>
      <c r="D3863" s="2304">
        <v>23097046.3772173</v>
      </c>
      <c r="E3863" s="2305">
        <v>4356993.4698483702</v>
      </c>
      <c r="F3863" s="2306">
        <v>0.28788228305744801</v>
      </c>
      <c r="G3863" s="2307">
        <v>5.4668612337572697E-2</v>
      </c>
    </row>
    <row r="3864" spans="1:7" x14ac:dyDescent="0.3">
      <c r="A3864" s="11" t="s">
        <v>6269</v>
      </c>
      <c r="B3864" s="11" t="s">
        <v>6270</v>
      </c>
      <c r="C3864" s="2308">
        <v>59876</v>
      </c>
      <c r="D3864" s="2308">
        <v>8023087121.5538197</v>
      </c>
      <c r="E3864" s="2309">
        <v>109184500.79501399</v>
      </c>
      <c r="F3864" s="2310">
        <v>100</v>
      </c>
      <c r="G3864" s="2311">
        <v>0</v>
      </c>
    </row>
    <row r="3865" spans="1:7" x14ac:dyDescent="0.3">
      <c r="A3865" s="6" t="s">
        <v>6269</v>
      </c>
      <c r="B3865" s="6" t="s">
        <v>6271</v>
      </c>
      <c r="C3865" s="2304">
        <v>59876</v>
      </c>
      <c r="D3865" s="2304">
        <v>8023087121.5538197</v>
      </c>
      <c r="E3865" s="2305">
        <v>0</v>
      </c>
      <c r="F3865" s="2306">
        <v>100</v>
      </c>
      <c r="G3865" s="2307">
        <v>0</v>
      </c>
    </row>
    <row r="3866" spans="1:7" x14ac:dyDescent="0.3">
      <c r="A3866" s="3299" t="s">
        <v>169</v>
      </c>
      <c r="B3866" s="3298"/>
      <c r="C3866" s="3298"/>
      <c r="D3866" s="3298"/>
      <c r="E3866" s="3298"/>
      <c r="F3866" s="3298"/>
      <c r="G3866" s="3298"/>
    </row>
    <row r="3867" spans="1:7" x14ac:dyDescent="0.3">
      <c r="A3867" s="11" t="s">
        <v>6492</v>
      </c>
      <c r="B3867" s="11"/>
      <c r="C3867" s="2316">
        <v>38931</v>
      </c>
      <c r="D3867" s="2316">
        <v>5115402055.8887501</v>
      </c>
      <c r="E3867" s="2317">
        <v>72996747.076289698</v>
      </c>
      <c r="F3867" s="2318">
        <v>63.758525594797199</v>
      </c>
      <c r="G3867" s="2319">
        <v>0.59955681688783502</v>
      </c>
    </row>
    <row r="3868" spans="1:7" x14ac:dyDescent="0.3">
      <c r="A3868" s="6" t="s">
        <v>6491</v>
      </c>
      <c r="B3868" s="6"/>
      <c r="C3868" s="2312">
        <v>20945</v>
      </c>
      <c r="D3868" s="2312">
        <v>2907685065.66503</v>
      </c>
      <c r="E3868" s="2313">
        <v>70283474.181592196</v>
      </c>
      <c r="F3868" s="2314">
        <v>36.241474405202801</v>
      </c>
      <c r="G3868" s="2315">
        <v>0.59955681688784102</v>
      </c>
    </row>
    <row r="3869" spans="1:7" x14ac:dyDescent="0.3">
      <c r="A3869" s="11" t="s">
        <v>6269</v>
      </c>
      <c r="B3869" s="11" t="s">
        <v>6270</v>
      </c>
      <c r="C3869" s="2316">
        <v>59876</v>
      </c>
      <c r="D3869" s="2316">
        <v>8023087121.5537796</v>
      </c>
      <c r="E3869" s="2317">
        <v>109184500.794994</v>
      </c>
      <c r="F3869" s="2318">
        <v>100</v>
      </c>
      <c r="G3869" s="2319">
        <v>0</v>
      </c>
    </row>
    <row r="3870" spans="1:7" x14ac:dyDescent="0.3">
      <c r="A3870" s="6" t="s">
        <v>6269</v>
      </c>
      <c r="B3870" s="6" t="s">
        <v>6271</v>
      </c>
      <c r="C3870" s="2312">
        <v>59876</v>
      </c>
      <c r="D3870" s="2312">
        <v>8023087121.5537796</v>
      </c>
      <c r="E3870" s="2313">
        <v>0</v>
      </c>
      <c r="F3870" s="2314">
        <v>100</v>
      </c>
      <c r="G3870" s="2315">
        <v>0</v>
      </c>
    </row>
    <row r="3871" spans="1:7" x14ac:dyDescent="0.3">
      <c r="A3871" s="3299" t="s">
        <v>768</v>
      </c>
      <c r="B3871" s="3298"/>
      <c r="C3871" s="3298"/>
      <c r="D3871" s="3298"/>
      <c r="E3871" s="3298"/>
      <c r="F3871" s="3298"/>
      <c r="G3871" s="3298"/>
    </row>
    <row r="3872" spans="1:7" x14ac:dyDescent="0.3">
      <c r="A3872" s="11" t="s">
        <v>974</v>
      </c>
      <c r="B3872" s="11" t="s">
        <v>975</v>
      </c>
      <c r="C3872" s="2324">
        <v>101</v>
      </c>
      <c r="D3872" s="2324">
        <v>17069123.740343001</v>
      </c>
      <c r="E3872" s="2325">
        <v>3262694.7743787998</v>
      </c>
      <c r="F3872" s="2326">
        <v>100</v>
      </c>
      <c r="G3872" s="2327">
        <v>0</v>
      </c>
    </row>
    <row r="3873" spans="1:7" x14ac:dyDescent="0.3">
      <c r="A3873" s="6" t="s">
        <v>6269</v>
      </c>
      <c r="B3873" s="6" t="s">
        <v>6270</v>
      </c>
      <c r="C3873" s="2320">
        <v>59729</v>
      </c>
      <c r="D3873" s="2320">
        <v>8006017997.8134699</v>
      </c>
      <c r="E3873" s="2321">
        <v>108598360.675575</v>
      </c>
      <c r="F3873" s="2322">
        <v>99.787249926596402</v>
      </c>
      <c r="G3873" s="2323">
        <v>4.0107256135853898E-2</v>
      </c>
    </row>
    <row r="3874" spans="1:7" x14ac:dyDescent="0.3">
      <c r="A3874" s="11" t="s">
        <v>6269</v>
      </c>
      <c r="B3874" s="11" t="s">
        <v>6271</v>
      </c>
      <c r="C3874" s="2324">
        <v>59830</v>
      </c>
      <c r="D3874" s="2324">
        <v>8023087121.5538101</v>
      </c>
      <c r="E3874" s="2325">
        <v>0</v>
      </c>
      <c r="F3874" s="2326">
        <v>100</v>
      </c>
      <c r="G3874" s="2327">
        <v>0</v>
      </c>
    </row>
    <row r="3875" spans="1:7" x14ac:dyDescent="0.3">
      <c r="A3875" s="3299" t="s">
        <v>755</v>
      </c>
      <c r="B3875" s="3298"/>
      <c r="C3875" s="3298"/>
      <c r="D3875" s="3298"/>
      <c r="E3875" s="3298"/>
      <c r="F3875" s="3298"/>
      <c r="G3875" s="3298"/>
    </row>
    <row r="3876" spans="1:7" x14ac:dyDescent="0.3">
      <c r="A3876" s="11" t="s">
        <v>6269</v>
      </c>
      <c r="B3876" s="11" t="s">
        <v>6270</v>
      </c>
      <c r="C3876" s="2332">
        <v>57917</v>
      </c>
      <c r="D3876" s="2332">
        <v>8023087121.5538101</v>
      </c>
      <c r="E3876" s="2333">
        <v>109184500.795013</v>
      </c>
      <c r="F3876" s="2334">
        <v>100</v>
      </c>
      <c r="G3876" s="2335">
        <v>0</v>
      </c>
    </row>
    <row r="3877" spans="1:7" x14ac:dyDescent="0.3">
      <c r="A3877" s="6" t="s">
        <v>6269</v>
      </c>
      <c r="B3877" s="6" t="s">
        <v>6271</v>
      </c>
      <c r="C3877" s="2328">
        <v>57917</v>
      </c>
      <c r="D3877" s="2328">
        <v>8023087121.5538101</v>
      </c>
      <c r="E3877" s="2329">
        <v>0</v>
      </c>
      <c r="F3877" s="2330">
        <v>100</v>
      </c>
      <c r="G3877" s="2331">
        <v>0</v>
      </c>
    </row>
    <row r="3878" spans="1:7" x14ac:dyDescent="0.3">
      <c r="A3878" s="3299" t="s">
        <v>753</v>
      </c>
      <c r="B3878" s="3298"/>
      <c r="C3878" s="3298"/>
      <c r="D3878" s="3298"/>
      <c r="E3878" s="3298"/>
      <c r="F3878" s="3298"/>
      <c r="G3878" s="3298"/>
    </row>
    <row r="3879" spans="1:7" x14ac:dyDescent="0.3">
      <c r="A3879" s="11" t="s">
        <v>974</v>
      </c>
      <c r="B3879" s="11" t="s">
        <v>975</v>
      </c>
      <c r="C3879" s="2340">
        <v>47</v>
      </c>
      <c r="D3879" s="2340">
        <v>7102563.1425862601</v>
      </c>
      <c r="E3879" s="2341">
        <v>1487673.1580354299</v>
      </c>
      <c r="F3879" s="2342">
        <v>100</v>
      </c>
      <c r="G3879" s="2343">
        <v>0</v>
      </c>
    </row>
    <row r="3880" spans="1:7" x14ac:dyDescent="0.3">
      <c r="A3880" s="6" t="s">
        <v>6269</v>
      </c>
      <c r="B3880" s="6" t="s">
        <v>6270</v>
      </c>
      <c r="C3880" s="2336">
        <v>57868</v>
      </c>
      <c r="D3880" s="2336">
        <v>8015984558.4112196</v>
      </c>
      <c r="E3880" s="2337">
        <v>109181256.22723299</v>
      </c>
      <c r="F3880" s="2338">
        <v>99.911473438653005</v>
      </c>
      <c r="G3880" s="2339">
        <v>1.8574539128113798E-2</v>
      </c>
    </row>
    <row r="3881" spans="1:7" x14ac:dyDescent="0.3">
      <c r="A3881" s="11" t="s">
        <v>6269</v>
      </c>
      <c r="B3881" s="11" t="s">
        <v>6271</v>
      </c>
      <c r="C3881" s="2340">
        <v>57915</v>
      </c>
      <c r="D3881" s="2340">
        <v>8023087121.5538101</v>
      </c>
      <c r="E3881" s="2341">
        <v>0</v>
      </c>
      <c r="F3881" s="2342">
        <v>100</v>
      </c>
      <c r="G3881" s="2343">
        <v>0</v>
      </c>
    </row>
    <row r="3882" spans="1:7" x14ac:dyDescent="0.3">
      <c r="A3882" s="3299" t="s">
        <v>884</v>
      </c>
      <c r="B3882" s="3298"/>
      <c r="C3882" s="3298"/>
      <c r="D3882" s="3298"/>
      <c r="E3882" s="3298"/>
      <c r="F3882" s="3298"/>
      <c r="G3882" s="3298"/>
    </row>
    <row r="3883" spans="1:7" x14ac:dyDescent="0.3">
      <c r="A3883" s="11" t="s">
        <v>960</v>
      </c>
      <c r="B3883" s="11" t="s">
        <v>961</v>
      </c>
      <c r="C3883" s="2348">
        <v>58016</v>
      </c>
      <c r="D3883" s="2348">
        <v>7764148494.3311596</v>
      </c>
      <c r="E3883" s="2349">
        <v>98971662.510535896</v>
      </c>
      <c r="F3883" s="2350">
        <v>99.950140937634004</v>
      </c>
      <c r="G3883" s="2351">
        <v>1.5794319300535101E-2</v>
      </c>
    </row>
    <row r="3884" spans="1:7" x14ac:dyDescent="0.3">
      <c r="A3884" s="6" t="s">
        <v>974</v>
      </c>
      <c r="B3884" s="6" t="s">
        <v>975</v>
      </c>
      <c r="C3884" s="2344">
        <v>22</v>
      </c>
      <c r="D3884" s="2344">
        <v>3873062.7127285898</v>
      </c>
      <c r="E3884" s="2345">
        <v>1229706.7802283601</v>
      </c>
      <c r="F3884" s="2346">
        <v>4.9859062365971103E-2</v>
      </c>
      <c r="G3884" s="2347">
        <v>1.57943193005337E-2</v>
      </c>
    </row>
    <row r="3885" spans="1:7" x14ac:dyDescent="0.3">
      <c r="A3885" s="11" t="s">
        <v>6269</v>
      </c>
      <c r="B3885" s="11" t="s">
        <v>6270</v>
      </c>
      <c r="C3885" s="2348">
        <v>1823</v>
      </c>
      <c r="D3885" s="2348">
        <v>255065564.51007599</v>
      </c>
      <c r="E3885" s="2349">
        <v>18229114.741159599</v>
      </c>
      <c r="F3885" s="2350">
        <v>3.1791448933022801</v>
      </c>
      <c r="G3885" s="2351">
        <v>0.203483947702742</v>
      </c>
    </row>
    <row r="3886" spans="1:7" x14ac:dyDescent="0.3">
      <c r="A3886" s="6" t="s">
        <v>6269</v>
      </c>
      <c r="B3886" s="6" t="s">
        <v>6271</v>
      </c>
      <c r="C3886" s="2344">
        <v>59861</v>
      </c>
      <c r="D3886" s="2344">
        <v>8023087121.5539703</v>
      </c>
      <c r="E3886" s="2345">
        <v>0</v>
      </c>
      <c r="F3886" s="2346">
        <v>100</v>
      </c>
      <c r="G3886" s="2347">
        <v>0</v>
      </c>
    </row>
    <row r="3887" spans="1:7" x14ac:dyDescent="0.3">
      <c r="A3887" s="3299" t="s">
        <v>887</v>
      </c>
      <c r="B3887" s="3298"/>
      <c r="C3887" s="3298"/>
      <c r="D3887" s="3298"/>
      <c r="E3887" s="3298"/>
      <c r="F3887" s="3298"/>
      <c r="G3887" s="3298"/>
    </row>
    <row r="3888" spans="1:7" x14ac:dyDescent="0.3">
      <c r="A3888" s="11" t="s">
        <v>964</v>
      </c>
      <c r="B3888" s="11" t="s">
        <v>6160</v>
      </c>
      <c r="C3888" s="2356">
        <v>1068</v>
      </c>
      <c r="D3888" s="2356">
        <v>130690566.968006</v>
      </c>
      <c r="E3888" s="2357">
        <v>8686106.7861897498</v>
      </c>
      <c r="F3888" s="2358">
        <v>51.427546904301003</v>
      </c>
      <c r="G3888" s="2359">
        <v>3.1293670021262399</v>
      </c>
    </row>
    <row r="3889" spans="1:7" x14ac:dyDescent="0.3">
      <c r="A3889" s="6" t="s">
        <v>962</v>
      </c>
      <c r="B3889" s="6" t="s">
        <v>6159</v>
      </c>
      <c r="C3889" s="2352">
        <v>762</v>
      </c>
      <c r="D3889" s="2352">
        <v>123435042.428066</v>
      </c>
      <c r="E3889" s="2353">
        <v>14539592.2680206</v>
      </c>
      <c r="F3889" s="2354">
        <v>48.572453095698997</v>
      </c>
      <c r="G3889" s="2355">
        <v>3.1293670021262301</v>
      </c>
    </row>
    <row r="3890" spans="1:7" x14ac:dyDescent="0.3">
      <c r="A3890" s="11" t="s">
        <v>960</v>
      </c>
      <c r="B3890" s="11" t="s">
        <v>961</v>
      </c>
      <c r="C3890" s="2356">
        <v>58015</v>
      </c>
      <c r="D3890" s="2356">
        <v>7764128032.3604097</v>
      </c>
      <c r="E3890" s="2357">
        <v>98965596.137606904</v>
      </c>
      <c r="F3890" s="2358">
        <v>99.937784737510697</v>
      </c>
      <c r="G3890" s="2359">
        <v>1.30266496718816E-2</v>
      </c>
    </row>
    <row r="3891" spans="1:7" x14ac:dyDescent="0.3">
      <c r="A3891" s="6" t="s">
        <v>974</v>
      </c>
      <c r="B3891" s="6" t="s">
        <v>975</v>
      </c>
      <c r="C3891" s="2352">
        <v>23</v>
      </c>
      <c r="D3891" s="2352">
        <v>4025741.9162572101</v>
      </c>
      <c r="E3891" s="2353">
        <v>1246131.9714610199</v>
      </c>
      <c r="F3891" s="2354">
        <v>5.1818275968508701E-2</v>
      </c>
      <c r="G3891" s="2355">
        <v>1.59833526698001E-2</v>
      </c>
    </row>
    <row r="3892" spans="1:7" x14ac:dyDescent="0.3">
      <c r="A3892" s="11" t="s">
        <v>956</v>
      </c>
      <c r="B3892" s="11" t="s">
        <v>957</v>
      </c>
      <c r="C3892" s="2356">
        <v>8</v>
      </c>
      <c r="D3892" s="2356">
        <v>807737.88122449303</v>
      </c>
      <c r="E3892" s="2357">
        <v>507820.38056599098</v>
      </c>
      <c r="F3892" s="2358">
        <v>1.0396986520790999E-2</v>
      </c>
      <c r="G3892" s="2359">
        <v>6.5436148676793404E-3</v>
      </c>
    </row>
    <row r="3893" spans="1:7" x14ac:dyDescent="0.3">
      <c r="A3893" s="6" t="s">
        <v>6269</v>
      </c>
      <c r="B3893" s="6" t="s">
        <v>6270</v>
      </c>
      <c r="C3893" s="2352">
        <v>1830</v>
      </c>
      <c r="D3893" s="2352">
        <v>254125609.396072</v>
      </c>
      <c r="E3893" s="2353">
        <v>18045665.706656002</v>
      </c>
      <c r="F3893" s="2354">
        <v>3.16742926439581</v>
      </c>
      <c r="G3893" s="2355">
        <v>0.200958764808573</v>
      </c>
    </row>
    <row r="3894" spans="1:7" x14ac:dyDescent="0.3">
      <c r="A3894" s="11" t="s">
        <v>6269</v>
      </c>
      <c r="B3894" s="11" t="s">
        <v>6271</v>
      </c>
      <c r="C3894" s="2356">
        <v>59876</v>
      </c>
      <c r="D3894" s="2356">
        <v>8023087121.5539703</v>
      </c>
      <c r="E3894" s="2357">
        <v>0</v>
      </c>
      <c r="F3894" s="2358">
        <v>100</v>
      </c>
      <c r="G3894" s="2359">
        <v>0</v>
      </c>
    </row>
    <row r="3895" spans="1:7" x14ac:dyDescent="0.3">
      <c r="A3895" s="3299" t="s">
        <v>757</v>
      </c>
      <c r="B3895" s="3298"/>
      <c r="C3895" s="3298"/>
      <c r="D3895" s="3298"/>
      <c r="E3895" s="3298"/>
      <c r="F3895" s="3298"/>
      <c r="G3895" s="3298"/>
    </row>
    <row r="3896" spans="1:7" x14ac:dyDescent="0.3">
      <c r="A3896" s="11" t="s">
        <v>964</v>
      </c>
      <c r="B3896" s="11" t="s">
        <v>1040</v>
      </c>
      <c r="C3896" s="2364">
        <v>58640</v>
      </c>
      <c r="D3896" s="2364">
        <v>7734905768.3857298</v>
      </c>
      <c r="E3896" s="2365">
        <v>111814709.369803</v>
      </c>
      <c r="F3896" s="2366">
        <v>96.408098917509705</v>
      </c>
      <c r="G3896" s="2367">
        <v>0.31870188124807303</v>
      </c>
    </row>
    <row r="3897" spans="1:7" x14ac:dyDescent="0.3">
      <c r="A3897" s="6" t="s">
        <v>962</v>
      </c>
      <c r="B3897" s="6" t="s">
        <v>1039</v>
      </c>
      <c r="C3897" s="2360">
        <v>1236</v>
      </c>
      <c r="D3897" s="2360">
        <v>288181353.168235</v>
      </c>
      <c r="E3897" s="2361">
        <v>25368835.2777155</v>
      </c>
      <c r="F3897" s="2362">
        <v>3.5919010824902702</v>
      </c>
      <c r="G3897" s="2363">
        <v>0.31870188124806598</v>
      </c>
    </row>
    <row r="3898" spans="1:7" x14ac:dyDescent="0.3">
      <c r="A3898" s="11" t="s">
        <v>6269</v>
      </c>
      <c r="B3898" s="11" t="s">
        <v>6270</v>
      </c>
      <c r="C3898" s="2364">
        <v>59876</v>
      </c>
      <c r="D3898" s="2364">
        <v>8023087121.5539703</v>
      </c>
      <c r="E3898" s="2365">
        <v>109184500.79505</v>
      </c>
      <c r="F3898" s="2366">
        <v>100</v>
      </c>
      <c r="G3898" s="2367">
        <v>9.5873031797334296E-14</v>
      </c>
    </row>
    <row r="3899" spans="1:7" x14ac:dyDescent="0.3">
      <c r="A3899" s="6" t="s">
        <v>6269</v>
      </c>
      <c r="B3899" s="6" t="s">
        <v>6271</v>
      </c>
      <c r="C3899" s="2360">
        <v>59876</v>
      </c>
      <c r="D3899" s="2360">
        <v>8023087121.5539703</v>
      </c>
      <c r="E3899" s="2361">
        <v>0</v>
      </c>
      <c r="F3899" s="2362">
        <v>100</v>
      </c>
      <c r="G3899" s="2363">
        <v>0</v>
      </c>
    </row>
    <row r="3900" spans="1:7" x14ac:dyDescent="0.3">
      <c r="A3900" s="3299" t="s">
        <v>760</v>
      </c>
      <c r="B3900" s="3298"/>
      <c r="C3900" s="3298"/>
      <c r="D3900" s="3298"/>
      <c r="E3900" s="3298"/>
      <c r="F3900" s="3298"/>
      <c r="G3900" s="3298"/>
    </row>
    <row r="3901" spans="1:7" x14ac:dyDescent="0.3">
      <c r="A3901" s="11" t="s">
        <v>966</v>
      </c>
      <c r="B3901" s="11" t="s">
        <v>6069</v>
      </c>
      <c r="C3901" s="2372">
        <v>25630</v>
      </c>
      <c r="D3901" s="2372">
        <v>3465285943.0871501</v>
      </c>
      <c r="E3901" s="2373">
        <v>64669731.1416936</v>
      </c>
      <c r="F3901" s="2374">
        <v>43.192955026010402</v>
      </c>
      <c r="G3901" s="2375">
        <v>0.837800796620221</v>
      </c>
    </row>
    <row r="3902" spans="1:7" x14ac:dyDescent="0.3">
      <c r="A3902" s="6" t="s">
        <v>968</v>
      </c>
      <c r="B3902" s="6" t="s">
        <v>6021</v>
      </c>
      <c r="C3902" s="2368">
        <v>15043</v>
      </c>
      <c r="D3902" s="2368">
        <v>1851786472.1719999</v>
      </c>
      <c r="E3902" s="2369">
        <v>82474104.697323799</v>
      </c>
      <c r="F3902" s="2370">
        <v>23.081538182976999</v>
      </c>
      <c r="G3902" s="2371">
        <v>0.80447009367806499</v>
      </c>
    </row>
    <row r="3903" spans="1:7" x14ac:dyDescent="0.3">
      <c r="A3903" s="11" t="s">
        <v>972</v>
      </c>
      <c r="B3903" s="11" t="s">
        <v>6022</v>
      </c>
      <c r="C3903" s="2372">
        <v>8059</v>
      </c>
      <c r="D3903" s="2372">
        <v>866864223.23617005</v>
      </c>
      <c r="E3903" s="2373">
        <v>24382393.7175899</v>
      </c>
      <c r="F3903" s="2374">
        <v>10.8050036917129</v>
      </c>
      <c r="G3903" s="2375">
        <v>0.30561753283558502</v>
      </c>
    </row>
    <row r="3904" spans="1:7" x14ac:dyDescent="0.3">
      <c r="A3904" s="6" t="s">
        <v>962</v>
      </c>
      <c r="B3904" s="6" t="s">
        <v>827</v>
      </c>
      <c r="C3904" s="2368">
        <v>4180</v>
      </c>
      <c r="D3904" s="2368">
        <v>655213678.60451996</v>
      </c>
      <c r="E3904" s="2369">
        <v>34491820.292666502</v>
      </c>
      <c r="F3904" s="2370">
        <v>8.1668916843206993</v>
      </c>
      <c r="G3904" s="2371">
        <v>0.39439789674923698</v>
      </c>
    </row>
    <row r="3905" spans="1:7" x14ac:dyDescent="0.3">
      <c r="A3905" s="11" t="s">
        <v>970</v>
      </c>
      <c r="B3905" s="11" t="s">
        <v>4481</v>
      </c>
      <c r="C3905" s="2372">
        <v>3768</v>
      </c>
      <c r="D3905" s="2372">
        <v>522373300.88170898</v>
      </c>
      <c r="E3905" s="2373">
        <v>48013961.457440197</v>
      </c>
      <c r="F3905" s="2374">
        <v>6.5111066914355398</v>
      </c>
      <c r="G3905" s="2375">
        <v>0.57851105181997298</v>
      </c>
    </row>
    <row r="3906" spans="1:7" x14ac:dyDescent="0.3">
      <c r="A3906" s="6" t="s">
        <v>995</v>
      </c>
      <c r="B3906" s="6" t="s">
        <v>6026</v>
      </c>
      <c r="C3906" s="2368">
        <v>1213</v>
      </c>
      <c r="D3906" s="2368">
        <v>306860534.47116297</v>
      </c>
      <c r="E3906" s="2369">
        <v>22591306.855882902</v>
      </c>
      <c r="F3906" s="2370">
        <v>3.8248541339311699</v>
      </c>
      <c r="G3906" s="2371">
        <v>0.307782125979496</v>
      </c>
    </row>
    <row r="3907" spans="1:7" x14ac:dyDescent="0.3">
      <c r="A3907" s="11" t="s">
        <v>997</v>
      </c>
      <c r="B3907" s="11" t="s">
        <v>6048</v>
      </c>
      <c r="C3907" s="2372">
        <v>345</v>
      </c>
      <c r="D3907" s="2372">
        <v>88144084.554172397</v>
      </c>
      <c r="E3907" s="2373">
        <v>12754602.481089899</v>
      </c>
      <c r="F3907" s="2374">
        <v>1.0986693573014299</v>
      </c>
      <c r="G3907" s="2375">
        <v>0.155883184567015</v>
      </c>
    </row>
    <row r="3908" spans="1:7" x14ac:dyDescent="0.3">
      <c r="A3908" s="6" t="s">
        <v>964</v>
      </c>
      <c r="B3908" s="6" t="s">
        <v>979</v>
      </c>
      <c r="C3908" s="2368">
        <v>287</v>
      </c>
      <c r="D3908" s="2368">
        <v>48651268.889867499</v>
      </c>
      <c r="E3908" s="2369">
        <v>6619824.72403281</v>
      </c>
      <c r="F3908" s="2370">
        <v>0.60641231449035904</v>
      </c>
      <c r="G3908" s="2371">
        <v>7.8074206950811798E-2</v>
      </c>
    </row>
    <row r="3909" spans="1:7" x14ac:dyDescent="0.3">
      <c r="A3909" s="11" t="s">
        <v>1009</v>
      </c>
      <c r="B3909" s="11" t="s">
        <v>6082</v>
      </c>
      <c r="C3909" s="2372">
        <v>225</v>
      </c>
      <c r="D3909" s="2372">
        <v>44732689.146925397</v>
      </c>
      <c r="E3909" s="2373">
        <v>8571474.7193430103</v>
      </c>
      <c r="F3909" s="2374">
        <v>0.557569292187862</v>
      </c>
      <c r="G3909" s="2375">
        <v>0.109199950475048</v>
      </c>
    </row>
    <row r="3910" spans="1:7" x14ac:dyDescent="0.3">
      <c r="A3910" s="6" t="s">
        <v>983</v>
      </c>
      <c r="B3910" s="6" t="s">
        <v>6053</v>
      </c>
      <c r="C3910" s="2368">
        <v>257</v>
      </c>
      <c r="D3910" s="2368">
        <v>34867084.8013032</v>
      </c>
      <c r="E3910" s="2369">
        <v>6224176.6003105296</v>
      </c>
      <c r="F3910" s="2370">
        <v>0.43459975610818002</v>
      </c>
      <c r="G3910" s="2371">
        <v>7.7514755795783097E-2</v>
      </c>
    </row>
    <row r="3911" spans="1:7" x14ac:dyDescent="0.3">
      <c r="A3911" s="11" t="s">
        <v>1007</v>
      </c>
      <c r="B3911" s="11" t="s">
        <v>6081</v>
      </c>
      <c r="C3911" s="2372">
        <v>140</v>
      </c>
      <c r="D3911" s="2372">
        <v>29125329.172871199</v>
      </c>
      <c r="E3911" s="2373">
        <v>6853233.7451363802</v>
      </c>
      <c r="F3911" s="2374">
        <v>0.36303181144146501</v>
      </c>
      <c r="G3911" s="2375">
        <v>8.5713516692874303E-2</v>
      </c>
    </row>
    <row r="3912" spans="1:7" x14ac:dyDescent="0.3">
      <c r="A3912" s="6" t="s">
        <v>1001</v>
      </c>
      <c r="B3912" s="6" t="s">
        <v>6029</v>
      </c>
      <c r="C3912" s="2368">
        <v>133</v>
      </c>
      <c r="D3912" s="2368">
        <v>17701990.232987799</v>
      </c>
      <c r="E3912" s="2369">
        <v>6188974.1676553199</v>
      </c>
      <c r="F3912" s="2370">
        <v>0.22064593818862399</v>
      </c>
      <c r="G3912" s="2371">
        <v>7.7789295852703194E-2</v>
      </c>
    </row>
    <row r="3913" spans="1:7" x14ac:dyDescent="0.3">
      <c r="A3913" s="11" t="s">
        <v>991</v>
      </c>
      <c r="B3913" s="11" t="s">
        <v>6024</v>
      </c>
      <c r="C3913" s="2372">
        <v>106</v>
      </c>
      <c r="D3913" s="2372">
        <v>17362817.7958242</v>
      </c>
      <c r="E3913" s="2373">
        <v>5485573.9053785596</v>
      </c>
      <c r="F3913" s="2374">
        <v>0.216418333291056</v>
      </c>
      <c r="G3913" s="2375">
        <v>6.7757892274373399E-2</v>
      </c>
    </row>
    <row r="3914" spans="1:7" x14ac:dyDescent="0.3">
      <c r="A3914" s="6" t="s">
        <v>1011</v>
      </c>
      <c r="B3914" s="6" t="s">
        <v>6034</v>
      </c>
      <c r="C3914" s="2368">
        <v>116</v>
      </c>
      <c r="D3914" s="2368">
        <v>16590734.288965</v>
      </c>
      <c r="E3914" s="2369">
        <v>6553191.5411931798</v>
      </c>
      <c r="F3914" s="2370">
        <v>0.206794721059396</v>
      </c>
      <c r="G3914" s="2371">
        <v>8.1941986222433802E-2</v>
      </c>
    </row>
    <row r="3915" spans="1:7" x14ac:dyDescent="0.3">
      <c r="A3915" s="11" t="s">
        <v>1013</v>
      </c>
      <c r="B3915" s="11" t="s">
        <v>6052</v>
      </c>
      <c r="C3915" s="2372">
        <v>105</v>
      </c>
      <c r="D3915" s="2372">
        <v>14305682.696294401</v>
      </c>
      <c r="E3915" s="2373">
        <v>1504335.51565378</v>
      </c>
      <c r="F3915" s="2374">
        <v>0.17831276248647501</v>
      </c>
      <c r="G3915" s="2375">
        <v>1.89845634973928E-2</v>
      </c>
    </row>
    <row r="3916" spans="1:7" x14ac:dyDescent="0.3">
      <c r="A3916" s="6" t="s">
        <v>993</v>
      </c>
      <c r="B3916" s="6" t="s">
        <v>6025</v>
      </c>
      <c r="C3916" s="2368">
        <v>73</v>
      </c>
      <c r="D3916" s="2368">
        <v>12611760.5219134</v>
      </c>
      <c r="E3916" s="2369">
        <v>5026008.8852243396</v>
      </c>
      <c r="F3916" s="2370">
        <v>0.15719891921430401</v>
      </c>
      <c r="G3916" s="2371">
        <v>6.3264378791971707E-2</v>
      </c>
    </row>
    <row r="3917" spans="1:7" x14ac:dyDescent="0.3">
      <c r="A3917" s="11" t="s">
        <v>999</v>
      </c>
      <c r="B3917" s="11" t="s">
        <v>6080</v>
      </c>
      <c r="C3917" s="2372">
        <v>56</v>
      </c>
      <c r="D3917" s="2372">
        <v>10675106.504220201</v>
      </c>
      <c r="E3917" s="2373">
        <v>2329992.82949741</v>
      </c>
      <c r="F3917" s="2374">
        <v>0.13305955199872399</v>
      </c>
      <c r="G3917" s="2375">
        <v>2.94465363919954E-2</v>
      </c>
    </row>
    <row r="3918" spans="1:7" x14ac:dyDescent="0.3">
      <c r="A3918" s="6" t="s">
        <v>1005</v>
      </c>
      <c r="B3918" s="6" t="s">
        <v>6031</v>
      </c>
      <c r="C3918" s="2368">
        <v>30</v>
      </c>
      <c r="D3918" s="2368">
        <v>9907464.2811075896</v>
      </c>
      <c r="E3918" s="2369">
        <v>3727230.34801745</v>
      </c>
      <c r="F3918" s="2370">
        <v>0.123491298018093</v>
      </c>
      <c r="G3918" s="2371">
        <v>4.5656215468056802E-2</v>
      </c>
    </row>
    <row r="3919" spans="1:7" x14ac:dyDescent="0.3">
      <c r="A3919" s="11" t="s">
        <v>981</v>
      </c>
      <c r="B3919" s="11" t="s">
        <v>6044</v>
      </c>
      <c r="C3919" s="2372">
        <v>93</v>
      </c>
      <c r="D3919" s="2372">
        <v>8272376.47185631</v>
      </c>
      <c r="E3919" s="2373">
        <v>2581792.9238718501</v>
      </c>
      <c r="F3919" s="2374">
        <v>0.103110793964898</v>
      </c>
      <c r="G3919" s="2375">
        <v>3.25026393209265E-2</v>
      </c>
    </row>
    <row r="3920" spans="1:7" x14ac:dyDescent="0.3">
      <c r="A3920" s="6" t="s">
        <v>1003</v>
      </c>
      <c r="B3920" s="6" t="s">
        <v>6030</v>
      </c>
      <c r="C3920" s="2368">
        <v>8</v>
      </c>
      <c r="D3920" s="2368">
        <v>1329791.05787304</v>
      </c>
      <c r="E3920" s="2369">
        <v>770747.43723869801</v>
      </c>
      <c r="F3920" s="2370">
        <v>1.6575141647771501E-2</v>
      </c>
      <c r="G3920" s="2371">
        <v>9.6853657479139699E-3</v>
      </c>
    </row>
    <row r="3921" spans="1:7" x14ac:dyDescent="0.3">
      <c r="A3921" s="11" t="s">
        <v>1155</v>
      </c>
      <c r="B3921" s="11" t="s">
        <v>6083</v>
      </c>
      <c r="C3921" s="2372">
        <v>7</v>
      </c>
      <c r="D3921" s="2372">
        <v>141249.33656015701</v>
      </c>
      <c r="E3921" s="2373">
        <v>76410.377694528695</v>
      </c>
      <c r="F3921" s="2374">
        <v>1.76059821373974E-3</v>
      </c>
      <c r="G3921" s="2375">
        <v>9.4328707094411702E-4</v>
      </c>
    </row>
    <row r="3922" spans="1:7" x14ac:dyDescent="0.3">
      <c r="A3922" s="6" t="s">
        <v>958</v>
      </c>
      <c r="B3922" s="6" t="s">
        <v>959</v>
      </c>
      <c r="C3922" s="2368">
        <v>2</v>
      </c>
      <c r="D3922" s="2368">
        <v>283539.34827782202</v>
      </c>
      <c r="E3922" s="2369">
        <v>286148.13573120098</v>
      </c>
      <c r="F3922" s="2370">
        <v>100</v>
      </c>
      <c r="G3922" s="2371" t="e">
        <v>#NUM!</v>
      </c>
    </row>
    <row r="3923" spans="1:7" x14ac:dyDescent="0.3">
      <c r="A3923" s="11" t="s">
        <v>6269</v>
      </c>
      <c r="B3923" s="11" t="s">
        <v>6270</v>
      </c>
      <c r="C3923" s="2372">
        <v>59874</v>
      </c>
      <c r="D3923" s="2372">
        <v>8022803582.2054501</v>
      </c>
      <c r="E3923" s="2373">
        <v>109293115.27776401</v>
      </c>
      <c r="F3923" s="2374">
        <v>99.996465957006507</v>
      </c>
      <c r="G3923" s="2375">
        <v>3.56761839277667E-3</v>
      </c>
    </row>
    <row r="3924" spans="1:7" x14ac:dyDescent="0.3">
      <c r="A3924" s="6" t="s">
        <v>6269</v>
      </c>
      <c r="B3924" s="6" t="s">
        <v>6271</v>
      </c>
      <c r="C3924" s="2368">
        <v>59876</v>
      </c>
      <c r="D3924" s="2368">
        <v>8023087121.55373</v>
      </c>
      <c r="E3924" s="2369">
        <v>0</v>
      </c>
      <c r="F3924" s="2370">
        <v>100</v>
      </c>
      <c r="G3924" s="2371">
        <v>0</v>
      </c>
    </row>
    <row r="3925" spans="1:7" x14ac:dyDescent="0.3">
      <c r="A3925" s="3299" t="s">
        <v>762</v>
      </c>
      <c r="B3925" s="3298"/>
      <c r="C3925" s="3298"/>
      <c r="D3925" s="3298"/>
      <c r="E3925" s="3298"/>
      <c r="F3925" s="3298"/>
      <c r="G3925" s="3298"/>
    </row>
    <row r="3926" spans="1:7" x14ac:dyDescent="0.3">
      <c r="A3926" s="11" t="s">
        <v>966</v>
      </c>
      <c r="B3926" s="11" t="s">
        <v>6069</v>
      </c>
      <c r="C3926" s="2380">
        <v>30454</v>
      </c>
      <c r="D3926" s="2380">
        <v>4142523040.8996201</v>
      </c>
      <c r="E3926" s="2381">
        <v>66797517.145103499</v>
      </c>
      <c r="F3926" s="2382">
        <v>51.634356973261802</v>
      </c>
      <c r="G3926" s="2383">
        <v>0.74841427989558995</v>
      </c>
    </row>
    <row r="3927" spans="1:7" x14ac:dyDescent="0.3">
      <c r="A3927" s="6" t="s">
        <v>968</v>
      </c>
      <c r="B3927" s="6" t="s">
        <v>6021</v>
      </c>
      <c r="C3927" s="2376">
        <v>11887</v>
      </c>
      <c r="D3927" s="2376">
        <v>1426805719.38832</v>
      </c>
      <c r="E3927" s="2377">
        <v>88752082.774053395</v>
      </c>
      <c r="F3927" s="2378">
        <v>17.784378051495199</v>
      </c>
      <c r="G3927" s="2379">
        <v>0.94219244482624798</v>
      </c>
    </row>
    <row r="3928" spans="1:7" x14ac:dyDescent="0.3">
      <c r="A3928" s="11" t="s">
        <v>972</v>
      </c>
      <c r="B3928" s="11" t="s">
        <v>6022</v>
      </c>
      <c r="C3928" s="2380">
        <v>7456</v>
      </c>
      <c r="D3928" s="2380">
        <v>789450614.71410799</v>
      </c>
      <c r="E3928" s="2381">
        <v>19794554.6110457</v>
      </c>
      <c r="F3928" s="2382">
        <v>9.8400840382669195</v>
      </c>
      <c r="G3928" s="2383">
        <v>0.22794170916654999</v>
      </c>
    </row>
    <row r="3929" spans="1:7" x14ac:dyDescent="0.3">
      <c r="A3929" s="6" t="s">
        <v>962</v>
      </c>
      <c r="B3929" s="6" t="s">
        <v>827</v>
      </c>
      <c r="C3929" s="2376">
        <v>4180</v>
      </c>
      <c r="D3929" s="2376">
        <v>655213678.60451996</v>
      </c>
      <c r="E3929" s="2377">
        <v>34491820.292666502</v>
      </c>
      <c r="F3929" s="2378">
        <v>8.1668916843206691</v>
      </c>
      <c r="G3929" s="2379">
        <v>0.39439789674919101</v>
      </c>
    </row>
    <row r="3930" spans="1:7" x14ac:dyDescent="0.3">
      <c r="A3930" s="11" t="s">
        <v>970</v>
      </c>
      <c r="B3930" s="11" t="s">
        <v>4481</v>
      </c>
      <c r="C3930" s="2380">
        <v>2740</v>
      </c>
      <c r="D3930" s="2380">
        <v>357955368.32608199</v>
      </c>
      <c r="E3930" s="2381">
        <v>41832796.857354701</v>
      </c>
      <c r="F3930" s="2382">
        <v>4.4617241922764297</v>
      </c>
      <c r="G3930" s="2383">
        <v>0.53186328402248095</v>
      </c>
    </row>
    <row r="3931" spans="1:7" x14ac:dyDescent="0.3">
      <c r="A3931" s="6" t="s">
        <v>995</v>
      </c>
      <c r="B3931" s="6" t="s">
        <v>6026</v>
      </c>
      <c r="C3931" s="2376">
        <v>1213</v>
      </c>
      <c r="D3931" s="2376">
        <v>306860534.47116297</v>
      </c>
      <c r="E3931" s="2377">
        <v>22591306.855882902</v>
      </c>
      <c r="F3931" s="2378">
        <v>3.8248541339311499</v>
      </c>
      <c r="G3931" s="2379">
        <v>0.30778212597951399</v>
      </c>
    </row>
    <row r="3932" spans="1:7" x14ac:dyDescent="0.3">
      <c r="A3932" s="11" t="s">
        <v>997</v>
      </c>
      <c r="B3932" s="11" t="s">
        <v>6048</v>
      </c>
      <c r="C3932" s="2380">
        <v>345</v>
      </c>
      <c r="D3932" s="2380">
        <v>88144084.554172397</v>
      </c>
      <c r="E3932" s="2381">
        <v>12754602.481089899</v>
      </c>
      <c r="F3932" s="2382">
        <v>1.0986693573014199</v>
      </c>
      <c r="G3932" s="2383">
        <v>0.155883184567008</v>
      </c>
    </row>
    <row r="3933" spans="1:7" x14ac:dyDescent="0.3">
      <c r="A3933" s="6" t="s">
        <v>964</v>
      </c>
      <c r="B3933" s="6" t="s">
        <v>979</v>
      </c>
      <c r="C3933" s="2376">
        <v>287</v>
      </c>
      <c r="D3933" s="2376">
        <v>48651268.889867499</v>
      </c>
      <c r="E3933" s="2377">
        <v>6619824.72403281</v>
      </c>
      <c r="F3933" s="2378">
        <v>0.60641231449035704</v>
      </c>
      <c r="G3933" s="2379">
        <v>7.8074206950809702E-2</v>
      </c>
    </row>
    <row r="3934" spans="1:7" x14ac:dyDescent="0.3">
      <c r="A3934" s="11" t="s">
        <v>1009</v>
      </c>
      <c r="B3934" s="11" t="s">
        <v>6082</v>
      </c>
      <c r="C3934" s="2380">
        <v>225</v>
      </c>
      <c r="D3934" s="2380">
        <v>44732689.146925397</v>
      </c>
      <c r="E3934" s="2381">
        <v>8571474.7193430103</v>
      </c>
      <c r="F3934" s="2382">
        <v>0.55756929218786</v>
      </c>
      <c r="G3934" s="2383">
        <v>0.109199950475052</v>
      </c>
    </row>
    <row r="3935" spans="1:7" x14ac:dyDescent="0.3">
      <c r="A3935" s="6" t="s">
        <v>983</v>
      </c>
      <c r="B3935" s="6" t="s">
        <v>6053</v>
      </c>
      <c r="C3935" s="2376">
        <v>257</v>
      </c>
      <c r="D3935" s="2376">
        <v>34867084.8013032</v>
      </c>
      <c r="E3935" s="2377">
        <v>6224176.6003105296</v>
      </c>
      <c r="F3935" s="2378">
        <v>0.43459975610817903</v>
      </c>
      <c r="G3935" s="2379">
        <v>7.75147557957859E-2</v>
      </c>
    </row>
    <row r="3936" spans="1:7" x14ac:dyDescent="0.3">
      <c r="A3936" s="11" t="s">
        <v>1007</v>
      </c>
      <c r="B3936" s="11" t="s">
        <v>6081</v>
      </c>
      <c r="C3936" s="2380">
        <v>140</v>
      </c>
      <c r="D3936" s="2380">
        <v>29125329.172871199</v>
      </c>
      <c r="E3936" s="2381">
        <v>6853233.7451363802</v>
      </c>
      <c r="F3936" s="2382">
        <v>0.36303181144146301</v>
      </c>
      <c r="G3936" s="2383">
        <v>8.5713516692873096E-2</v>
      </c>
    </row>
    <row r="3937" spans="1:7" x14ac:dyDescent="0.3">
      <c r="A3937" s="6" t="s">
        <v>1001</v>
      </c>
      <c r="B3937" s="6" t="s">
        <v>6029</v>
      </c>
      <c r="C3937" s="2376">
        <v>133</v>
      </c>
      <c r="D3937" s="2376">
        <v>17701990.232987799</v>
      </c>
      <c r="E3937" s="2377">
        <v>6188974.1676553199</v>
      </c>
      <c r="F3937" s="2378">
        <v>0.22064593818862299</v>
      </c>
      <c r="G3937" s="2379">
        <v>7.7789295852702403E-2</v>
      </c>
    </row>
    <row r="3938" spans="1:7" x14ac:dyDescent="0.3">
      <c r="A3938" s="11" t="s">
        <v>991</v>
      </c>
      <c r="B3938" s="11" t="s">
        <v>6024</v>
      </c>
      <c r="C3938" s="2380">
        <v>109</v>
      </c>
      <c r="D3938" s="2380">
        <v>17537549.510506101</v>
      </c>
      <c r="E3938" s="2381">
        <v>5448186.8525947202</v>
      </c>
      <c r="F3938" s="2382">
        <v>0.21859627162509901</v>
      </c>
      <c r="G3938" s="2383">
        <v>6.7294841185200099E-2</v>
      </c>
    </row>
    <row r="3939" spans="1:7" x14ac:dyDescent="0.3">
      <c r="A3939" s="6" t="s">
        <v>1011</v>
      </c>
      <c r="B3939" s="6" t="s">
        <v>6034</v>
      </c>
      <c r="C3939" s="2376">
        <v>116</v>
      </c>
      <c r="D3939" s="2376">
        <v>16590734.288965</v>
      </c>
      <c r="E3939" s="2377">
        <v>6553191.5411931798</v>
      </c>
      <c r="F3939" s="2378">
        <v>0.206794721059395</v>
      </c>
      <c r="G3939" s="2379">
        <v>8.1941986222433594E-2</v>
      </c>
    </row>
    <row r="3940" spans="1:7" x14ac:dyDescent="0.3">
      <c r="A3940" s="11" t="s">
        <v>1013</v>
      </c>
      <c r="B3940" s="11" t="s">
        <v>6052</v>
      </c>
      <c r="C3940" s="2380">
        <v>105</v>
      </c>
      <c r="D3940" s="2380">
        <v>14305682.696294401</v>
      </c>
      <c r="E3940" s="2381">
        <v>1504335.51565378</v>
      </c>
      <c r="F3940" s="2382">
        <v>0.17831276248647401</v>
      </c>
      <c r="G3940" s="2383">
        <v>1.8984563497391801E-2</v>
      </c>
    </row>
    <row r="3941" spans="1:7" x14ac:dyDescent="0.3">
      <c r="A3941" s="6" t="s">
        <v>999</v>
      </c>
      <c r="B3941" s="6" t="s">
        <v>6080</v>
      </c>
      <c r="C3941" s="2376">
        <v>56</v>
      </c>
      <c r="D3941" s="2376">
        <v>10675106.504220201</v>
      </c>
      <c r="E3941" s="2377">
        <v>2329992.82949741</v>
      </c>
      <c r="F3941" s="2378">
        <v>0.13305955199872399</v>
      </c>
      <c r="G3941" s="2379">
        <v>2.9446536391995601E-2</v>
      </c>
    </row>
    <row r="3942" spans="1:7" x14ac:dyDescent="0.3">
      <c r="A3942" s="11" t="s">
        <v>1005</v>
      </c>
      <c r="B3942" s="11" t="s">
        <v>6031</v>
      </c>
      <c r="C3942" s="2380">
        <v>30</v>
      </c>
      <c r="D3942" s="2380">
        <v>9907464.2811075896</v>
      </c>
      <c r="E3942" s="2381">
        <v>3727230.34801745</v>
      </c>
      <c r="F3942" s="2382">
        <v>0.123491298018093</v>
      </c>
      <c r="G3942" s="2383">
        <v>4.5656215468056698E-2</v>
      </c>
    </row>
    <row r="3943" spans="1:7" x14ac:dyDescent="0.3">
      <c r="A3943" s="6" t="s">
        <v>981</v>
      </c>
      <c r="B3943" s="6" t="s">
        <v>6044</v>
      </c>
      <c r="C3943" s="2376">
        <v>105</v>
      </c>
      <c r="D3943" s="2376">
        <v>9115307.6272431109</v>
      </c>
      <c r="E3943" s="2377">
        <v>2706678.4391120402</v>
      </c>
      <c r="F3943" s="2378">
        <v>0.113617484634184</v>
      </c>
      <c r="G3943" s="2379">
        <v>3.4208231255419601E-2</v>
      </c>
    </row>
    <row r="3944" spans="1:7" x14ac:dyDescent="0.3">
      <c r="A3944" s="11" t="s">
        <v>1003</v>
      </c>
      <c r="B3944" s="11" t="s">
        <v>6030</v>
      </c>
      <c r="C3944" s="2380">
        <v>8</v>
      </c>
      <c r="D3944" s="2380">
        <v>1329791.05787304</v>
      </c>
      <c r="E3944" s="2381">
        <v>770747.43723869801</v>
      </c>
      <c r="F3944" s="2382">
        <v>1.6575141647771401E-2</v>
      </c>
      <c r="G3944" s="2383">
        <v>9.6853657479139908E-3</v>
      </c>
    </row>
    <row r="3945" spans="1:7" x14ac:dyDescent="0.3">
      <c r="A3945" s="6" t="s">
        <v>993</v>
      </c>
      <c r="B3945" s="6" t="s">
        <v>6025</v>
      </c>
      <c r="C3945" s="2376">
        <v>21</v>
      </c>
      <c r="D3945" s="2376">
        <v>1169293.7007748301</v>
      </c>
      <c r="E3945" s="2377">
        <v>692055.20208908198</v>
      </c>
      <c r="F3945" s="2378">
        <v>1.4574627046439401E-2</v>
      </c>
      <c r="G3945" s="2379">
        <v>8.7309314697614805E-3</v>
      </c>
    </row>
    <row r="3946" spans="1:7" x14ac:dyDescent="0.3">
      <c r="A3946" s="11" t="s">
        <v>1155</v>
      </c>
      <c r="B3946" s="11" t="s">
        <v>6083</v>
      </c>
      <c r="C3946" s="2380">
        <v>7</v>
      </c>
      <c r="D3946" s="2380">
        <v>141249.33656015701</v>
      </c>
      <c r="E3946" s="2381">
        <v>76410.377694528695</v>
      </c>
      <c r="F3946" s="2382">
        <v>1.7605982137397301E-3</v>
      </c>
      <c r="G3946" s="2383">
        <v>9.4328707094411496E-4</v>
      </c>
    </row>
    <row r="3947" spans="1:7" x14ac:dyDescent="0.3">
      <c r="A3947" s="6" t="s">
        <v>958</v>
      </c>
      <c r="B3947" s="6" t="s">
        <v>959</v>
      </c>
      <c r="C3947" s="2376">
        <v>2</v>
      </c>
      <c r="D3947" s="2376">
        <v>283539.34827782202</v>
      </c>
      <c r="E3947" s="2377">
        <v>286148.13573120098</v>
      </c>
      <c r="F3947" s="2378">
        <v>100</v>
      </c>
      <c r="G3947" s="2379" t="e">
        <v>#NUM!</v>
      </c>
    </row>
    <row r="3948" spans="1:7" x14ac:dyDescent="0.3">
      <c r="A3948" s="11" t="s">
        <v>6269</v>
      </c>
      <c r="B3948" s="11" t="s">
        <v>6270</v>
      </c>
      <c r="C3948" s="2380">
        <v>59874</v>
      </c>
      <c r="D3948" s="2380">
        <v>8022803582.2054901</v>
      </c>
      <c r="E3948" s="2381">
        <v>109293115.277757</v>
      </c>
      <c r="F3948" s="2382">
        <v>99.996465957006507</v>
      </c>
      <c r="G3948" s="2383">
        <v>3.5676183927747201E-3</v>
      </c>
    </row>
    <row r="3949" spans="1:7" x14ac:dyDescent="0.3">
      <c r="A3949" s="6" t="s">
        <v>6269</v>
      </c>
      <c r="B3949" s="6" t="s">
        <v>6271</v>
      </c>
      <c r="C3949" s="2376">
        <v>59876</v>
      </c>
      <c r="D3949" s="2376">
        <v>8023087121.5537596</v>
      </c>
      <c r="E3949" s="2377">
        <v>0</v>
      </c>
      <c r="F3949" s="2378">
        <v>100</v>
      </c>
      <c r="G3949" s="2379">
        <v>0</v>
      </c>
    </row>
    <row r="3950" spans="1:7" x14ac:dyDescent="0.3">
      <c r="A3950" s="3299" t="s">
        <v>765</v>
      </c>
      <c r="B3950" s="3298"/>
      <c r="C3950" s="3298"/>
      <c r="D3950" s="3298"/>
      <c r="E3950" s="3298"/>
      <c r="F3950" s="3298"/>
      <c r="G3950" s="3298"/>
    </row>
    <row r="3951" spans="1:7" x14ac:dyDescent="0.3">
      <c r="A3951" s="11" t="s">
        <v>6470</v>
      </c>
      <c r="B3951" s="11"/>
      <c r="C3951" s="2388">
        <v>53</v>
      </c>
      <c r="D3951" s="2388">
        <v>8244598.7419022704</v>
      </c>
      <c r="E3951" s="2389">
        <v>2445534.6399329598</v>
      </c>
      <c r="F3951" s="2390">
        <v>23.777793955835801</v>
      </c>
      <c r="G3951" s="2391">
        <v>8.6149135140084692</v>
      </c>
    </row>
    <row r="3952" spans="1:7" x14ac:dyDescent="0.3">
      <c r="A3952" s="6" t="s">
        <v>6471</v>
      </c>
      <c r="B3952" s="6"/>
      <c r="C3952" s="2384">
        <v>26</v>
      </c>
      <c r="D3952" s="2384">
        <v>6908054.8940263903</v>
      </c>
      <c r="E3952" s="2385">
        <v>5718784.6373496596</v>
      </c>
      <c r="F3952" s="2386">
        <v>19.923141325355001</v>
      </c>
      <c r="G3952" s="2387">
        <v>16.3351365968566</v>
      </c>
    </row>
    <row r="3953" spans="1:7" x14ac:dyDescent="0.3">
      <c r="A3953" s="11" t="s">
        <v>6467</v>
      </c>
      <c r="B3953" s="11"/>
      <c r="C3953" s="2388">
        <v>63</v>
      </c>
      <c r="D3953" s="2388">
        <v>6894786.69070902</v>
      </c>
      <c r="E3953" s="2389">
        <v>794071.07333911001</v>
      </c>
      <c r="F3953" s="2390">
        <v>19.884875229633298</v>
      </c>
      <c r="G3953" s="2391">
        <v>4.5225561922658404</v>
      </c>
    </row>
    <row r="3954" spans="1:7" x14ac:dyDescent="0.3">
      <c r="A3954" s="6" t="s">
        <v>6702</v>
      </c>
      <c r="B3954" s="6"/>
      <c r="C3954" s="2384">
        <v>44</v>
      </c>
      <c r="D3954" s="2384">
        <v>5108603.0965134101</v>
      </c>
      <c r="E3954" s="2385">
        <v>2514617.7167899399</v>
      </c>
      <c r="F3954" s="2386">
        <v>14.733441327311199</v>
      </c>
      <c r="G3954" s="2387">
        <v>6.2529901781404904</v>
      </c>
    </row>
    <row r="3955" spans="1:7" x14ac:dyDescent="0.3">
      <c r="A3955" s="11" t="s">
        <v>6703</v>
      </c>
      <c r="B3955" s="11"/>
      <c r="C3955" s="2388">
        <v>29</v>
      </c>
      <c r="D3955" s="2388">
        <v>3111015.6578300898</v>
      </c>
      <c r="E3955" s="2389">
        <v>1855271.7221943</v>
      </c>
      <c r="F3955" s="2390">
        <v>8.97230921976867</v>
      </c>
      <c r="G3955" s="2391">
        <v>4.9803113661017004</v>
      </c>
    </row>
    <row r="3956" spans="1:7" x14ac:dyDescent="0.3">
      <c r="A3956" s="6" t="s">
        <v>6472</v>
      </c>
      <c r="B3956" s="6"/>
      <c r="C3956" s="2384">
        <v>7</v>
      </c>
      <c r="D3956" s="2384">
        <v>1702618.1133107201</v>
      </c>
      <c r="E3956" s="2385">
        <v>1171474.4152119199</v>
      </c>
      <c r="F3956" s="2386">
        <v>4.9104272932068902</v>
      </c>
      <c r="G3956" s="2387">
        <v>3.17628984296321</v>
      </c>
    </row>
    <row r="3957" spans="1:7" x14ac:dyDescent="0.3">
      <c r="A3957" s="11" t="s">
        <v>6578</v>
      </c>
      <c r="B3957" s="11"/>
      <c r="C3957" s="2388">
        <v>8</v>
      </c>
      <c r="D3957" s="2388">
        <v>839298.34096300195</v>
      </c>
      <c r="E3957" s="2389">
        <v>268423.954421464</v>
      </c>
      <c r="F3957" s="2390">
        <v>2.4205742018062701</v>
      </c>
      <c r="G3957" s="2391">
        <v>0.81065350595022501</v>
      </c>
    </row>
    <row r="3958" spans="1:7" x14ac:dyDescent="0.3">
      <c r="A3958" s="6" t="s">
        <v>6704</v>
      </c>
      <c r="B3958" s="6"/>
      <c r="C3958" s="2384">
        <v>6</v>
      </c>
      <c r="D3958" s="2384">
        <v>611237.00735494401</v>
      </c>
      <c r="E3958" s="2385">
        <v>417965.65971053601</v>
      </c>
      <c r="F3958" s="2386">
        <v>1.76283504801765</v>
      </c>
      <c r="G3958" s="2387">
        <v>1.4209487287428799</v>
      </c>
    </row>
    <row r="3959" spans="1:7" x14ac:dyDescent="0.3">
      <c r="A3959" s="11" t="s">
        <v>6705</v>
      </c>
      <c r="B3959" s="11"/>
      <c r="C3959" s="2388">
        <v>4</v>
      </c>
      <c r="D3959" s="2388">
        <v>575138.733914888</v>
      </c>
      <c r="E3959" s="2389">
        <v>408527.39063083602</v>
      </c>
      <c r="F3959" s="2390">
        <v>1.65872600221817</v>
      </c>
      <c r="G3959" s="2391">
        <v>1.17054250629546</v>
      </c>
    </row>
    <row r="3960" spans="1:7" x14ac:dyDescent="0.3">
      <c r="A3960" s="6" t="s">
        <v>6706</v>
      </c>
      <c r="B3960" s="6"/>
      <c r="C3960" s="2384">
        <v>11</v>
      </c>
      <c r="D3960" s="2384">
        <v>517190.90699894098</v>
      </c>
      <c r="E3960" s="2385">
        <v>281667.40379554301</v>
      </c>
      <c r="F3960" s="2386">
        <v>1.49160186049457</v>
      </c>
      <c r="G3960" s="2387">
        <v>0.92703565494592799</v>
      </c>
    </row>
    <row r="3961" spans="1:7" x14ac:dyDescent="0.3">
      <c r="A3961" s="11" t="s">
        <v>6707</v>
      </c>
      <c r="B3961" s="11"/>
      <c r="C3961" s="2388">
        <v>2</v>
      </c>
      <c r="D3961" s="2388">
        <v>160980.335914233</v>
      </c>
      <c r="E3961" s="2389">
        <v>165278.08617701699</v>
      </c>
      <c r="F3961" s="2390">
        <v>0.46427453635259502</v>
      </c>
      <c r="G3961" s="2391">
        <v>0.478011458145013</v>
      </c>
    </row>
    <row r="3962" spans="1:7" x14ac:dyDescent="0.3">
      <c r="A3962" s="6" t="s">
        <v>960</v>
      </c>
      <c r="B3962" s="6" t="s">
        <v>961</v>
      </c>
      <c r="C3962" s="2384">
        <v>59619</v>
      </c>
      <c r="D3962" s="2384">
        <v>7988220036.7526703</v>
      </c>
      <c r="E3962" s="2385">
        <v>109197758.77134199</v>
      </c>
      <c r="F3962" s="2386">
        <v>99.997576962190706</v>
      </c>
      <c r="G3962" s="2387">
        <v>1.5489418560564901E-3</v>
      </c>
    </row>
    <row r="3963" spans="1:7" x14ac:dyDescent="0.3">
      <c r="A3963" s="11" t="s">
        <v>974</v>
      </c>
      <c r="B3963" s="11" t="s">
        <v>975</v>
      </c>
      <c r="C3963" s="2388">
        <v>2</v>
      </c>
      <c r="D3963" s="2388">
        <v>193562.28186536001</v>
      </c>
      <c r="E3963" s="2389">
        <v>123403.67692656801</v>
      </c>
      <c r="F3963" s="2390">
        <v>2.4230378092685799E-3</v>
      </c>
      <c r="G3963" s="2391">
        <v>1.5489418560615401E-3</v>
      </c>
    </row>
    <row r="3964" spans="1:7" x14ac:dyDescent="0.3">
      <c r="A3964" s="6" t="s">
        <v>6269</v>
      </c>
      <c r="B3964" s="6" t="s">
        <v>6270</v>
      </c>
      <c r="C3964" s="2384">
        <v>253</v>
      </c>
      <c r="D3964" s="2384">
        <v>34673522.519437902</v>
      </c>
      <c r="E3964" s="2385">
        <v>6156226.6684580501</v>
      </c>
      <c r="F3964" s="2386">
        <v>0.43217183104353601</v>
      </c>
      <c r="G3964" s="2387">
        <v>7.6644312624946906E-2</v>
      </c>
    </row>
    <row r="3965" spans="1:7" x14ac:dyDescent="0.3">
      <c r="A3965" s="11" t="s">
        <v>6269</v>
      </c>
      <c r="B3965" s="11" t="s">
        <v>6271</v>
      </c>
      <c r="C3965" s="2388">
        <v>59874</v>
      </c>
      <c r="D3965" s="2388">
        <v>8023087121.5539703</v>
      </c>
      <c r="E3965" s="2389">
        <v>0</v>
      </c>
      <c r="F3965" s="2390">
        <v>100</v>
      </c>
      <c r="G3965" s="2391">
        <v>0</v>
      </c>
    </row>
    <row r="3966" spans="1:7" x14ac:dyDescent="0.3">
      <c r="A3966" s="3299" t="s">
        <v>747</v>
      </c>
      <c r="B3966" s="3298"/>
      <c r="C3966" s="3298"/>
      <c r="D3966" s="3298"/>
      <c r="E3966" s="3298"/>
      <c r="F3966" s="3298"/>
      <c r="G3966" s="3298"/>
    </row>
    <row r="3967" spans="1:7" x14ac:dyDescent="0.3">
      <c r="A3967" s="11" t="s">
        <v>1152</v>
      </c>
      <c r="B3967" s="11"/>
      <c r="C3967" s="2396">
        <v>31531</v>
      </c>
      <c r="D3967" s="2396">
        <v>4233347634.8949599</v>
      </c>
      <c r="E3967" s="2397">
        <v>68974877.806993097</v>
      </c>
      <c r="F3967" s="2398">
        <v>52.764572673306901</v>
      </c>
      <c r="G3967" s="2399">
        <v>0.76620275254410797</v>
      </c>
    </row>
    <row r="3968" spans="1:7" x14ac:dyDescent="0.3">
      <c r="A3968" s="6" t="s">
        <v>962</v>
      </c>
      <c r="B3968" s="6"/>
      <c r="C3968" s="2392">
        <v>17672</v>
      </c>
      <c r="D3968" s="2392">
        <v>2192735514.0033002</v>
      </c>
      <c r="E3968" s="2393">
        <v>33475323.101734798</v>
      </c>
      <c r="F3968" s="2394">
        <v>27.330321617879299</v>
      </c>
      <c r="G3968" s="2395">
        <v>0.33750217015779899</v>
      </c>
    </row>
    <row r="3969" spans="1:7" x14ac:dyDescent="0.3">
      <c r="A3969" s="11" t="s">
        <v>964</v>
      </c>
      <c r="B3969" s="11"/>
      <c r="C3969" s="2396">
        <v>5946</v>
      </c>
      <c r="D3969" s="2396">
        <v>926124910.16122496</v>
      </c>
      <c r="E3969" s="2397">
        <v>56220787.675982296</v>
      </c>
      <c r="F3969" s="2398">
        <v>11.543248828412001</v>
      </c>
      <c r="G3969" s="2399">
        <v>0.62208965524361803</v>
      </c>
    </row>
    <row r="3970" spans="1:7" x14ac:dyDescent="0.3">
      <c r="A3970" s="6" t="s">
        <v>966</v>
      </c>
      <c r="B3970" s="6"/>
      <c r="C3970" s="2392">
        <v>2823</v>
      </c>
      <c r="D3970" s="2392">
        <v>439362497.33808398</v>
      </c>
      <c r="E3970" s="2393">
        <v>33368362.3899212</v>
      </c>
      <c r="F3970" s="2394">
        <v>5.4762274256969201</v>
      </c>
      <c r="G3970" s="2395">
        <v>0.38360913421199799</v>
      </c>
    </row>
    <row r="3971" spans="1:7" x14ac:dyDescent="0.3">
      <c r="A3971" s="11" t="s">
        <v>968</v>
      </c>
      <c r="B3971" s="11"/>
      <c r="C3971" s="2396">
        <v>1147</v>
      </c>
      <c r="D3971" s="2396">
        <v>134129961.166995</v>
      </c>
      <c r="E3971" s="2397">
        <v>23041287.159940701</v>
      </c>
      <c r="F3971" s="2398">
        <v>1.6717998836963801</v>
      </c>
      <c r="G3971" s="2399">
        <v>0.28458097324118897</v>
      </c>
    </row>
    <row r="3972" spans="1:7" x14ac:dyDescent="0.3">
      <c r="A3972" s="6" t="s">
        <v>970</v>
      </c>
      <c r="B3972" s="6"/>
      <c r="C3972" s="2392">
        <v>425</v>
      </c>
      <c r="D3972" s="2392">
        <v>56591186.561071098</v>
      </c>
      <c r="E3972" s="2393">
        <v>10076981.811937399</v>
      </c>
      <c r="F3972" s="2394">
        <v>0.705354257079433</v>
      </c>
      <c r="G3972" s="2395">
        <v>0.12591885220361901</v>
      </c>
    </row>
    <row r="3973" spans="1:7" x14ac:dyDescent="0.3">
      <c r="A3973" s="11" t="s">
        <v>972</v>
      </c>
      <c r="B3973" s="11"/>
      <c r="C3973" s="2396">
        <v>138</v>
      </c>
      <c r="D3973" s="2396">
        <v>17620913.9521848</v>
      </c>
      <c r="E3973" s="2397">
        <v>2668874.8677699501</v>
      </c>
      <c r="F3973" s="2398">
        <v>0.219627603255695</v>
      </c>
      <c r="G3973" s="2399">
        <v>3.4540202223102799E-2</v>
      </c>
    </row>
    <row r="3974" spans="1:7" x14ac:dyDescent="0.3">
      <c r="A3974" s="6" t="s">
        <v>981</v>
      </c>
      <c r="B3974" s="6"/>
      <c r="C3974" s="2392">
        <v>44</v>
      </c>
      <c r="D3974" s="2392">
        <v>4086448.4611940999</v>
      </c>
      <c r="E3974" s="2393">
        <v>1842548.16359634</v>
      </c>
      <c r="F3974" s="2394">
        <v>5.0933616939245203E-2</v>
      </c>
      <c r="G3974" s="2395">
        <v>2.3147053511817801E-2</v>
      </c>
    </row>
    <row r="3975" spans="1:7" x14ac:dyDescent="0.3">
      <c r="A3975" s="11" t="s">
        <v>1157</v>
      </c>
      <c r="B3975" s="11"/>
      <c r="C3975" s="2396">
        <v>24</v>
      </c>
      <c r="D3975" s="2396">
        <v>4023437.09147705</v>
      </c>
      <c r="E3975" s="2397">
        <v>2284814.5758861001</v>
      </c>
      <c r="F3975" s="2398">
        <v>5.0148241325564301E-2</v>
      </c>
      <c r="G3975" s="2399">
        <v>2.8440222911196699E-2</v>
      </c>
    </row>
    <row r="3976" spans="1:7" x14ac:dyDescent="0.3">
      <c r="A3976" s="6" t="s">
        <v>991</v>
      </c>
      <c r="B3976" s="6"/>
      <c r="C3976" s="2392">
        <v>31</v>
      </c>
      <c r="D3976" s="2392">
        <v>3809810.6328755398</v>
      </c>
      <c r="E3976" s="2393">
        <v>2115215.4146078802</v>
      </c>
      <c r="F3976" s="2394">
        <v>4.7485594698836203E-2</v>
      </c>
      <c r="G3976" s="2395">
        <v>2.6429580983288199E-2</v>
      </c>
    </row>
    <row r="3977" spans="1:7" x14ac:dyDescent="0.3">
      <c r="A3977" s="11" t="s">
        <v>993</v>
      </c>
      <c r="B3977" s="11"/>
      <c r="C3977" s="2396">
        <v>7</v>
      </c>
      <c r="D3977" s="2396">
        <v>3151775.0995779</v>
      </c>
      <c r="E3977" s="2397">
        <v>2170227.0407353998</v>
      </c>
      <c r="F3977" s="2398">
        <v>3.9283819953927199E-2</v>
      </c>
      <c r="G3977" s="2399">
        <v>2.6911330352440199E-2</v>
      </c>
    </row>
    <row r="3978" spans="1:7" x14ac:dyDescent="0.3">
      <c r="A3978" s="6" t="s">
        <v>1159</v>
      </c>
      <c r="B3978" s="6"/>
      <c r="C3978" s="2392">
        <v>4</v>
      </c>
      <c r="D3978" s="2392">
        <v>1071938.9496323999</v>
      </c>
      <c r="E3978" s="2393">
        <v>864578.15889296797</v>
      </c>
      <c r="F3978" s="2394">
        <v>1.33606794166883E-2</v>
      </c>
      <c r="G3978" s="2395">
        <v>1.08165481242099E-2</v>
      </c>
    </row>
    <row r="3979" spans="1:7" x14ac:dyDescent="0.3">
      <c r="A3979" s="11" t="s">
        <v>1005</v>
      </c>
      <c r="B3979" s="11"/>
      <c r="C3979" s="2396">
        <v>11</v>
      </c>
      <c r="D3979" s="2396">
        <v>983078.64304056903</v>
      </c>
      <c r="E3979" s="2397">
        <v>362242.076487093</v>
      </c>
      <c r="F3979" s="2398">
        <v>1.2253121873743099E-2</v>
      </c>
      <c r="G3979" s="2399">
        <v>4.4759532130069796E-3</v>
      </c>
    </row>
    <row r="3980" spans="1:7" x14ac:dyDescent="0.3">
      <c r="A3980" s="6" t="s">
        <v>995</v>
      </c>
      <c r="B3980" s="6"/>
      <c r="C3980" s="2392">
        <v>11</v>
      </c>
      <c r="D3980" s="2392">
        <v>914133.79071589001</v>
      </c>
      <c r="E3980" s="2393">
        <v>499272.52622066601</v>
      </c>
      <c r="F3980" s="2394">
        <v>1.13937911537829E-2</v>
      </c>
      <c r="G3980" s="2395">
        <v>6.1694455875291104E-3</v>
      </c>
    </row>
    <row r="3981" spans="1:7" x14ac:dyDescent="0.3">
      <c r="A3981" s="11" t="s">
        <v>1161</v>
      </c>
      <c r="B3981" s="11"/>
      <c r="C3981" s="2396">
        <v>3</v>
      </c>
      <c r="D3981" s="2396">
        <v>578549.88517282496</v>
      </c>
      <c r="E3981" s="2397">
        <v>586059.12540883</v>
      </c>
      <c r="F3981" s="2398">
        <v>7.2110632280007296E-3</v>
      </c>
      <c r="G3981" s="2399">
        <v>7.3027640036649102E-3</v>
      </c>
    </row>
    <row r="3982" spans="1:7" x14ac:dyDescent="0.3">
      <c r="A3982" s="6" t="s">
        <v>1163</v>
      </c>
      <c r="B3982" s="6"/>
      <c r="C3982" s="2392">
        <v>2</v>
      </c>
      <c r="D3982" s="2392">
        <v>553633.42343800596</v>
      </c>
      <c r="E3982" s="2393">
        <v>558664.205380406</v>
      </c>
      <c r="F3982" s="2394">
        <v>6.90050369702067E-3</v>
      </c>
      <c r="G3982" s="2395">
        <v>6.9694103948358399E-3</v>
      </c>
    </row>
    <row r="3983" spans="1:7" x14ac:dyDescent="0.3">
      <c r="A3983" s="11" t="s">
        <v>3210</v>
      </c>
      <c r="B3983" s="11"/>
      <c r="C3983" s="2396">
        <v>2</v>
      </c>
      <c r="D3983" s="2396">
        <v>525459.02012720401</v>
      </c>
      <c r="E3983" s="2397">
        <v>527591.05765001103</v>
      </c>
      <c r="F3983" s="2398">
        <v>6.5493370839209298E-3</v>
      </c>
      <c r="G3983" s="2399">
        <v>6.5677612218148504E-3</v>
      </c>
    </row>
    <row r="3984" spans="1:7" x14ac:dyDescent="0.3">
      <c r="A3984" s="6" t="s">
        <v>3032</v>
      </c>
      <c r="B3984" s="6"/>
      <c r="C3984" s="2392">
        <v>4</v>
      </c>
      <c r="D3984" s="2392">
        <v>508706.60224111099</v>
      </c>
      <c r="E3984" s="2393">
        <v>406882.559415547</v>
      </c>
      <c r="F3984" s="2394">
        <v>6.34053444184207E-3</v>
      </c>
      <c r="G3984" s="2395">
        <v>5.0734298599169197E-3</v>
      </c>
    </row>
    <row r="3985" spans="1:7" x14ac:dyDescent="0.3">
      <c r="A3985" s="11" t="s">
        <v>1011</v>
      </c>
      <c r="B3985" s="11"/>
      <c r="C3985" s="2396">
        <v>4</v>
      </c>
      <c r="D3985" s="2396">
        <v>498145.93128815101</v>
      </c>
      <c r="E3985" s="2397">
        <v>343453.11996141402</v>
      </c>
      <c r="F3985" s="2398">
        <v>6.2089059203893999E-3</v>
      </c>
      <c r="G3985" s="2399">
        <v>4.2909790343954E-3</v>
      </c>
    </row>
    <row r="3986" spans="1:7" x14ac:dyDescent="0.3">
      <c r="A3986" s="6" t="s">
        <v>1155</v>
      </c>
      <c r="B3986" s="6"/>
      <c r="C3986" s="2392">
        <v>6</v>
      </c>
      <c r="D3986" s="2392">
        <v>448847.99825164099</v>
      </c>
      <c r="E3986" s="2393">
        <v>306709.82607971999</v>
      </c>
      <c r="F3986" s="2394">
        <v>5.5944549953324801E-3</v>
      </c>
      <c r="G3986" s="2395">
        <v>3.8032006719986001E-3</v>
      </c>
    </row>
    <row r="3987" spans="1:7" x14ac:dyDescent="0.3">
      <c r="A3987" s="11" t="s">
        <v>1063</v>
      </c>
      <c r="B3987" s="11"/>
      <c r="C3987" s="2396">
        <v>14</v>
      </c>
      <c r="D3987" s="2396">
        <v>370732.18380065198</v>
      </c>
      <c r="E3987" s="2397">
        <v>374852.72388530802</v>
      </c>
      <c r="F3987" s="2398">
        <v>4.6208171266730004E-3</v>
      </c>
      <c r="G3987" s="2399">
        <v>4.67208408134557E-3</v>
      </c>
    </row>
    <row r="3988" spans="1:7" x14ac:dyDescent="0.3">
      <c r="A3988" s="6" t="s">
        <v>3061</v>
      </c>
      <c r="B3988" s="6"/>
      <c r="C3988" s="2392">
        <v>3</v>
      </c>
      <c r="D3988" s="2392">
        <v>355792.03424785897</v>
      </c>
      <c r="E3988" s="2393">
        <v>300756.37874766201</v>
      </c>
      <c r="F3988" s="2394">
        <v>4.4346026517901802E-3</v>
      </c>
      <c r="G3988" s="2395">
        <v>3.72977115283504E-3</v>
      </c>
    </row>
    <row r="3989" spans="1:7" x14ac:dyDescent="0.3">
      <c r="A3989" s="11" t="s">
        <v>999</v>
      </c>
      <c r="B3989" s="11"/>
      <c r="C3989" s="2396">
        <v>7</v>
      </c>
      <c r="D3989" s="2396">
        <v>288697.35621826001</v>
      </c>
      <c r="E3989" s="2397">
        <v>290930.09633081499</v>
      </c>
      <c r="F3989" s="2398">
        <v>3.5983325600775799E-3</v>
      </c>
      <c r="G3989" s="2399">
        <v>3.6249608840188299E-3</v>
      </c>
    </row>
    <row r="3990" spans="1:7" x14ac:dyDescent="0.3">
      <c r="A3990" s="6" t="s">
        <v>1009</v>
      </c>
      <c r="B3990" s="6"/>
      <c r="C3990" s="2392">
        <v>3</v>
      </c>
      <c r="D3990" s="2392">
        <v>241239.933614101</v>
      </c>
      <c r="E3990" s="2393">
        <v>157319.44094012701</v>
      </c>
      <c r="F3990" s="2394">
        <v>3.0068218125915399E-3</v>
      </c>
      <c r="G3990" s="2395">
        <v>1.9666611697851401E-3</v>
      </c>
    </row>
    <row r="3991" spans="1:7" x14ac:dyDescent="0.3">
      <c r="A3991" s="11" t="s">
        <v>6708</v>
      </c>
      <c r="B3991" s="11"/>
      <c r="C3991" s="2396">
        <v>2</v>
      </c>
      <c r="D3991" s="2396">
        <v>218787.06140444599</v>
      </c>
      <c r="E3991" s="2397">
        <v>223254.17257926101</v>
      </c>
      <c r="F3991" s="2398">
        <v>2.7269685357981699E-3</v>
      </c>
      <c r="G3991" s="2399">
        <v>2.7821113653280099E-3</v>
      </c>
    </row>
    <row r="3992" spans="1:7" x14ac:dyDescent="0.3">
      <c r="A3992" s="6" t="s">
        <v>1051</v>
      </c>
      <c r="B3992" s="6"/>
      <c r="C3992" s="2392">
        <v>1</v>
      </c>
      <c r="D3992" s="2392">
        <v>144970.31460879999</v>
      </c>
      <c r="E3992" s="2393">
        <v>147616.558999728</v>
      </c>
      <c r="F3992" s="2394">
        <v>1.80691437613013E-3</v>
      </c>
      <c r="G3992" s="2395">
        <v>1.8423476563640901E-3</v>
      </c>
    </row>
    <row r="3993" spans="1:7" x14ac:dyDescent="0.3">
      <c r="A3993" s="11" t="s">
        <v>3328</v>
      </c>
      <c r="B3993" s="11"/>
      <c r="C3993" s="2396">
        <v>1</v>
      </c>
      <c r="D3993" s="2396">
        <v>128810.86191536501</v>
      </c>
      <c r="E3993" s="2397">
        <v>131976.42091483399</v>
      </c>
      <c r="F3993" s="2398">
        <v>1.6055024701067901E-3</v>
      </c>
      <c r="G3993" s="2399">
        <v>1.6425119639685299E-3</v>
      </c>
    </row>
    <row r="3994" spans="1:7" x14ac:dyDescent="0.3">
      <c r="A3994" s="6" t="s">
        <v>1053</v>
      </c>
      <c r="B3994" s="6"/>
      <c r="C3994" s="2392">
        <v>2</v>
      </c>
      <c r="D3994" s="2392">
        <v>77203.113614941205</v>
      </c>
      <c r="E3994" s="2393">
        <v>76752.612754033893</v>
      </c>
      <c r="F3994" s="2394">
        <v>9.6226193789592104E-4</v>
      </c>
      <c r="G3994" s="2395">
        <v>9.5658437970202505E-4</v>
      </c>
    </row>
    <row r="3995" spans="1:7" x14ac:dyDescent="0.3">
      <c r="A3995" s="11" t="s">
        <v>1001</v>
      </c>
      <c r="B3995" s="11"/>
      <c r="C3995" s="2396">
        <v>4</v>
      </c>
      <c r="D3995" s="2396">
        <v>58786.002425241</v>
      </c>
      <c r="E3995" s="2397">
        <v>58386.960581025502</v>
      </c>
      <c r="F3995" s="2398">
        <v>7.3271050824456798E-4</v>
      </c>
      <c r="G3995" s="2399">
        <v>7.2625420392279203E-4</v>
      </c>
    </row>
    <row r="3996" spans="1:7" x14ac:dyDescent="0.3">
      <c r="A3996" s="6" t="s">
        <v>1003</v>
      </c>
      <c r="B3996" s="6"/>
      <c r="C3996" s="2392">
        <v>1</v>
      </c>
      <c r="D3996" s="2392">
        <v>55103.052081584799</v>
      </c>
      <c r="E3996" s="2393">
        <v>55347.939840954801</v>
      </c>
      <c r="F3996" s="2394">
        <v>6.8680610401889201E-4</v>
      </c>
      <c r="G3996" s="2395">
        <v>6.8966696259391399E-4</v>
      </c>
    </row>
    <row r="3997" spans="1:7" x14ac:dyDescent="0.3">
      <c r="A3997" s="11" t="s">
        <v>3063</v>
      </c>
      <c r="B3997" s="11"/>
      <c r="C3997" s="2396">
        <v>1</v>
      </c>
      <c r="D3997" s="2396">
        <v>40208.016488590103</v>
      </c>
      <c r="E3997" s="2397">
        <v>40573.043528022099</v>
      </c>
      <c r="F3997" s="2398">
        <v>5.0115393089241898E-4</v>
      </c>
      <c r="G3997" s="2399">
        <v>5.0508471794043295E-4</v>
      </c>
    </row>
    <row r="3998" spans="1:7" x14ac:dyDescent="0.3">
      <c r="A3998" s="6" t="s">
        <v>1073</v>
      </c>
      <c r="B3998" s="6"/>
      <c r="C3998" s="2392">
        <v>1</v>
      </c>
      <c r="D3998" s="2392">
        <v>40208.016488590103</v>
      </c>
      <c r="E3998" s="2393">
        <v>40573.043528022099</v>
      </c>
      <c r="F3998" s="2394">
        <v>5.0115393089241898E-4</v>
      </c>
      <c r="G3998" s="2395">
        <v>5.0508471794043295E-4</v>
      </c>
    </row>
    <row r="3999" spans="1:7" x14ac:dyDescent="0.3">
      <c r="A3999" s="11" t="s">
        <v>6269</v>
      </c>
      <c r="B3999" s="11" t="s">
        <v>6270</v>
      </c>
      <c r="C3999" s="2396">
        <v>59875</v>
      </c>
      <c r="D3999" s="2396">
        <v>8023087121.55375</v>
      </c>
      <c r="E3999" s="2397">
        <v>109184500.795075</v>
      </c>
      <c r="F3999" s="2398">
        <v>100</v>
      </c>
      <c r="G3999" s="2399">
        <v>9.5320444878948101E-14</v>
      </c>
    </row>
    <row r="4000" spans="1:7" x14ac:dyDescent="0.3">
      <c r="A4000" s="6" t="s">
        <v>6269</v>
      </c>
      <c r="B4000" s="6" t="s">
        <v>6271</v>
      </c>
      <c r="C4000" s="2392">
        <v>59875</v>
      </c>
      <c r="D4000" s="2392">
        <v>8023087121.55375</v>
      </c>
      <c r="E4000" s="2393">
        <v>0</v>
      </c>
      <c r="F4000" s="2394">
        <v>100</v>
      </c>
      <c r="G4000" s="2395">
        <v>0</v>
      </c>
    </row>
    <row r="4001" spans="1:7" x14ac:dyDescent="0.3">
      <c r="A4001" s="3299" t="s">
        <v>749</v>
      </c>
      <c r="B4001" s="3298"/>
      <c r="C4001" s="3298"/>
      <c r="D4001" s="3298"/>
      <c r="E4001" s="3298"/>
      <c r="F4001" s="3298"/>
      <c r="G4001" s="3298"/>
    </row>
    <row r="4002" spans="1:7" x14ac:dyDescent="0.3">
      <c r="A4002" s="11" t="s">
        <v>1152</v>
      </c>
      <c r="B4002" s="11"/>
      <c r="C4002" s="2404">
        <v>38995</v>
      </c>
      <c r="D4002" s="2404">
        <v>5176938628.0676298</v>
      </c>
      <c r="E4002" s="2405">
        <v>58660125.335041203</v>
      </c>
      <c r="F4002" s="2406">
        <v>64.525519287456703</v>
      </c>
      <c r="G4002" s="2407">
        <v>0.77622941452356298</v>
      </c>
    </row>
    <row r="4003" spans="1:7" x14ac:dyDescent="0.3">
      <c r="A4003" s="6" t="s">
        <v>962</v>
      </c>
      <c r="B4003" s="6"/>
      <c r="C4003" s="2400">
        <v>14702</v>
      </c>
      <c r="D4003" s="2400">
        <v>1820760599.0276699</v>
      </c>
      <c r="E4003" s="2401">
        <v>45743164.804321997</v>
      </c>
      <c r="F4003" s="2402">
        <v>22.694015052338901</v>
      </c>
      <c r="G4003" s="2403">
        <v>0.40817496479808602</v>
      </c>
    </row>
    <row r="4004" spans="1:7" x14ac:dyDescent="0.3">
      <c r="A4004" s="11" t="s">
        <v>964</v>
      </c>
      <c r="B4004" s="11"/>
      <c r="C4004" s="2404">
        <v>3753</v>
      </c>
      <c r="D4004" s="2404">
        <v>660692628.197065</v>
      </c>
      <c r="E4004" s="2405">
        <v>48699546.280744903</v>
      </c>
      <c r="F4004" s="2406">
        <v>8.2348928559199592</v>
      </c>
      <c r="G4004" s="2407">
        <v>0.53121537406816099</v>
      </c>
    </row>
    <row r="4005" spans="1:7" x14ac:dyDescent="0.3">
      <c r="A4005" s="6" t="s">
        <v>966</v>
      </c>
      <c r="B4005" s="6"/>
      <c r="C4005" s="2400">
        <v>1640</v>
      </c>
      <c r="D4005" s="2400">
        <v>264535259.79616201</v>
      </c>
      <c r="E4005" s="2401">
        <v>35230645.043608703</v>
      </c>
      <c r="F4005" s="2402">
        <v>3.2971754611201498</v>
      </c>
      <c r="G4005" s="2403">
        <v>0.43155401699894103</v>
      </c>
    </row>
    <row r="4006" spans="1:7" x14ac:dyDescent="0.3">
      <c r="A4006" s="11" t="s">
        <v>968</v>
      </c>
      <c r="B4006" s="11"/>
      <c r="C4006" s="2404">
        <v>630</v>
      </c>
      <c r="D4006" s="2404">
        <v>84379749.741365403</v>
      </c>
      <c r="E4006" s="2405">
        <v>16044141.517993201</v>
      </c>
      <c r="F4006" s="2406">
        <v>1.05171174714882</v>
      </c>
      <c r="G4006" s="2407">
        <v>0.202461507281715</v>
      </c>
    </row>
    <row r="4007" spans="1:7" x14ac:dyDescent="0.3">
      <c r="A4007" s="6" t="s">
        <v>970</v>
      </c>
      <c r="B4007" s="6"/>
      <c r="C4007" s="2400">
        <v>138</v>
      </c>
      <c r="D4007" s="2400">
        <v>15780256.7238751</v>
      </c>
      <c r="E4007" s="2401">
        <v>7395525.5691856202</v>
      </c>
      <c r="F4007" s="2402">
        <v>0.19668559601555299</v>
      </c>
      <c r="G4007" s="2403">
        <v>9.1065760670354698E-2</v>
      </c>
    </row>
    <row r="4008" spans="1:7" x14ac:dyDescent="0.3">
      <c r="A4008" s="11" t="s">
        <v>6269</v>
      </c>
      <c r="B4008" s="11" t="s">
        <v>6270</v>
      </c>
      <c r="C4008" s="2404">
        <v>59858</v>
      </c>
      <c r="D4008" s="2404">
        <v>8023087121.5537701</v>
      </c>
      <c r="E4008" s="2405">
        <v>109184500.795066</v>
      </c>
      <c r="F4008" s="2406">
        <v>100</v>
      </c>
      <c r="G4008" s="2407">
        <v>9.4764635797477106E-14</v>
      </c>
    </row>
    <row r="4009" spans="1:7" x14ac:dyDescent="0.3">
      <c r="A4009" s="6" t="s">
        <v>6269</v>
      </c>
      <c r="B4009" s="6" t="s">
        <v>6271</v>
      </c>
      <c r="C4009" s="2400">
        <v>59858</v>
      </c>
      <c r="D4009" s="2400">
        <v>8023087121.5537701</v>
      </c>
      <c r="E4009" s="2401">
        <v>0</v>
      </c>
      <c r="F4009" s="2402">
        <v>100</v>
      </c>
      <c r="G4009" s="2403">
        <v>0</v>
      </c>
    </row>
    <row r="4010" spans="1:7" x14ac:dyDescent="0.3">
      <c r="A4010" s="3299" t="s">
        <v>786</v>
      </c>
      <c r="B4010" s="3298"/>
      <c r="C4010" s="3298"/>
      <c r="D4010" s="3298"/>
      <c r="E4010" s="3298"/>
      <c r="F4010" s="3298"/>
      <c r="G4010" s="3298"/>
    </row>
    <row r="4011" spans="1:7" x14ac:dyDescent="0.3">
      <c r="A4011" s="11" t="s">
        <v>962</v>
      </c>
      <c r="B4011" s="11" t="s">
        <v>6096</v>
      </c>
      <c r="C4011" s="2412">
        <v>31614</v>
      </c>
      <c r="D4011" s="2412">
        <v>3929466100.4650798</v>
      </c>
      <c r="E4011" s="2413">
        <v>113757973.54304001</v>
      </c>
      <c r="F4011" s="2414">
        <v>58.370824455450197</v>
      </c>
      <c r="G4011" s="2415">
        <v>1.2103553820064901</v>
      </c>
    </row>
    <row r="4012" spans="1:7" x14ac:dyDescent="0.3">
      <c r="A4012" s="6" t="s">
        <v>964</v>
      </c>
      <c r="B4012" s="6" t="s">
        <v>6097</v>
      </c>
      <c r="C4012" s="2408">
        <v>14052</v>
      </c>
      <c r="D4012" s="2408">
        <v>1728585787.1412399</v>
      </c>
      <c r="E4012" s="2409">
        <v>53806742.365484998</v>
      </c>
      <c r="F4012" s="2410">
        <v>25.677528437124199</v>
      </c>
      <c r="G4012" s="2411">
        <v>0.77824995869818203</v>
      </c>
    </row>
    <row r="4013" spans="1:7" x14ac:dyDescent="0.3">
      <c r="A4013" s="11" t="s">
        <v>966</v>
      </c>
      <c r="B4013" s="11" t="s">
        <v>6098</v>
      </c>
      <c r="C4013" s="2412">
        <v>2873</v>
      </c>
      <c r="D4013" s="2412">
        <v>462222779.08620101</v>
      </c>
      <c r="E4013" s="2413">
        <v>43487042.048005797</v>
      </c>
      <c r="F4013" s="2414">
        <v>6.8661553522901402</v>
      </c>
      <c r="G4013" s="2415">
        <v>0.608240770057906</v>
      </c>
    </row>
    <row r="4014" spans="1:7" x14ac:dyDescent="0.3">
      <c r="A4014" s="6" t="s">
        <v>983</v>
      </c>
      <c r="B4014" s="6" t="s">
        <v>6108</v>
      </c>
      <c r="C4014" s="2408">
        <v>2988</v>
      </c>
      <c r="D4014" s="2408">
        <v>424325973.31995702</v>
      </c>
      <c r="E4014" s="2409">
        <v>43688623.114209503</v>
      </c>
      <c r="F4014" s="2410">
        <v>6.3032117512391297</v>
      </c>
      <c r="G4014" s="2411">
        <v>0.66761339173636602</v>
      </c>
    </row>
    <row r="4015" spans="1:7" x14ac:dyDescent="0.3">
      <c r="A4015" s="11" t="s">
        <v>968</v>
      </c>
      <c r="B4015" s="11" t="s">
        <v>6099</v>
      </c>
      <c r="C4015" s="2412">
        <v>859</v>
      </c>
      <c r="D4015" s="2412">
        <v>145531172.858769</v>
      </c>
      <c r="E4015" s="2413">
        <v>12856290.9492555</v>
      </c>
      <c r="F4015" s="2414">
        <v>2.1618139275281201</v>
      </c>
      <c r="G4015" s="2415">
        <v>0.19965884736195</v>
      </c>
    </row>
    <row r="4016" spans="1:7" x14ac:dyDescent="0.3">
      <c r="A4016" s="6" t="s">
        <v>970</v>
      </c>
      <c r="B4016" s="6" t="s">
        <v>6100</v>
      </c>
      <c r="C4016" s="2408">
        <v>189</v>
      </c>
      <c r="D4016" s="2408">
        <v>30959669.3225234</v>
      </c>
      <c r="E4016" s="2409">
        <v>5424740.3245191099</v>
      </c>
      <c r="F4016" s="2410">
        <v>0.45989490099174302</v>
      </c>
      <c r="G4016" s="2411">
        <v>8.2528242808018001E-2</v>
      </c>
    </row>
    <row r="4017" spans="1:7" x14ac:dyDescent="0.3">
      <c r="A4017" s="11" t="s">
        <v>991</v>
      </c>
      <c r="B4017" s="11" t="s">
        <v>6103</v>
      </c>
      <c r="C4017" s="2412">
        <v>27</v>
      </c>
      <c r="D4017" s="2412">
        <v>5958665.6162924897</v>
      </c>
      <c r="E4017" s="2413">
        <v>5011561.9554341603</v>
      </c>
      <c r="F4017" s="2414">
        <v>8.8513863152088201E-2</v>
      </c>
      <c r="G4017" s="2415">
        <v>7.4396218176997403E-2</v>
      </c>
    </row>
    <row r="4018" spans="1:7" x14ac:dyDescent="0.3">
      <c r="A4018" s="6" t="s">
        <v>972</v>
      </c>
      <c r="B4018" s="6" t="s">
        <v>6101</v>
      </c>
      <c r="C4018" s="2408">
        <v>40</v>
      </c>
      <c r="D4018" s="2408">
        <v>4797581.6075472599</v>
      </c>
      <c r="E4018" s="2409">
        <v>3581691.00070283</v>
      </c>
      <c r="F4018" s="2410">
        <v>7.1266372241178794E-2</v>
      </c>
      <c r="G4018" s="2411">
        <v>5.3159450176671702E-2</v>
      </c>
    </row>
    <row r="4019" spans="1:7" x14ac:dyDescent="0.3">
      <c r="A4019" s="11" t="s">
        <v>981</v>
      </c>
      <c r="B4019" s="11" t="s">
        <v>6102</v>
      </c>
      <c r="C4019" s="2412">
        <v>1</v>
      </c>
      <c r="D4019" s="2412">
        <v>53245.296445877902</v>
      </c>
      <c r="E4019" s="2413">
        <v>54055.058461911904</v>
      </c>
      <c r="F4019" s="2414">
        <v>7.9093998331042901E-4</v>
      </c>
      <c r="G4019" s="2415">
        <v>8.0319097799210599E-4</v>
      </c>
    </row>
    <row r="4020" spans="1:7" x14ac:dyDescent="0.3">
      <c r="A4020" s="6" t="s">
        <v>960</v>
      </c>
      <c r="B4020" s="6" t="s">
        <v>961</v>
      </c>
      <c r="C4020" s="2408">
        <v>7104</v>
      </c>
      <c r="D4020" s="2408">
        <v>1278530227.38711</v>
      </c>
      <c r="E4020" s="2409">
        <v>30849254.320911601</v>
      </c>
      <c r="F4020" s="2410">
        <v>99.019822239915101</v>
      </c>
      <c r="G4020" s="2411">
        <v>0.19437421759436299</v>
      </c>
    </row>
    <row r="4021" spans="1:7" x14ac:dyDescent="0.3">
      <c r="A4021" s="11" t="s">
        <v>974</v>
      </c>
      <c r="B4021" s="11" t="s">
        <v>975</v>
      </c>
      <c r="C4021" s="2412">
        <v>129</v>
      </c>
      <c r="D4021" s="2412">
        <v>12655919.4526201</v>
      </c>
      <c r="E4021" s="2413">
        <v>2483563.1747395499</v>
      </c>
      <c r="F4021" s="2414">
        <v>0.98017776008488999</v>
      </c>
      <c r="G4021" s="2415">
        <v>0.194374217594357</v>
      </c>
    </row>
    <row r="4022" spans="1:7" x14ac:dyDescent="0.3">
      <c r="A4022" s="6" t="s">
        <v>6269</v>
      </c>
      <c r="B4022" s="6" t="s">
        <v>6270</v>
      </c>
      <c r="C4022" s="2408">
        <v>52643</v>
      </c>
      <c r="D4022" s="2408">
        <v>6731900974.7140503</v>
      </c>
      <c r="E4022" s="2409">
        <v>107191507.179791</v>
      </c>
      <c r="F4022" s="2410">
        <v>83.906616900980694</v>
      </c>
      <c r="G4022" s="2411">
        <v>0.40135852740171502</v>
      </c>
    </row>
    <row r="4023" spans="1:7" x14ac:dyDescent="0.3">
      <c r="A4023" s="11" t="s">
        <v>6269</v>
      </c>
      <c r="B4023" s="11" t="s">
        <v>6271</v>
      </c>
      <c r="C4023" s="2412">
        <v>59876</v>
      </c>
      <c r="D4023" s="2412">
        <v>8023087121.5537796</v>
      </c>
      <c r="E4023" s="2413">
        <v>0</v>
      </c>
      <c r="F4023" s="2414">
        <v>100</v>
      </c>
      <c r="G4023" s="2415">
        <v>0</v>
      </c>
    </row>
    <row r="4024" spans="1:7" x14ac:dyDescent="0.3">
      <c r="A4024" s="3299" t="s">
        <v>770</v>
      </c>
      <c r="B4024" s="3298"/>
      <c r="C4024" s="3298"/>
      <c r="D4024" s="3298"/>
      <c r="E4024" s="3298"/>
      <c r="F4024" s="3298"/>
      <c r="G4024" s="3298"/>
    </row>
    <row r="4025" spans="1:7" x14ac:dyDescent="0.3">
      <c r="A4025" s="11" t="s">
        <v>6275</v>
      </c>
      <c r="B4025" s="11"/>
      <c r="C4025" s="2420">
        <v>112</v>
      </c>
      <c r="D4025" s="2420">
        <v>26277579.663877498</v>
      </c>
      <c r="E4025" s="2421">
        <v>4083009.2888057502</v>
      </c>
      <c r="F4025" s="2422">
        <v>17.378316185854899</v>
      </c>
      <c r="G4025" s="2423">
        <v>1.88269844216356</v>
      </c>
    </row>
    <row r="4026" spans="1:7" x14ac:dyDescent="0.3">
      <c r="A4026" s="6" t="s">
        <v>995</v>
      </c>
      <c r="B4026" s="6"/>
      <c r="C4026" s="2416">
        <v>101</v>
      </c>
      <c r="D4026" s="2416">
        <v>25970692.741293799</v>
      </c>
      <c r="E4026" s="2417">
        <v>5075804.3255692003</v>
      </c>
      <c r="F4026" s="2418">
        <v>17.1753607370586</v>
      </c>
      <c r="G4026" s="2419">
        <v>2.28051702583616</v>
      </c>
    </row>
    <row r="4027" spans="1:7" x14ac:dyDescent="0.3">
      <c r="A4027" s="11" t="s">
        <v>1005</v>
      </c>
      <c r="B4027" s="11"/>
      <c r="C4027" s="2420">
        <v>73</v>
      </c>
      <c r="D4027" s="2420">
        <v>17847541.161195099</v>
      </c>
      <c r="E4027" s="2421">
        <v>3219705.6850460698</v>
      </c>
      <c r="F4027" s="2422">
        <v>11.803226073582101</v>
      </c>
      <c r="G4027" s="2423">
        <v>1.4371105414817</v>
      </c>
    </row>
    <row r="4028" spans="1:7" x14ac:dyDescent="0.3">
      <c r="A4028" s="6" t="s">
        <v>1152</v>
      </c>
      <c r="B4028" s="6"/>
      <c r="C4028" s="2416">
        <v>83</v>
      </c>
      <c r="D4028" s="2416">
        <v>12308415.0126279</v>
      </c>
      <c r="E4028" s="2417">
        <v>3193905.9487310699</v>
      </c>
      <c r="F4028" s="2418">
        <v>8.1400011177669107</v>
      </c>
      <c r="G4028" s="2419">
        <v>2.5978381386170999</v>
      </c>
    </row>
    <row r="4029" spans="1:7" x14ac:dyDescent="0.3">
      <c r="A4029" s="11" t="s">
        <v>1155</v>
      </c>
      <c r="B4029" s="11"/>
      <c r="C4029" s="2420">
        <v>42</v>
      </c>
      <c r="D4029" s="2420">
        <v>9940451.8133011106</v>
      </c>
      <c r="E4029" s="2421">
        <v>1650478.9100585801</v>
      </c>
      <c r="F4029" s="2422">
        <v>6.5739811980960399</v>
      </c>
      <c r="G4029" s="2423">
        <v>0.87557245289971697</v>
      </c>
    </row>
    <row r="4030" spans="1:7" x14ac:dyDescent="0.3">
      <c r="A4030" s="6" t="s">
        <v>6272</v>
      </c>
      <c r="B4030" s="6"/>
      <c r="C4030" s="2416">
        <v>31</v>
      </c>
      <c r="D4030" s="2416">
        <v>9783303.5099563506</v>
      </c>
      <c r="E4030" s="2417">
        <v>1840592.0043464401</v>
      </c>
      <c r="F4030" s="2418">
        <v>6.4700533273207101</v>
      </c>
      <c r="G4030" s="2419">
        <v>1.4089118423612299</v>
      </c>
    </row>
    <row r="4031" spans="1:7" x14ac:dyDescent="0.3">
      <c r="A4031" s="11" t="s">
        <v>1157</v>
      </c>
      <c r="B4031" s="11"/>
      <c r="C4031" s="2420">
        <v>35</v>
      </c>
      <c r="D4031" s="2420">
        <v>8239241.9920791304</v>
      </c>
      <c r="E4031" s="2421">
        <v>987230.84376021195</v>
      </c>
      <c r="F4031" s="2422">
        <v>5.44890946204427</v>
      </c>
      <c r="G4031" s="2423">
        <v>0.57645529332647605</v>
      </c>
    </row>
    <row r="4032" spans="1:7" x14ac:dyDescent="0.3">
      <c r="A4032" s="6" t="s">
        <v>6274</v>
      </c>
      <c r="B4032" s="6"/>
      <c r="C4032" s="2416">
        <v>33</v>
      </c>
      <c r="D4032" s="2416">
        <v>6547179.1971835298</v>
      </c>
      <c r="E4032" s="2417">
        <v>2084307.6704094</v>
      </c>
      <c r="F4032" s="2418">
        <v>4.3298869861486304</v>
      </c>
      <c r="G4032" s="2419">
        <v>1.12775029383522</v>
      </c>
    </row>
    <row r="4033" spans="1:7" x14ac:dyDescent="0.3">
      <c r="A4033" s="11" t="s">
        <v>6273</v>
      </c>
      <c r="B4033" s="11"/>
      <c r="C4033" s="2420">
        <v>19</v>
      </c>
      <c r="D4033" s="2420">
        <v>5406170.8319601398</v>
      </c>
      <c r="E4033" s="2421">
        <v>1321750.89054511</v>
      </c>
      <c r="F4033" s="2422">
        <v>3.5752967843419099</v>
      </c>
      <c r="G4033" s="2423">
        <v>0.76445067636733399</v>
      </c>
    </row>
    <row r="4034" spans="1:7" x14ac:dyDescent="0.3">
      <c r="A4034" s="6" t="s">
        <v>6278</v>
      </c>
      <c r="B4034" s="6"/>
      <c r="C4034" s="2416">
        <v>16</v>
      </c>
      <c r="D4034" s="2416">
        <v>4134902.86759425</v>
      </c>
      <c r="E4034" s="2417">
        <v>817804.21572295495</v>
      </c>
      <c r="F4034" s="2418">
        <v>2.7345611867606801</v>
      </c>
      <c r="G4034" s="2419">
        <v>0.557712870326739</v>
      </c>
    </row>
    <row r="4035" spans="1:7" x14ac:dyDescent="0.3">
      <c r="A4035" s="11" t="s">
        <v>6279</v>
      </c>
      <c r="B4035" s="11"/>
      <c r="C4035" s="2420">
        <v>15</v>
      </c>
      <c r="D4035" s="2420">
        <v>3146131.0435927799</v>
      </c>
      <c r="E4035" s="2421">
        <v>1622720.9203222501</v>
      </c>
      <c r="F4035" s="2422">
        <v>2.0806505293502102</v>
      </c>
      <c r="G4035" s="2423">
        <v>1.01067941623955</v>
      </c>
    </row>
    <row r="4036" spans="1:7" x14ac:dyDescent="0.3">
      <c r="A4036" s="6" t="s">
        <v>6276</v>
      </c>
      <c r="B4036" s="6"/>
      <c r="C4036" s="2416">
        <v>12</v>
      </c>
      <c r="D4036" s="2416">
        <v>3145857.9920610599</v>
      </c>
      <c r="E4036" s="2417">
        <v>1008042.47993492</v>
      </c>
      <c r="F4036" s="2418">
        <v>2.0804699504721702</v>
      </c>
      <c r="G4036" s="2419">
        <v>0.69162355596709202</v>
      </c>
    </row>
    <row r="4037" spans="1:7" x14ac:dyDescent="0.3">
      <c r="A4037" s="11" t="s">
        <v>6277</v>
      </c>
      <c r="B4037" s="11"/>
      <c r="C4037" s="2420">
        <v>12</v>
      </c>
      <c r="D4037" s="2420">
        <v>3111889.4522001399</v>
      </c>
      <c r="E4037" s="2421">
        <v>1585386.7307964901</v>
      </c>
      <c r="F4037" s="2422">
        <v>2.0580053234545499</v>
      </c>
      <c r="G4037" s="2423">
        <v>1.0575871388261</v>
      </c>
    </row>
    <row r="4038" spans="1:7" x14ac:dyDescent="0.3">
      <c r="A4038" s="6" t="s">
        <v>1163</v>
      </c>
      <c r="B4038" s="6"/>
      <c r="C4038" s="2416">
        <v>22</v>
      </c>
      <c r="D4038" s="2416">
        <v>2672013.3681108602</v>
      </c>
      <c r="E4038" s="2417">
        <v>709281.91259957198</v>
      </c>
      <c r="F4038" s="2418">
        <v>1.76709932032643</v>
      </c>
      <c r="G4038" s="2419">
        <v>0.56281578124118903</v>
      </c>
    </row>
    <row r="4039" spans="1:7" x14ac:dyDescent="0.3">
      <c r="A4039" s="11" t="s">
        <v>3032</v>
      </c>
      <c r="B4039" s="11"/>
      <c r="C4039" s="2420">
        <v>11</v>
      </c>
      <c r="D4039" s="2420">
        <v>1659295.78496984</v>
      </c>
      <c r="E4039" s="2421">
        <v>992270.95333557494</v>
      </c>
      <c r="F4039" s="2422">
        <v>1.0973524641883701</v>
      </c>
      <c r="G4039" s="2423">
        <v>0.645539361652535</v>
      </c>
    </row>
    <row r="4040" spans="1:7" x14ac:dyDescent="0.3">
      <c r="A4040" s="6" t="s">
        <v>997</v>
      </c>
      <c r="B4040" s="6"/>
      <c r="C4040" s="2416">
        <v>4</v>
      </c>
      <c r="D4040" s="2416">
        <v>1526703.5023723401</v>
      </c>
      <c r="E4040" s="2417">
        <v>973440.22117406805</v>
      </c>
      <c r="F4040" s="2418">
        <v>1.0096643802682601</v>
      </c>
      <c r="G4040" s="2419">
        <v>0.64060110902418299</v>
      </c>
    </row>
    <row r="4041" spans="1:7" x14ac:dyDescent="0.3">
      <c r="A4041" s="11" t="s">
        <v>1001</v>
      </c>
      <c r="B4041" s="11"/>
      <c r="C4041" s="2420">
        <v>5</v>
      </c>
      <c r="D4041" s="2420">
        <v>1422535.4279209501</v>
      </c>
      <c r="E4041" s="2421">
        <v>780246.06983610895</v>
      </c>
      <c r="F4041" s="2422">
        <v>0.94077425578025697</v>
      </c>
      <c r="G4041" s="2423">
        <v>0.528370053864191</v>
      </c>
    </row>
    <row r="4042" spans="1:7" x14ac:dyDescent="0.3">
      <c r="A4042" s="6" t="s">
        <v>3061</v>
      </c>
      <c r="B4042" s="6"/>
      <c r="C4042" s="2416">
        <v>4</v>
      </c>
      <c r="D4042" s="2416">
        <v>705324.77586708101</v>
      </c>
      <c r="E4042" s="2417">
        <v>490607.02580278</v>
      </c>
      <c r="F4042" s="2418">
        <v>0.46645684745406701</v>
      </c>
      <c r="G4042" s="2419">
        <v>0.33134354391611198</v>
      </c>
    </row>
    <row r="4043" spans="1:7" x14ac:dyDescent="0.3">
      <c r="A4043" s="11" t="s">
        <v>1013</v>
      </c>
      <c r="B4043" s="11"/>
      <c r="C4043" s="2420">
        <v>2</v>
      </c>
      <c r="D4043" s="2420">
        <v>691822.03110565199</v>
      </c>
      <c r="E4043" s="2421">
        <v>657878.16604720301</v>
      </c>
      <c r="F4043" s="2422">
        <v>0.457526992770243</v>
      </c>
      <c r="G4043" s="2423">
        <v>0.43477843908351199</v>
      </c>
    </row>
    <row r="4044" spans="1:7" x14ac:dyDescent="0.3">
      <c r="A4044" s="6" t="s">
        <v>3053</v>
      </c>
      <c r="B4044" s="6"/>
      <c r="C4044" s="2416">
        <v>1</v>
      </c>
      <c r="D4044" s="2416">
        <v>691822.03110565199</v>
      </c>
      <c r="E4044" s="2417">
        <v>657878.16604720301</v>
      </c>
      <c r="F4044" s="2418">
        <v>0.457526992770243</v>
      </c>
      <c r="G4044" s="2419">
        <v>0.43477843908351199</v>
      </c>
    </row>
    <row r="4045" spans="1:7" x14ac:dyDescent="0.3">
      <c r="A4045" s="11" t="s">
        <v>3065</v>
      </c>
      <c r="B4045" s="11"/>
      <c r="C4045" s="2420">
        <v>1</v>
      </c>
      <c r="D4045" s="2420">
        <v>663442.09144964302</v>
      </c>
      <c r="E4045" s="2421">
        <v>658885.221676582</v>
      </c>
      <c r="F4045" s="2422">
        <v>0.43875830969569202</v>
      </c>
      <c r="G4045" s="2423">
        <v>0.44037174400032503</v>
      </c>
    </row>
    <row r="4046" spans="1:7" x14ac:dyDescent="0.3">
      <c r="A4046" s="6" t="s">
        <v>1057</v>
      </c>
      <c r="B4046" s="6"/>
      <c r="C4046" s="2416">
        <v>1</v>
      </c>
      <c r="D4046" s="2416">
        <v>650339.56102024799</v>
      </c>
      <c r="E4046" s="2417">
        <v>648462.60893887805</v>
      </c>
      <c r="F4046" s="2418">
        <v>0.43009313126033399</v>
      </c>
      <c r="G4046" s="2419">
        <v>0.43622614085705502</v>
      </c>
    </row>
    <row r="4047" spans="1:7" x14ac:dyDescent="0.3">
      <c r="A4047" s="11" t="s">
        <v>1009</v>
      </c>
      <c r="B4047" s="11"/>
      <c r="C4047" s="2420">
        <v>3</v>
      </c>
      <c r="D4047" s="2420">
        <v>638208.74003080698</v>
      </c>
      <c r="E4047" s="2421">
        <v>564448.79534637905</v>
      </c>
      <c r="F4047" s="2422">
        <v>0.42207057950918098</v>
      </c>
      <c r="G4047" s="2423">
        <v>0.375487510960132</v>
      </c>
    </row>
    <row r="4048" spans="1:7" x14ac:dyDescent="0.3">
      <c r="A4048" s="6" t="s">
        <v>6280</v>
      </c>
      <c r="B4048" s="6"/>
      <c r="C4048" s="2416">
        <v>3</v>
      </c>
      <c r="D4048" s="2416">
        <v>612329.93603511597</v>
      </c>
      <c r="E4048" s="2417">
        <v>417851.79600100999</v>
      </c>
      <c r="F4048" s="2418">
        <v>0.40495598813122802</v>
      </c>
      <c r="G4048" s="2419">
        <v>0.274234636398132</v>
      </c>
    </row>
    <row r="4049" spans="1:7" x14ac:dyDescent="0.3">
      <c r="A4049" s="11" t="s">
        <v>999</v>
      </c>
      <c r="B4049" s="11"/>
      <c r="C4049" s="2420">
        <v>4</v>
      </c>
      <c r="D4049" s="2420">
        <v>549913.41193612304</v>
      </c>
      <c r="E4049" s="2421">
        <v>367423.70077444799</v>
      </c>
      <c r="F4049" s="2422">
        <v>0.36367767768982101</v>
      </c>
      <c r="G4049" s="2423">
        <v>0.24319548930620499</v>
      </c>
    </row>
    <row r="4050" spans="1:7" x14ac:dyDescent="0.3">
      <c r="A4050" s="6" t="s">
        <v>1003</v>
      </c>
      <c r="B4050" s="6"/>
      <c r="C4050" s="2416">
        <v>2</v>
      </c>
      <c r="D4050" s="2416">
        <v>536352.46832037903</v>
      </c>
      <c r="E4050" s="2417">
        <v>539419.55515268794</v>
      </c>
      <c r="F4050" s="2418">
        <v>0.35470933399350602</v>
      </c>
      <c r="G4050" s="2419">
        <v>0.35826778789746799</v>
      </c>
    </row>
    <row r="4051" spans="1:7" x14ac:dyDescent="0.3">
      <c r="A4051" s="11" t="s">
        <v>1047</v>
      </c>
      <c r="B4051" s="11"/>
      <c r="C4051" s="2420">
        <v>2</v>
      </c>
      <c r="D4051" s="2420">
        <v>522306.3300205</v>
      </c>
      <c r="E4051" s="2421">
        <v>434856.99057599198</v>
      </c>
      <c r="F4051" s="2422">
        <v>0.34542011346072199</v>
      </c>
      <c r="G4051" s="2423">
        <v>0.28626955397164</v>
      </c>
    </row>
    <row r="4052" spans="1:7" x14ac:dyDescent="0.3">
      <c r="A4052" s="6" t="s">
        <v>1051</v>
      </c>
      <c r="B4052" s="6"/>
      <c r="C4052" s="2416">
        <v>1</v>
      </c>
      <c r="D4052" s="2416">
        <v>466936.625827702</v>
      </c>
      <c r="E4052" s="2417">
        <v>478990.75878663501</v>
      </c>
      <c r="F4052" s="2418">
        <v>0.30880212052195699</v>
      </c>
      <c r="G4052" s="2419">
        <v>0.31677275386516501</v>
      </c>
    </row>
    <row r="4053" spans="1:7" x14ac:dyDescent="0.3">
      <c r="A4053" s="11" t="s">
        <v>3047</v>
      </c>
      <c r="B4053" s="11"/>
      <c r="C4053" s="2420">
        <v>2</v>
      </c>
      <c r="D4053" s="2420">
        <v>466936.625827702</v>
      </c>
      <c r="E4053" s="2421">
        <v>478990.75878663501</v>
      </c>
      <c r="F4053" s="2422">
        <v>0.30880212052195699</v>
      </c>
      <c r="G4053" s="2423">
        <v>0.31677275386516501</v>
      </c>
    </row>
    <row r="4054" spans="1:7" x14ac:dyDescent="0.3">
      <c r="A4054" s="6" t="s">
        <v>1007</v>
      </c>
      <c r="B4054" s="6"/>
      <c r="C4054" s="2416">
        <v>5</v>
      </c>
      <c r="D4054" s="2416">
        <v>354478.10825459199</v>
      </c>
      <c r="E4054" s="2417">
        <v>232947.64926341001</v>
      </c>
      <c r="F4054" s="2418">
        <v>0.234429225408464</v>
      </c>
      <c r="G4054" s="2419">
        <v>0.149607739440271</v>
      </c>
    </row>
    <row r="4055" spans="1:7" x14ac:dyDescent="0.3">
      <c r="A4055" s="11" t="s">
        <v>1159</v>
      </c>
      <c r="B4055" s="11"/>
      <c r="C4055" s="2420">
        <v>1</v>
      </c>
      <c r="D4055" s="2420">
        <v>264505.47507098003</v>
      </c>
      <c r="E4055" s="2421">
        <v>267185.34593818098</v>
      </c>
      <c r="F4055" s="2422">
        <v>0.17492706091923901</v>
      </c>
      <c r="G4055" s="2423">
        <v>0.17842231205334799</v>
      </c>
    </row>
    <row r="4056" spans="1:7" x14ac:dyDescent="0.3">
      <c r="A4056" s="6" t="s">
        <v>3040</v>
      </c>
      <c r="B4056" s="6"/>
      <c r="C4056" s="2416">
        <v>1</v>
      </c>
      <c r="D4056" s="2416">
        <v>116332.654333945</v>
      </c>
      <c r="E4056" s="2417">
        <v>117507.63753260901</v>
      </c>
      <c r="F4056" s="2418">
        <v>7.6935002219178802E-2</v>
      </c>
      <c r="G4056" s="2419">
        <v>7.8221836111276602E-2</v>
      </c>
    </row>
    <row r="4057" spans="1:7" x14ac:dyDescent="0.3">
      <c r="A4057" s="11" t="s">
        <v>1011</v>
      </c>
      <c r="B4057" s="11"/>
      <c r="C4057" s="2420">
        <v>1</v>
      </c>
      <c r="D4057" s="2420">
        <v>84492.589519641697</v>
      </c>
      <c r="E4057" s="2421">
        <v>85132.669281953698</v>
      </c>
      <c r="F4057" s="2422">
        <v>5.5878012922645201E-2</v>
      </c>
      <c r="G4057" s="2423">
        <v>5.6468482419024801E-2</v>
      </c>
    </row>
    <row r="4058" spans="1:7" x14ac:dyDescent="0.3">
      <c r="A4058" s="6" t="s">
        <v>6282</v>
      </c>
      <c r="B4058" s="6"/>
      <c r="C4058" s="2416">
        <v>1</v>
      </c>
      <c r="D4058" s="2416">
        <v>53560.057452589499</v>
      </c>
      <c r="E4058" s="2417">
        <v>54625.430750744599</v>
      </c>
      <c r="F4058" s="2418">
        <v>3.54212079365573E-2</v>
      </c>
      <c r="G4058" s="2419">
        <v>3.5849918214088797E-2</v>
      </c>
    </row>
    <row r="4059" spans="1:7" x14ac:dyDescent="0.3">
      <c r="A4059" s="11" t="s">
        <v>960</v>
      </c>
      <c r="B4059" s="11" t="s">
        <v>961</v>
      </c>
      <c r="C4059" s="2420">
        <v>59209</v>
      </c>
      <c r="D4059" s="2420">
        <v>7870705998.1156597</v>
      </c>
      <c r="E4059" s="2421">
        <v>107736659.61807901</v>
      </c>
      <c r="F4059" s="2422">
        <v>99.9851101027471</v>
      </c>
      <c r="G4059" s="2423">
        <v>9.2935330653948801E-3</v>
      </c>
    </row>
    <row r="4060" spans="1:7" x14ac:dyDescent="0.3">
      <c r="A4060" s="6" t="s">
        <v>956</v>
      </c>
      <c r="B4060" s="6" t="s">
        <v>1025</v>
      </c>
      <c r="C4060" s="2416">
        <v>4</v>
      </c>
      <c r="D4060" s="2416">
        <v>1087024.3674156801</v>
      </c>
      <c r="E4060" s="2417">
        <v>721175.81640053296</v>
      </c>
      <c r="F4060" s="2418">
        <v>1.38089583179001E-2</v>
      </c>
      <c r="G4060" s="2419">
        <v>9.1538917208455195E-3</v>
      </c>
    </row>
    <row r="4061" spans="1:7" x14ac:dyDescent="0.3">
      <c r="A4061" s="11" t="s">
        <v>958</v>
      </c>
      <c r="B4061" s="11" t="s">
        <v>1019</v>
      </c>
      <c r="C4061" s="2420">
        <v>1</v>
      </c>
      <c r="D4061" s="2420">
        <v>85090.195436556998</v>
      </c>
      <c r="E4061" s="2421">
        <v>85046.203847628305</v>
      </c>
      <c r="F4061" s="2422">
        <v>1.0809389350110699E-3</v>
      </c>
      <c r="G4061" s="2423">
        <v>1.0811319416647201E-3</v>
      </c>
    </row>
    <row r="4062" spans="1:7" x14ac:dyDescent="0.3">
      <c r="A4062" s="6" t="s">
        <v>6269</v>
      </c>
      <c r="B4062" s="6" t="s">
        <v>6270</v>
      </c>
      <c r="C4062" s="2416">
        <v>661</v>
      </c>
      <c r="D4062" s="2416">
        <v>151209008.87547499</v>
      </c>
      <c r="E4062" s="2417">
        <v>13839471.077204101</v>
      </c>
      <c r="F4062" s="2418">
        <v>1.8846736497383001</v>
      </c>
      <c r="G4062" s="2419">
        <v>0.16946177033627799</v>
      </c>
    </row>
    <row r="4063" spans="1:7" x14ac:dyDescent="0.3">
      <c r="A4063" s="11" t="s">
        <v>6269</v>
      </c>
      <c r="B4063" s="11" t="s">
        <v>6271</v>
      </c>
      <c r="C4063" s="2420">
        <v>59875</v>
      </c>
      <c r="D4063" s="2420">
        <v>8023087121.5539904</v>
      </c>
      <c r="E4063" s="2421">
        <v>0</v>
      </c>
      <c r="F4063" s="2422">
        <v>100</v>
      </c>
      <c r="G4063" s="2423">
        <v>0</v>
      </c>
    </row>
    <row r="4064" spans="1:7" x14ac:dyDescent="0.3">
      <c r="A4064" s="3299" t="s">
        <v>374</v>
      </c>
      <c r="B4064" s="3298"/>
      <c r="C4064" s="3298"/>
      <c r="D4064" s="3298"/>
      <c r="E4064" s="3298"/>
      <c r="F4064" s="3298"/>
      <c r="G4064" s="3298"/>
    </row>
    <row r="4065" spans="1:7" x14ac:dyDescent="0.3">
      <c r="A4065" s="11" t="s">
        <v>1152</v>
      </c>
      <c r="B4065" s="11"/>
      <c r="C4065" s="2428">
        <v>471</v>
      </c>
      <c r="D4065" s="2428">
        <v>101520153.60157301</v>
      </c>
      <c r="E4065" s="2429">
        <v>11038881.695490601</v>
      </c>
      <c r="F4065" s="2430">
        <v>66.659749068882505</v>
      </c>
      <c r="G4065" s="2431">
        <v>3.3516774306535502</v>
      </c>
    </row>
    <row r="4066" spans="1:7" x14ac:dyDescent="0.3">
      <c r="A4066" s="6" t="s">
        <v>6272</v>
      </c>
      <c r="B4066" s="6"/>
      <c r="C4066" s="2424">
        <v>122</v>
      </c>
      <c r="D4066" s="2424">
        <v>27086767.6781785</v>
      </c>
      <c r="E4066" s="2425">
        <v>4528471.00003538</v>
      </c>
      <c r="F4066" s="2426">
        <v>17.785602882367201</v>
      </c>
      <c r="G4066" s="2427">
        <v>1.9503835612982701</v>
      </c>
    </row>
    <row r="4067" spans="1:7" x14ac:dyDescent="0.3">
      <c r="A4067" s="11" t="s">
        <v>6274</v>
      </c>
      <c r="B4067" s="11"/>
      <c r="C4067" s="2428">
        <v>50</v>
      </c>
      <c r="D4067" s="2428">
        <v>19502154.163966201</v>
      </c>
      <c r="E4067" s="2429">
        <v>4410239.8426712602</v>
      </c>
      <c r="F4067" s="2430">
        <v>12.805424900898799</v>
      </c>
      <c r="G4067" s="2431">
        <v>3.11848938366869</v>
      </c>
    </row>
    <row r="4068" spans="1:7" x14ac:dyDescent="0.3">
      <c r="A4068" s="6" t="s">
        <v>6273</v>
      </c>
      <c r="B4068" s="6"/>
      <c r="C4068" s="2424">
        <v>10</v>
      </c>
      <c r="D4068" s="2424">
        <v>2457422.3023560899</v>
      </c>
      <c r="E4068" s="2425">
        <v>768803.17765667604</v>
      </c>
      <c r="F4068" s="2426">
        <v>1.61358260621066</v>
      </c>
      <c r="G4068" s="2427">
        <v>0.53291317570330898</v>
      </c>
    </row>
    <row r="4069" spans="1:7" x14ac:dyDescent="0.3">
      <c r="A4069" s="11" t="s">
        <v>6276</v>
      </c>
      <c r="B4069" s="11"/>
      <c r="C4069" s="2428">
        <v>8</v>
      </c>
      <c r="D4069" s="2428">
        <v>1064184.5521124599</v>
      </c>
      <c r="E4069" s="2429">
        <v>530546.48424103705</v>
      </c>
      <c r="F4069" s="2430">
        <v>0.69876051887394197</v>
      </c>
      <c r="G4069" s="2431">
        <v>0.33997739840580499</v>
      </c>
    </row>
    <row r="4070" spans="1:7" x14ac:dyDescent="0.3">
      <c r="A4070" s="6" t="s">
        <v>6277</v>
      </c>
      <c r="B4070" s="6"/>
      <c r="C4070" s="2424">
        <v>1</v>
      </c>
      <c r="D4070" s="2424">
        <v>201947.024998059</v>
      </c>
      <c r="E4070" s="2425">
        <v>203648.25348851201</v>
      </c>
      <c r="F4070" s="2426">
        <v>0.13260163163670999</v>
      </c>
      <c r="G4070" s="2427">
        <v>0.133034315050234</v>
      </c>
    </row>
    <row r="4071" spans="1:7" x14ac:dyDescent="0.3">
      <c r="A4071" s="11" t="s">
        <v>6279</v>
      </c>
      <c r="B4071" s="11"/>
      <c r="C4071" s="2428">
        <v>1</v>
      </c>
      <c r="D4071" s="2428">
        <v>201947.024998059</v>
      </c>
      <c r="E4071" s="2429">
        <v>203648.25348851201</v>
      </c>
      <c r="F4071" s="2430">
        <v>0.13260163163670999</v>
      </c>
      <c r="G4071" s="2431">
        <v>0.133034315050234</v>
      </c>
    </row>
    <row r="4072" spans="1:7" x14ac:dyDescent="0.3">
      <c r="A4072" s="6" t="s">
        <v>995</v>
      </c>
      <c r="B4072" s="6"/>
      <c r="C4072" s="2424">
        <v>2</v>
      </c>
      <c r="D4072" s="2424">
        <v>145124.24037462499</v>
      </c>
      <c r="E4072" s="2425">
        <v>144907.82803514399</v>
      </c>
      <c r="F4072" s="2426">
        <v>9.5290886626818505E-2</v>
      </c>
      <c r="G4072" s="2427">
        <v>9.5819085447438904E-2</v>
      </c>
    </row>
    <row r="4073" spans="1:7" x14ac:dyDescent="0.3">
      <c r="A4073" s="11" t="s">
        <v>6275</v>
      </c>
      <c r="B4073" s="11"/>
      <c r="C4073" s="2428">
        <v>1</v>
      </c>
      <c r="D4073" s="2428">
        <v>116332.654333945</v>
      </c>
      <c r="E4073" s="2429">
        <v>117507.63753260901</v>
      </c>
      <c r="F4073" s="2430">
        <v>7.6385872866702106E-2</v>
      </c>
      <c r="G4073" s="2431">
        <v>7.7651545564740604E-2</v>
      </c>
    </row>
    <row r="4074" spans="1:7" x14ac:dyDescent="0.3">
      <c r="A4074" s="6" t="s">
        <v>960</v>
      </c>
      <c r="B4074" s="6" t="s">
        <v>961</v>
      </c>
      <c r="C4074" s="2424">
        <v>59209</v>
      </c>
      <c r="D4074" s="2424">
        <v>7870705998.1156597</v>
      </c>
      <c r="E4074" s="2425">
        <v>107736659.61807901</v>
      </c>
      <c r="F4074" s="2426">
        <v>99.998918911778006</v>
      </c>
      <c r="G4074" s="2427">
        <v>1.08128049147015E-3</v>
      </c>
    </row>
    <row r="4075" spans="1:7" x14ac:dyDescent="0.3">
      <c r="A4075" s="11" t="s">
        <v>958</v>
      </c>
      <c r="B4075" s="11" t="s">
        <v>1019</v>
      </c>
      <c r="C4075" s="2428">
        <v>1</v>
      </c>
      <c r="D4075" s="2428">
        <v>85090.195436556998</v>
      </c>
      <c r="E4075" s="2429">
        <v>85046.203847628305</v>
      </c>
      <c r="F4075" s="2430">
        <v>1.08108822203303E-3</v>
      </c>
      <c r="G4075" s="2431">
        <v>1.0812804914699201E-3</v>
      </c>
    </row>
    <row r="4076" spans="1:7" x14ac:dyDescent="0.3">
      <c r="A4076" s="6" t="s">
        <v>6269</v>
      </c>
      <c r="B4076" s="6" t="s">
        <v>6270</v>
      </c>
      <c r="C4076" s="2424">
        <v>666</v>
      </c>
      <c r="D4076" s="2424">
        <v>152296033.24289101</v>
      </c>
      <c r="E4076" s="2425">
        <v>13787839.883731199</v>
      </c>
      <c r="F4076" s="2426">
        <v>1.8982223542574801</v>
      </c>
      <c r="G4076" s="2427">
        <v>0.168773556304044</v>
      </c>
    </row>
    <row r="4077" spans="1:7" x14ac:dyDescent="0.3">
      <c r="A4077" s="11" t="s">
        <v>6269</v>
      </c>
      <c r="B4077" s="11" t="s">
        <v>6271</v>
      </c>
      <c r="C4077" s="2428">
        <v>59876</v>
      </c>
      <c r="D4077" s="2428">
        <v>8023087121.5539904</v>
      </c>
      <c r="E4077" s="2429">
        <v>0</v>
      </c>
      <c r="F4077" s="2430">
        <v>100</v>
      </c>
      <c r="G4077" s="2431">
        <v>0</v>
      </c>
    </row>
    <row r="4078" spans="1:7" x14ac:dyDescent="0.3">
      <c r="A4078" s="3299" t="s">
        <v>660</v>
      </c>
      <c r="B4078" s="3298"/>
      <c r="C4078" s="3298"/>
      <c r="D4078" s="3298"/>
      <c r="E4078" s="3298"/>
      <c r="F4078" s="3298"/>
      <c r="G4078" s="3298"/>
    </row>
    <row r="4079" spans="1:7" x14ac:dyDescent="0.3">
      <c r="A4079" s="11" t="s">
        <v>6275</v>
      </c>
      <c r="B4079" s="11"/>
      <c r="C4079" s="2436">
        <v>127</v>
      </c>
      <c r="D4079" s="2436">
        <v>28182999.529860299</v>
      </c>
      <c r="E4079" s="2437">
        <v>5070274.0451453403</v>
      </c>
      <c r="F4079" s="2438">
        <v>18.883744824771501</v>
      </c>
      <c r="G4079" s="2439">
        <v>2.7670220911357899</v>
      </c>
    </row>
    <row r="4080" spans="1:7" x14ac:dyDescent="0.3">
      <c r="A4080" s="6" t="s">
        <v>995</v>
      </c>
      <c r="B4080" s="6"/>
      <c r="C4080" s="2432">
        <v>83</v>
      </c>
      <c r="D4080" s="2432">
        <v>20453718.284650601</v>
      </c>
      <c r="E4080" s="2433">
        <v>1534293.4209712101</v>
      </c>
      <c r="F4080" s="2434">
        <v>13.704815074629501</v>
      </c>
      <c r="G4080" s="2435">
        <v>1.1472286855471701</v>
      </c>
    </row>
    <row r="4081" spans="1:7" x14ac:dyDescent="0.3">
      <c r="A4081" s="11" t="s">
        <v>1005</v>
      </c>
      <c r="B4081" s="11"/>
      <c r="C4081" s="2436">
        <v>67</v>
      </c>
      <c r="D4081" s="2436">
        <v>15338500.9106586</v>
      </c>
      <c r="E4081" s="2437">
        <v>3124130.6455184398</v>
      </c>
      <c r="F4081" s="2438">
        <v>10.2774134060683</v>
      </c>
      <c r="G4081" s="2439">
        <v>1.91915419848774</v>
      </c>
    </row>
    <row r="4082" spans="1:7" x14ac:dyDescent="0.3">
      <c r="A4082" s="6" t="s">
        <v>6273</v>
      </c>
      <c r="B4082" s="6"/>
      <c r="C4082" s="2432">
        <v>42</v>
      </c>
      <c r="D4082" s="2432">
        <v>9265711.8670683708</v>
      </c>
      <c r="E4082" s="2433">
        <v>2030922.2232768999</v>
      </c>
      <c r="F4082" s="2434">
        <v>6.2084001503172797</v>
      </c>
      <c r="G4082" s="2435">
        <v>1.3525762738442599</v>
      </c>
    </row>
    <row r="4083" spans="1:7" x14ac:dyDescent="0.3">
      <c r="A4083" s="11" t="s">
        <v>1152</v>
      </c>
      <c r="B4083" s="11"/>
      <c r="C4083" s="2436">
        <v>55</v>
      </c>
      <c r="D4083" s="2436">
        <v>8735845.8561790101</v>
      </c>
      <c r="E4083" s="2437">
        <v>2188181.6237426498</v>
      </c>
      <c r="F4083" s="2438">
        <v>5.8533685813619298</v>
      </c>
      <c r="G4083" s="2439">
        <v>1.6663330052268399</v>
      </c>
    </row>
    <row r="4084" spans="1:7" x14ac:dyDescent="0.3">
      <c r="A4084" s="6" t="s">
        <v>6272</v>
      </c>
      <c r="B4084" s="6"/>
      <c r="C4084" s="2432">
        <v>55</v>
      </c>
      <c r="D4084" s="2432">
        <v>8643871.4773931205</v>
      </c>
      <c r="E4084" s="2433">
        <v>1901146.5771053301</v>
      </c>
      <c r="F4084" s="2434">
        <v>5.7917420430805997</v>
      </c>
      <c r="G4084" s="2435">
        <v>1.2302283052116401</v>
      </c>
    </row>
    <row r="4085" spans="1:7" x14ac:dyDescent="0.3">
      <c r="A4085" s="11" t="s">
        <v>6274</v>
      </c>
      <c r="B4085" s="11"/>
      <c r="C4085" s="2436">
        <v>45</v>
      </c>
      <c r="D4085" s="2436">
        <v>8500098.3716219105</v>
      </c>
      <c r="E4085" s="2437">
        <v>1459059.87079193</v>
      </c>
      <c r="F4085" s="2438">
        <v>5.6954082713977199</v>
      </c>
      <c r="G4085" s="2439">
        <v>0.96391696884318201</v>
      </c>
    </row>
    <row r="4086" spans="1:7" x14ac:dyDescent="0.3">
      <c r="A4086" s="6" t="s">
        <v>1157</v>
      </c>
      <c r="B4086" s="6"/>
      <c r="C4086" s="2432">
        <v>23</v>
      </c>
      <c r="D4086" s="2432">
        <v>6769319.9922532197</v>
      </c>
      <c r="E4086" s="2433">
        <v>2230670.56655765</v>
      </c>
      <c r="F4086" s="2434">
        <v>4.5357170458558302</v>
      </c>
      <c r="G4086" s="2435">
        <v>1.4039763172233899</v>
      </c>
    </row>
    <row r="4087" spans="1:7" x14ac:dyDescent="0.3">
      <c r="A4087" s="11" t="s">
        <v>1155</v>
      </c>
      <c r="B4087" s="11"/>
      <c r="C4087" s="2436">
        <v>27</v>
      </c>
      <c r="D4087" s="2436">
        <v>6665604.0986532904</v>
      </c>
      <c r="E4087" s="2437">
        <v>1925964.37444028</v>
      </c>
      <c r="F4087" s="2438">
        <v>4.46622321973065</v>
      </c>
      <c r="G4087" s="2439">
        <v>1.2736423300697799</v>
      </c>
    </row>
    <row r="4088" spans="1:7" x14ac:dyDescent="0.3">
      <c r="A4088" s="6" t="s">
        <v>6278</v>
      </c>
      <c r="B4088" s="6"/>
      <c r="C4088" s="2432">
        <v>16</v>
      </c>
      <c r="D4088" s="2432">
        <v>5852961.9962936305</v>
      </c>
      <c r="E4088" s="2433">
        <v>4958630.90345689</v>
      </c>
      <c r="F4088" s="2434">
        <v>3.9217202799861801</v>
      </c>
      <c r="G4088" s="2435">
        <v>3.3005129306973799</v>
      </c>
    </row>
    <row r="4089" spans="1:7" x14ac:dyDescent="0.3">
      <c r="A4089" s="11" t="s">
        <v>6279</v>
      </c>
      <c r="B4089" s="11"/>
      <c r="C4089" s="2436">
        <v>15</v>
      </c>
      <c r="D4089" s="2436">
        <v>3677261.4527087002</v>
      </c>
      <c r="E4089" s="2437">
        <v>1644482.3712738999</v>
      </c>
      <c r="F4089" s="2438">
        <v>2.4639132840827198</v>
      </c>
      <c r="G4089" s="2439">
        <v>0.99789150318076303</v>
      </c>
    </row>
    <row r="4090" spans="1:7" x14ac:dyDescent="0.3">
      <c r="A4090" s="6" t="s">
        <v>3032</v>
      </c>
      <c r="B4090" s="6"/>
      <c r="C4090" s="2432">
        <v>8</v>
      </c>
      <c r="D4090" s="2432">
        <v>3533562.8134200098</v>
      </c>
      <c r="E4090" s="2433">
        <v>1979769.9688085499</v>
      </c>
      <c r="F4090" s="2434">
        <v>2.3676294079424398</v>
      </c>
      <c r="G4090" s="2435">
        <v>1.2481887021482001</v>
      </c>
    </row>
    <row r="4091" spans="1:7" x14ac:dyDescent="0.3">
      <c r="A4091" s="11" t="s">
        <v>6277</v>
      </c>
      <c r="B4091" s="11"/>
      <c r="C4091" s="2436">
        <v>12</v>
      </c>
      <c r="D4091" s="2436">
        <v>3475383.5132161202</v>
      </c>
      <c r="E4091" s="2437">
        <v>1158457.9637158201</v>
      </c>
      <c r="F4091" s="2438">
        <v>2.3286469334911302</v>
      </c>
      <c r="G4091" s="2439">
        <v>0.83129038592717996</v>
      </c>
    </row>
    <row r="4092" spans="1:7" x14ac:dyDescent="0.3">
      <c r="A4092" s="6" t="s">
        <v>3061</v>
      </c>
      <c r="B4092" s="6"/>
      <c r="C4092" s="2432">
        <v>8</v>
      </c>
      <c r="D4092" s="2432">
        <v>2591807.2294108602</v>
      </c>
      <c r="E4092" s="2433">
        <v>1158497.58082655</v>
      </c>
      <c r="F4092" s="2434">
        <v>1.73661523512914</v>
      </c>
      <c r="G4092" s="2435">
        <v>0.85112025283850701</v>
      </c>
    </row>
    <row r="4093" spans="1:7" x14ac:dyDescent="0.3">
      <c r="A4093" s="11" t="s">
        <v>3047</v>
      </c>
      <c r="B4093" s="11"/>
      <c r="C4093" s="2436">
        <v>7</v>
      </c>
      <c r="D4093" s="2436">
        <v>2458609.9117479799</v>
      </c>
      <c r="E4093" s="2437">
        <v>1016097.1002869901</v>
      </c>
      <c r="F4093" s="2438">
        <v>1.6473676674447699</v>
      </c>
      <c r="G4093" s="2439">
        <v>0.64963683425713603</v>
      </c>
    </row>
    <row r="4094" spans="1:7" x14ac:dyDescent="0.3">
      <c r="A4094" s="6" t="s">
        <v>6276</v>
      </c>
      <c r="B4094" s="6"/>
      <c r="C4094" s="2432">
        <v>11</v>
      </c>
      <c r="D4094" s="2432">
        <v>1918243.3413905399</v>
      </c>
      <c r="E4094" s="2433">
        <v>1160310.41519811</v>
      </c>
      <c r="F4094" s="2434">
        <v>1.28530030070988</v>
      </c>
      <c r="G4094" s="2435">
        <v>0.73285012959699203</v>
      </c>
    </row>
    <row r="4095" spans="1:7" x14ac:dyDescent="0.3">
      <c r="A4095" s="11" t="s">
        <v>1011</v>
      </c>
      <c r="B4095" s="11"/>
      <c r="C4095" s="2436">
        <v>4</v>
      </c>
      <c r="D4095" s="2436">
        <v>1857628.9838589099</v>
      </c>
      <c r="E4095" s="2437">
        <v>876264.58211179101</v>
      </c>
      <c r="F4095" s="2438">
        <v>1.2446862397710601</v>
      </c>
      <c r="G4095" s="2439">
        <v>0.63268063681857201</v>
      </c>
    </row>
    <row r="4096" spans="1:7" x14ac:dyDescent="0.3">
      <c r="A4096" s="6" t="s">
        <v>6280</v>
      </c>
      <c r="B4096" s="6"/>
      <c r="C4096" s="2432">
        <v>7</v>
      </c>
      <c r="D4096" s="2432">
        <v>1691909.76388899</v>
      </c>
      <c r="E4096" s="2433">
        <v>851249.93398399802</v>
      </c>
      <c r="F4096" s="2434">
        <v>1.1336476876412001</v>
      </c>
      <c r="G4096" s="2435">
        <v>0.55063570225250202</v>
      </c>
    </row>
    <row r="4097" spans="1:7" x14ac:dyDescent="0.3">
      <c r="A4097" s="11" t="s">
        <v>1003</v>
      </c>
      <c r="B4097" s="11"/>
      <c r="C4097" s="2436">
        <v>5</v>
      </c>
      <c r="D4097" s="2436">
        <v>1575761.17815274</v>
      </c>
      <c r="E4097" s="2437">
        <v>1072159.65153785</v>
      </c>
      <c r="F4097" s="2438">
        <v>1.0558234570273699</v>
      </c>
      <c r="G4097" s="2439">
        <v>0.69541817408752604</v>
      </c>
    </row>
    <row r="4098" spans="1:7" x14ac:dyDescent="0.3">
      <c r="A4098" s="6" t="s">
        <v>1159</v>
      </c>
      <c r="B4098" s="6"/>
      <c r="C4098" s="2432">
        <v>5</v>
      </c>
      <c r="D4098" s="2432">
        <v>1321153.3553078601</v>
      </c>
      <c r="E4098" s="2433">
        <v>582319.36522743397</v>
      </c>
      <c r="F4098" s="2434">
        <v>0.88522596076372995</v>
      </c>
      <c r="G4098" s="2435">
        <v>0.40758935807767199</v>
      </c>
    </row>
    <row r="4099" spans="1:7" x14ac:dyDescent="0.3">
      <c r="A4099" s="11" t="s">
        <v>1051</v>
      </c>
      <c r="B4099" s="11"/>
      <c r="C4099" s="2436">
        <v>3</v>
      </c>
      <c r="D4099" s="2436">
        <v>1022750.1056187199</v>
      </c>
      <c r="E4099" s="2437">
        <v>907002.33412424196</v>
      </c>
      <c r="F4099" s="2438">
        <v>0.68528376454568896</v>
      </c>
      <c r="G4099" s="2439">
        <v>0.60864835354124402</v>
      </c>
    </row>
    <row r="4100" spans="1:7" x14ac:dyDescent="0.3">
      <c r="A4100" s="6" t="s">
        <v>1163</v>
      </c>
      <c r="B4100" s="6"/>
      <c r="C4100" s="2432">
        <v>4</v>
      </c>
      <c r="D4100" s="2432">
        <v>792358.75104502903</v>
      </c>
      <c r="E4100" s="2433">
        <v>487944.36314512702</v>
      </c>
      <c r="F4100" s="2434">
        <v>0.530912277401694</v>
      </c>
      <c r="G4100" s="2435">
        <v>0.31808550726849699</v>
      </c>
    </row>
    <row r="4101" spans="1:7" x14ac:dyDescent="0.3">
      <c r="A4101" s="11" t="s">
        <v>1161</v>
      </c>
      <c r="B4101" s="11"/>
      <c r="C4101" s="2436">
        <v>4</v>
      </c>
      <c r="D4101" s="2436">
        <v>713942.95256636804</v>
      </c>
      <c r="E4101" s="2437">
        <v>398494.76984841801</v>
      </c>
      <c r="F4101" s="2438">
        <v>0.47837053403144603</v>
      </c>
      <c r="G4101" s="2439">
        <v>0.25872226722665498</v>
      </c>
    </row>
    <row r="4102" spans="1:7" x14ac:dyDescent="0.3">
      <c r="A4102" s="6" t="s">
        <v>3075</v>
      </c>
      <c r="B4102" s="6"/>
      <c r="C4102" s="2432">
        <v>1</v>
      </c>
      <c r="D4102" s="2432">
        <v>571171.05402933096</v>
      </c>
      <c r="E4102" s="2433">
        <v>581726.62493660999</v>
      </c>
      <c r="F4102" s="2434">
        <v>0.38270761152154598</v>
      </c>
      <c r="G4102" s="2435">
        <v>0.38763732685841701</v>
      </c>
    </row>
    <row r="4103" spans="1:7" x14ac:dyDescent="0.3">
      <c r="A4103" s="11" t="s">
        <v>1009</v>
      </c>
      <c r="B4103" s="11"/>
      <c r="C4103" s="2436">
        <v>1</v>
      </c>
      <c r="D4103" s="2436">
        <v>557353.30186415697</v>
      </c>
      <c r="E4103" s="2437">
        <v>562886.02626749</v>
      </c>
      <c r="F4103" s="2438">
        <v>0.37344916102685599</v>
      </c>
      <c r="G4103" s="2439">
        <v>0.37809580386494601</v>
      </c>
    </row>
    <row r="4104" spans="1:7" x14ac:dyDescent="0.3">
      <c r="A4104" s="6" t="s">
        <v>1057</v>
      </c>
      <c r="B4104" s="6"/>
      <c r="C4104" s="2432">
        <v>1</v>
      </c>
      <c r="D4104" s="2432">
        <v>531654.96849116904</v>
      </c>
      <c r="E4104" s="2433">
        <v>534659.83077164995</v>
      </c>
      <c r="F4104" s="2434">
        <v>0.35623024260324199</v>
      </c>
      <c r="G4104" s="2435">
        <v>0.35773401989724501</v>
      </c>
    </row>
    <row r="4105" spans="1:7" x14ac:dyDescent="0.3">
      <c r="A4105" s="11" t="s">
        <v>1061</v>
      </c>
      <c r="B4105" s="11"/>
      <c r="C4105" s="2436">
        <v>1</v>
      </c>
      <c r="D4105" s="2436">
        <v>531654.96849116904</v>
      </c>
      <c r="E4105" s="2437">
        <v>534659.83077164995</v>
      </c>
      <c r="F4105" s="2438">
        <v>0.35623024260324199</v>
      </c>
      <c r="G4105" s="2439">
        <v>0.35773401989724501</v>
      </c>
    </row>
    <row r="4106" spans="1:7" x14ac:dyDescent="0.3">
      <c r="A4106" s="6" t="s">
        <v>1169</v>
      </c>
      <c r="B4106" s="6"/>
      <c r="C4106" s="2432">
        <v>1</v>
      </c>
      <c r="D4106" s="2432">
        <v>509163.43078777101</v>
      </c>
      <c r="E4106" s="2433">
        <v>511637.27587521297</v>
      </c>
      <c r="F4106" s="2434">
        <v>0.341160006439852</v>
      </c>
      <c r="G4106" s="2435">
        <v>0.34485628055824302</v>
      </c>
    </row>
    <row r="4107" spans="1:7" x14ac:dyDescent="0.3">
      <c r="A4107" s="11" t="s">
        <v>1001</v>
      </c>
      <c r="B4107" s="11"/>
      <c r="C4107" s="2436">
        <v>4</v>
      </c>
      <c r="D4107" s="2436">
        <v>406618.81612929399</v>
      </c>
      <c r="E4107" s="2437">
        <v>411509.59094392502</v>
      </c>
      <c r="F4107" s="2438">
        <v>0.27245098438158799</v>
      </c>
      <c r="G4107" s="2439">
        <v>0.27627344162106698</v>
      </c>
    </row>
    <row r="4108" spans="1:7" x14ac:dyDescent="0.3">
      <c r="A4108" s="6" t="s">
        <v>999</v>
      </c>
      <c r="B4108" s="6"/>
      <c r="C4108" s="2432">
        <v>4</v>
      </c>
      <c r="D4108" s="2432">
        <v>307047.07650581299</v>
      </c>
      <c r="E4108" s="2433">
        <v>309291.95471047598</v>
      </c>
      <c r="F4108" s="2434">
        <v>0.20573390833664101</v>
      </c>
      <c r="G4108" s="2435">
        <v>0.20830049682096</v>
      </c>
    </row>
    <row r="4109" spans="1:7" x14ac:dyDescent="0.3">
      <c r="A4109" s="11" t="s">
        <v>1174</v>
      </c>
      <c r="B4109" s="11"/>
      <c r="C4109" s="2436">
        <v>2</v>
      </c>
      <c r="D4109" s="2436">
        <v>260950.91834758499</v>
      </c>
      <c r="E4109" s="2437">
        <v>235912.48160009101</v>
      </c>
      <c r="F4109" s="2438">
        <v>0.174847625734251</v>
      </c>
      <c r="G4109" s="2439">
        <v>0.159958679204251</v>
      </c>
    </row>
    <row r="4110" spans="1:7" x14ac:dyDescent="0.3">
      <c r="A4110" s="6" t="s">
        <v>6709</v>
      </c>
      <c r="B4110" s="6"/>
      <c r="C4110" s="2432">
        <v>1</v>
      </c>
      <c r="D4110" s="2432">
        <v>217032.43800159401</v>
      </c>
      <c r="E4110" s="2433">
        <v>221114.648592654</v>
      </c>
      <c r="F4110" s="2434">
        <v>0.14542047497740099</v>
      </c>
      <c r="G4110" s="2435">
        <v>0.15074136568153099</v>
      </c>
    </row>
    <row r="4111" spans="1:7" x14ac:dyDescent="0.3">
      <c r="A4111" s="11" t="s">
        <v>1013</v>
      </c>
      <c r="B4111" s="11"/>
      <c r="C4111" s="2436">
        <v>1</v>
      </c>
      <c r="D4111" s="2436">
        <v>119527.956932416</v>
      </c>
      <c r="E4111" s="2437">
        <v>120227.176081654</v>
      </c>
      <c r="F4111" s="2438">
        <v>8.0088545427769595E-2</v>
      </c>
      <c r="G4111" s="2439">
        <v>8.2128578733898505E-2</v>
      </c>
    </row>
    <row r="4112" spans="1:7" x14ac:dyDescent="0.3">
      <c r="A4112" s="6" t="s">
        <v>997</v>
      </c>
      <c r="B4112" s="6"/>
      <c r="C4112" s="2432">
        <v>1</v>
      </c>
      <c r="D4112" s="2432">
        <v>84492.589519641697</v>
      </c>
      <c r="E4112" s="2433">
        <v>85132.669281953698</v>
      </c>
      <c r="F4112" s="2434">
        <v>5.6613438125441E-2</v>
      </c>
      <c r="G4112" s="2435">
        <v>5.71747673837995E-2</v>
      </c>
    </row>
    <row r="4113" spans="1:7" x14ac:dyDescent="0.3">
      <c r="A4113" s="11" t="s">
        <v>6283</v>
      </c>
      <c r="B4113" s="11"/>
      <c r="C4113" s="2436">
        <v>2</v>
      </c>
      <c r="D4113" s="2436">
        <v>58361.907099436597</v>
      </c>
      <c r="E4113" s="2437">
        <v>58486.083462066701</v>
      </c>
      <c r="F4113" s="2438">
        <v>3.9104828426268098E-2</v>
      </c>
      <c r="G4113" s="2439">
        <v>3.9217460321683197E-2</v>
      </c>
    </row>
    <row r="4114" spans="1:7" x14ac:dyDescent="0.3">
      <c r="A4114" s="6" t="s">
        <v>3328</v>
      </c>
      <c r="B4114" s="6"/>
      <c r="C4114" s="2432">
        <v>1</v>
      </c>
      <c r="D4114" s="2432">
        <v>30718.975428768499</v>
      </c>
      <c r="E4114" s="2433">
        <v>30777.873299454499</v>
      </c>
      <c r="F4114" s="2434">
        <v>2.05829508197195E-2</v>
      </c>
      <c r="G4114" s="2435">
        <v>2.06432479890509E-2</v>
      </c>
    </row>
    <row r="4115" spans="1:7" x14ac:dyDescent="0.3">
      <c r="A4115" s="11" t="s">
        <v>6476</v>
      </c>
      <c r="B4115" s="11"/>
      <c r="C4115" s="2436">
        <v>1</v>
      </c>
      <c r="D4115" s="2436">
        <v>20005.263631465099</v>
      </c>
      <c r="E4115" s="2437">
        <v>20208.502353259599</v>
      </c>
      <c r="F4115" s="2438">
        <v>1.34043323943788E-2</v>
      </c>
      <c r="G4115" s="2439">
        <v>1.3592209637204001E-2</v>
      </c>
    </row>
    <row r="4116" spans="1:7" x14ac:dyDescent="0.3">
      <c r="A4116" s="6" t="s">
        <v>960</v>
      </c>
      <c r="B4116" s="6" t="s">
        <v>961</v>
      </c>
      <c r="C4116" s="2432">
        <v>59192</v>
      </c>
      <c r="D4116" s="2432">
        <v>7865862473.5096798</v>
      </c>
      <c r="E4116" s="2433">
        <v>108240493.11042599</v>
      </c>
      <c r="F4116" s="2434">
        <v>99.898653182587907</v>
      </c>
      <c r="G4116" s="2435">
        <v>4.3534685108644701E-2</v>
      </c>
    </row>
    <row r="4117" spans="1:7" x14ac:dyDescent="0.3">
      <c r="A4117" s="11" t="s">
        <v>974</v>
      </c>
      <c r="B4117" s="11" t="s">
        <v>975</v>
      </c>
      <c r="C4117" s="2436">
        <v>26</v>
      </c>
      <c r="D4117" s="2436">
        <v>7588343.9646882201</v>
      </c>
      <c r="E4117" s="2437">
        <v>3563079.27085916</v>
      </c>
      <c r="F4117" s="2438">
        <v>9.6374090509661503E-2</v>
      </c>
      <c r="G4117" s="2439">
        <v>4.5278168612933697E-2</v>
      </c>
    </row>
    <row r="4118" spans="1:7" x14ac:dyDescent="0.3">
      <c r="A4118" s="6" t="s">
        <v>956</v>
      </c>
      <c r="B4118" s="6" t="s">
        <v>1025</v>
      </c>
      <c r="C4118" s="2432">
        <v>2</v>
      </c>
      <c r="D4118" s="2432">
        <v>306454.48196375201</v>
      </c>
      <c r="E4118" s="2433">
        <v>218396.39030622601</v>
      </c>
      <c r="F4118" s="2434">
        <v>3.8920576240747099E-3</v>
      </c>
      <c r="G4118" s="2435">
        <v>2.7908952635221501E-3</v>
      </c>
    </row>
    <row r="4119" spans="1:7" x14ac:dyDescent="0.3">
      <c r="A4119" s="11" t="s">
        <v>958</v>
      </c>
      <c r="B4119" s="11" t="s">
        <v>1019</v>
      </c>
      <c r="C4119" s="2436">
        <v>1</v>
      </c>
      <c r="D4119" s="2436">
        <v>85090.195436556998</v>
      </c>
      <c r="E4119" s="2437">
        <v>85046.203847628305</v>
      </c>
      <c r="F4119" s="2438">
        <v>1.0806692783890499E-3</v>
      </c>
      <c r="G4119" s="2439">
        <v>1.0808630169246501E-3</v>
      </c>
    </row>
    <row r="4120" spans="1:7" x14ac:dyDescent="0.3">
      <c r="A4120" s="6" t="s">
        <v>6269</v>
      </c>
      <c r="B4120" s="6" t="s">
        <v>6270</v>
      </c>
      <c r="C4120" s="2432">
        <v>655</v>
      </c>
      <c r="D4120" s="2432">
        <v>149244759.40222499</v>
      </c>
      <c r="E4120" s="2433">
        <v>13237035.187394699</v>
      </c>
      <c r="F4120" s="2434">
        <v>1.8601911850275099</v>
      </c>
      <c r="G4120" s="2435">
        <v>0.161628753801002</v>
      </c>
    </row>
    <row r="4121" spans="1:7" x14ac:dyDescent="0.3">
      <c r="A4121" s="11" t="s">
        <v>6269</v>
      </c>
      <c r="B4121" s="11" t="s">
        <v>6271</v>
      </c>
      <c r="C4121" s="2436">
        <v>59876</v>
      </c>
      <c r="D4121" s="2436">
        <v>8023087121.5539999</v>
      </c>
      <c r="E4121" s="2437">
        <v>0</v>
      </c>
      <c r="F4121" s="2438">
        <v>100</v>
      </c>
      <c r="G4121" s="2439">
        <v>0</v>
      </c>
    </row>
    <row r="4122" spans="1:7" x14ac:dyDescent="0.3">
      <c r="A4122" s="3299" t="s">
        <v>154</v>
      </c>
      <c r="B4122" s="3298"/>
      <c r="C4122" s="3298"/>
      <c r="D4122" s="3298"/>
      <c r="E4122" s="3298"/>
      <c r="F4122" s="3298"/>
      <c r="G4122" s="3298"/>
    </row>
    <row r="4123" spans="1:7" x14ac:dyDescent="0.3">
      <c r="A4123" s="11" t="s">
        <v>962</v>
      </c>
      <c r="B4123" s="11" t="s">
        <v>1133</v>
      </c>
      <c r="C4123" s="2444">
        <v>44</v>
      </c>
      <c r="D4123" s="2444">
        <v>11683355.016456701</v>
      </c>
      <c r="E4123" s="2445">
        <v>3458928.3586188899</v>
      </c>
      <c r="F4123" s="2446">
        <v>72.700864744833794</v>
      </c>
      <c r="G4123" s="2447">
        <v>10.8897067801452</v>
      </c>
    </row>
    <row r="4124" spans="1:7" x14ac:dyDescent="0.3">
      <c r="A4124" s="6" t="s">
        <v>964</v>
      </c>
      <c r="B4124" s="6" t="s">
        <v>1134</v>
      </c>
      <c r="C4124" s="2440">
        <v>13</v>
      </c>
      <c r="D4124" s="2440">
        <v>2701059.3978311499</v>
      </c>
      <c r="E4124" s="2441">
        <v>1043453.79543652</v>
      </c>
      <c r="F4124" s="2442">
        <v>16.807616790972101</v>
      </c>
      <c r="G4124" s="2443">
        <v>5.3257840410516302</v>
      </c>
    </row>
    <row r="4125" spans="1:7" x14ac:dyDescent="0.3">
      <c r="A4125" s="11" t="s">
        <v>966</v>
      </c>
      <c r="B4125" s="11" t="s">
        <v>1135</v>
      </c>
      <c r="C4125" s="2444">
        <v>4</v>
      </c>
      <c r="D4125" s="2444">
        <v>1686034.0700087899</v>
      </c>
      <c r="E4125" s="2445">
        <v>1197913.88966491</v>
      </c>
      <c r="F4125" s="2446">
        <v>10.491518464194201</v>
      </c>
      <c r="G4125" s="2447">
        <v>8.0786981568360705</v>
      </c>
    </row>
    <row r="4126" spans="1:7" x14ac:dyDescent="0.3">
      <c r="A4126" s="6" t="s">
        <v>960</v>
      </c>
      <c r="B4126" s="6" t="s">
        <v>961</v>
      </c>
      <c r="C4126" s="2440">
        <v>59814</v>
      </c>
      <c r="D4126" s="2440">
        <v>8006486678.6783304</v>
      </c>
      <c r="E4126" s="2441">
        <v>108279225.90455601</v>
      </c>
      <c r="F4126" s="2442">
        <v>99.9933808756372</v>
      </c>
      <c r="G4126" s="2443">
        <v>6.6647000932636702E-3</v>
      </c>
    </row>
    <row r="4127" spans="1:7" x14ac:dyDescent="0.3">
      <c r="A4127" s="11" t="s">
        <v>974</v>
      </c>
      <c r="B4127" s="11" t="s">
        <v>975</v>
      </c>
      <c r="C4127" s="2444">
        <v>1</v>
      </c>
      <c r="D4127" s="2444">
        <v>529994.39134405903</v>
      </c>
      <c r="E4127" s="2445">
        <v>533458.64288796403</v>
      </c>
      <c r="F4127" s="2446">
        <v>6.61912436284304E-3</v>
      </c>
      <c r="G4127" s="2447">
        <v>6.6647000932606301E-3</v>
      </c>
    </row>
    <row r="4128" spans="1:7" x14ac:dyDescent="0.3">
      <c r="A4128" s="6" t="s">
        <v>6269</v>
      </c>
      <c r="B4128" s="6" t="s">
        <v>6270</v>
      </c>
      <c r="C4128" s="2440">
        <v>61</v>
      </c>
      <c r="D4128" s="2440">
        <v>16070448.484296599</v>
      </c>
      <c r="E4128" s="2441">
        <v>3499695.9956580098</v>
      </c>
      <c r="F4128" s="2442">
        <v>0.20030255487471199</v>
      </c>
      <c r="G4128" s="2443">
        <v>4.2698456033102399E-2</v>
      </c>
    </row>
    <row r="4129" spans="1:7" x14ac:dyDescent="0.3">
      <c r="A4129" s="11" t="s">
        <v>6269</v>
      </c>
      <c r="B4129" s="11" t="s">
        <v>6271</v>
      </c>
      <c r="C4129" s="2444">
        <v>59876</v>
      </c>
      <c r="D4129" s="2444">
        <v>8023087121.5539703</v>
      </c>
      <c r="E4129" s="2445">
        <v>0</v>
      </c>
      <c r="F4129" s="2446">
        <v>100</v>
      </c>
      <c r="G4129" s="2447">
        <v>0</v>
      </c>
    </row>
    <row r="4130" spans="1:7" x14ac:dyDescent="0.3">
      <c r="A4130" s="3299" t="s">
        <v>740</v>
      </c>
      <c r="B4130" s="3298"/>
      <c r="C4130" s="3298"/>
      <c r="D4130" s="3298"/>
      <c r="E4130" s="3298"/>
      <c r="F4130" s="3298"/>
      <c r="G4130" s="3298"/>
    </row>
    <row r="4131" spans="1:7" x14ac:dyDescent="0.3">
      <c r="A4131" s="11" t="s">
        <v>6275</v>
      </c>
      <c r="B4131" s="11"/>
      <c r="C4131" s="2452">
        <v>109</v>
      </c>
      <c r="D4131" s="2452">
        <v>24763211.090976801</v>
      </c>
      <c r="E4131" s="2453">
        <v>5385074.1014636997</v>
      </c>
      <c r="F4131" s="2454">
        <v>16.637456633008298</v>
      </c>
      <c r="G4131" s="2455">
        <v>2.7462195889216501</v>
      </c>
    </row>
    <row r="4132" spans="1:7" x14ac:dyDescent="0.3">
      <c r="A4132" s="6" t="s">
        <v>995</v>
      </c>
      <c r="B4132" s="6"/>
      <c r="C4132" s="2448">
        <v>79</v>
      </c>
      <c r="D4132" s="2448">
        <v>17287263.452833299</v>
      </c>
      <c r="E4132" s="2449">
        <v>2911445.4154472901</v>
      </c>
      <c r="F4132" s="2450">
        <v>11.6146526774431</v>
      </c>
      <c r="G4132" s="2451">
        <v>2.3577698730960699</v>
      </c>
    </row>
    <row r="4133" spans="1:7" x14ac:dyDescent="0.3">
      <c r="A4133" s="11" t="s">
        <v>6274</v>
      </c>
      <c r="B4133" s="11"/>
      <c r="C4133" s="2452">
        <v>53</v>
      </c>
      <c r="D4133" s="2452">
        <v>13838085.2702318</v>
      </c>
      <c r="E4133" s="2453">
        <v>3097002.9745236202</v>
      </c>
      <c r="F4133" s="2454">
        <v>9.2972814681228293</v>
      </c>
      <c r="G4133" s="2455">
        <v>2.11099200832839</v>
      </c>
    </row>
    <row r="4134" spans="1:7" x14ac:dyDescent="0.3">
      <c r="A4134" s="6" t="s">
        <v>6272</v>
      </c>
      <c r="B4134" s="6"/>
      <c r="C4134" s="2448">
        <v>62</v>
      </c>
      <c r="D4134" s="2448">
        <v>13040707.167437101</v>
      </c>
      <c r="E4134" s="2449">
        <v>3550408.81606291</v>
      </c>
      <c r="F4134" s="2450">
        <v>8.76155354670672</v>
      </c>
      <c r="G4134" s="2451">
        <v>2.2631101067843602</v>
      </c>
    </row>
    <row r="4135" spans="1:7" x14ac:dyDescent="0.3">
      <c r="A4135" s="11" t="s">
        <v>1005</v>
      </c>
      <c r="B4135" s="11"/>
      <c r="C4135" s="2452">
        <v>59</v>
      </c>
      <c r="D4135" s="2452">
        <v>11572113.5993337</v>
      </c>
      <c r="E4135" s="2453">
        <v>2469650.6668668599</v>
      </c>
      <c r="F4135" s="2454">
        <v>7.7748615659668703</v>
      </c>
      <c r="G4135" s="2455">
        <v>1.2472137302322699</v>
      </c>
    </row>
    <row r="4136" spans="1:7" x14ac:dyDescent="0.3">
      <c r="A4136" s="6" t="s">
        <v>1155</v>
      </c>
      <c r="B4136" s="6"/>
      <c r="C4136" s="2448">
        <v>39</v>
      </c>
      <c r="D4136" s="2448">
        <v>10068411.764373001</v>
      </c>
      <c r="E4136" s="2449">
        <v>2199107.64672472</v>
      </c>
      <c r="F4136" s="2450">
        <v>6.7645816803646897</v>
      </c>
      <c r="G4136" s="2451">
        <v>1.17969121455871</v>
      </c>
    </row>
    <row r="4137" spans="1:7" x14ac:dyDescent="0.3">
      <c r="A4137" s="11" t="s">
        <v>6273</v>
      </c>
      <c r="B4137" s="11"/>
      <c r="C4137" s="2452">
        <v>42</v>
      </c>
      <c r="D4137" s="2452">
        <v>7457472.4414498303</v>
      </c>
      <c r="E4137" s="2453">
        <v>2065913.6390245699</v>
      </c>
      <c r="F4137" s="2454">
        <v>5.0103911758716002</v>
      </c>
      <c r="G4137" s="2455">
        <v>1.14069519833557</v>
      </c>
    </row>
    <row r="4138" spans="1:7" x14ac:dyDescent="0.3">
      <c r="A4138" s="6" t="s">
        <v>1157</v>
      </c>
      <c r="B4138" s="6"/>
      <c r="C4138" s="2448">
        <v>27</v>
      </c>
      <c r="D4138" s="2448">
        <v>7100043.0533854403</v>
      </c>
      <c r="E4138" s="2449">
        <v>2690157.2420061999</v>
      </c>
      <c r="F4138" s="2450">
        <v>4.7702480085966998</v>
      </c>
      <c r="G4138" s="2451">
        <v>1.8358288825677</v>
      </c>
    </row>
    <row r="4139" spans="1:7" x14ac:dyDescent="0.3">
      <c r="A4139" s="11" t="s">
        <v>1152</v>
      </c>
      <c r="B4139" s="11"/>
      <c r="C4139" s="2452">
        <v>40</v>
      </c>
      <c r="D4139" s="2452">
        <v>7093646.7584310304</v>
      </c>
      <c r="E4139" s="2453">
        <v>2470211.85332176</v>
      </c>
      <c r="F4139" s="2454">
        <v>4.7659505820826302</v>
      </c>
      <c r="G4139" s="2455">
        <v>1.9112232809382499</v>
      </c>
    </row>
    <row r="4140" spans="1:7" x14ac:dyDescent="0.3">
      <c r="A4140" s="6" t="s">
        <v>6279</v>
      </c>
      <c r="B4140" s="6"/>
      <c r="C4140" s="2448">
        <v>17</v>
      </c>
      <c r="D4140" s="2448">
        <v>4677897.3020158801</v>
      </c>
      <c r="E4140" s="2449">
        <v>1519617.69928057</v>
      </c>
      <c r="F4140" s="2450">
        <v>3.1429007009642098</v>
      </c>
      <c r="G4140" s="2451">
        <v>0.94848585908370597</v>
      </c>
    </row>
    <row r="4141" spans="1:7" x14ac:dyDescent="0.3">
      <c r="A4141" s="11" t="s">
        <v>6277</v>
      </c>
      <c r="B4141" s="11"/>
      <c r="C4141" s="2452">
        <v>14</v>
      </c>
      <c r="D4141" s="2452">
        <v>4643715.8447882403</v>
      </c>
      <c r="E4141" s="2453">
        <v>1285115.8410107</v>
      </c>
      <c r="F4141" s="2454">
        <v>3.1199354841274798</v>
      </c>
      <c r="G4141" s="2455">
        <v>0.88898215562273197</v>
      </c>
    </row>
    <row r="4142" spans="1:7" x14ac:dyDescent="0.3">
      <c r="A4142" s="6" t="s">
        <v>6276</v>
      </c>
      <c r="B4142" s="6"/>
      <c r="C4142" s="2448">
        <v>13</v>
      </c>
      <c r="D4142" s="2448">
        <v>4156110.0221695201</v>
      </c>
      <c r="E4142" s="2449">
        <v>1478206.1600063499</v>
      </c>
      <c r="F4142" s="2450">
        <v>2.79233173766597</v>
      </c>
      <c r="G4142" s="2451">
        <v>0.89786899148211197</v>
      </c>
    </row>
    <row r="4143" spans="1:7" x14ac:dyDescent="0.3">
      <c r="A4143" s="11" t="s">
        <v>6278</v>
      </c>
      <c r="B4143" s="11"/>
      <c r="C4143" s="2452">
        <v>13</v>
      </c>
      <c r="D4143" s="2452">
        <v>4096464.1838357002</v>
      </c>
      <c r="E4143" s="2453">
        <v>2325885.1301749898</v>
      </c>
      <c r="F4143" s="2454">
        <v>2.75225797481782</v>
      </c>
      <c r="G4143" s="2455">
        <v>1.5140139876203</v>
      </c>
    </row>
    <row r="4144" spans="1:7" x14ac:dyDescent="0.3">
      <c r="A4144" s="6" t="s">
        <v>3061</v>
      </c>
      <c r="B4144" s="6"/>
      <c r="C4144" s="2448">
        <v>7</v>
      </c>
      <c r="D4144" s="2448">
        <v>3800945.5399766001</v>
      </c>
      <c r="E4144" s="2449">
        <v>2106390.8754279902</v>
      </c>
      <c r="F4144" s="2450">
        <v>2.5537102742232598</v>
      </c>
      <c r="G4144" s="2451">
        <v>1.4875699706941801</v>
      </c>
    </row>
    <row r="4145" spans="1:7" x14ac:dyDescent="0.3">
      <c r="A4145" s="11" t="s">
        <v>3032</v>
      </c>
      <c r="B4145" s="11"/>
      <c r="C4145" s="2452">
        <v>12</v>
      </c>
      <c r="D4145" s="2452">
        <v>1956999.55784647</v>
      </c>
      <c r="E4145" s="2453">
        <v>857538.32107283897</v>
      </c>
      <c r="F4145" s="2454">
        <v>1.3148333289599501</v>
      </c>
      <c r="G4145" s="2455">
        <v>0.55589526448136595</v>
      </c>
    </row>
    <row r="4146" spans="1:7" x14ac:dyDescent="0.3">
      <c r="A4146" s="6" t="s">
        <v>3047</v>
      </c>
      <c r="B4146" s="6"/>
      <c r="C4146" s="2448">
        <v>5</v>
      </c>
      <c r="D4146" s="2448">
        <v>1313941.9083089901</v>
      </c>
      <c r="E4146" s="2449">
        <v>695333.90827368095</v>
      </c>
      <c r="F4146" s="2450">
        <v>0.882787431624667</v>
      </c>
      <c r="G4146" s="2451">
        <v>0.45020561725043101</v>
      </c>
    </row>
    <row r="4147" spans="1:7" x14ac:dyDescent="0.3">
      <c r="A4147" s="11" t="s">
        <v>999</v>
      </c>
      <c r="B4147" s="11"/>
      <c r="C4147" s="2452">
        <v>5</v>
      </c>
      <c r="D4147" s="2452">
        <v>1296688.1119037101</v>
      </c>
      <c r="E4147" s="2453">
        <v>537973.04547422903</v>
      </c>
      <c r="F4147" s="2454">
        <v>0.87119526417946502</v>
      </c>
      <c r="G4147" s="2455">
        <v>0.32862073550924897</v>
      </c>
    </row>
    <row r="4148" spans="1:7" x14ac:dyDescent="0.3">
      <c r="A4148" s="6" t="s">
        <v>1061</v>
      </c>
      <c r="B4148" s="6"/>
      <c r="C4148" s="2448">
        <v>3</v>
      </c>
      <c r="D4148" s="2448">
        <v>1269004.5432722601</v>
      </c>
      <c r="E4148" s="2449">
        <v>1271192.0461510101</v>
      </c>
      <c r="F4148" s="2450">
        <v>0.85259573074817296</v>
      </c>
      <c r="G4148" s="2451">
        <v>0.85176663004946296</v>
      </c>
    </row>
    <row r="4149" spans="1:7" x14ac:dyDescent="0.3">
      <c r="A4149" s="11" t="s">
        <v>1003</v>
      </c>
      <c r="B4149" s="11"/>
      <c r="C4149" s="2452">
        <v>3</v>
      </c>
      <c r="D4149" s="2452">
        <v>1232668.7754140999</v>
      </c>
      <c r="E4149" s="2453">
        <v>1136117.6203509199</v>
      </c>
      <c r="F4149" s="2454">
        <v>0.82818311480163098</v>
      </c>
      <c r="G4149" s="2455">
        <v>0.76092508195703301</v>
      </c>
    </row>
    <row r="4150" spans="1:7" x14ac:dyDescent="0.3">
      <c r="A4150" s="6" t="s">
        <v>1169</v>
      </c>
      <c r="B4150" s="6"/>
      <c r="C4150" s="2448">
        <v>3</v>
      </c>
      <c r="D4150" s="2448">
        <v>1099047.68961137</v>
      </c>
      <c r="E4150" s="2449">
        <v>677661.34467939998</v>
      </c>
      <c r="F4150" s="2450">
        <v>0.73840820588004497</v>
      </c>
      <c r="G4150" s="2451">
        <v>0.44839413299059799</v>
      </c>
    </row>
    <row r="4151" spans="1:7" x14ac:dyDescent="0.3">
      <c r="A4151" s="11" t="s">
        <v>1159</v>
      </c>
      <c r="B4151" s="11"/>
      <c r="C4151" s="2452">
        <v>6</v>
      </c>
      <c r="D4151" s="2452">
        <v>946003.89669419196</v>
      </c>
      <c r="E4151" s="2453">
        <v>597358.885076012</v>
      </c>
      <c r="F4151" s="2454">
        <v>0.63558392116769702</v>
      </c>
      <c r="G4151" s="2455">
        <v>0.39593151011594402</v>
      </c>
    </row>
    <row r="4152" spans="1:7" x14ac:dyDescent="0.3">
      <c r="A4152" s="6" t="s">
        <v>1165</v>
      </c>
      <c r="B4152" s="6"/>
      <c r="C4152" s="2448">
        <v>2</v>
      </c>
      <c r="D4152" s="2448">
        <v>901324.09612490702</v>
      </c>
      <c r="E4152" s="2449">
        <v>719537.278604127</v>
      </c>
      <c r="F4152" s="2450">
        <v>0.60556526802889699</v>
      </c>
      <c r="G4152" s="2451">
        <v>0.48703065898280801</v>
      </c>
    </row>
    <row r="4153" spans="1:7" x14ac:dyDescent="0.3">
      <c r="A4153" s="11" t="s">
        <v>6280</v>
      </c>
      <c r="B4153" s="11"/>
      <c r="C4153" s="2452">
        <v>5</v>
      </c>
      <c r="D4153" s="2452">
        <v>813299.31743448297</v>
      </c>
      <c r="E4153" s="2453">
        <v>694674.63558548898</v>
      </c>
      <c r="F4153" s="2454">
        <v>0.54642477802088996</v>
      </c>
      <c r="G4153" s="2455">
        <v>0.46635654829058898</v>
      </c>
    </row>
    <row r="4154" spans="1:7" x14ac:dyDescent="0.3">
      <c r="A4154" s="6" t="s">
        <v>3075</v>
      </c>
      <c r="B4154" s="6"/>
      <c r="C4154" s="2448">
        <v>1</v>
      </c>
      <c r="D4154" s="2448">
        <v>571171.05402933096</v>
      </c>
      <c r="E4154" s="2449">
        <v>581726.62493660999</v>
      </c>
      <c r="F4154" s="2450">
        <v>0.38374803681681102</v>
      </c>
      <c r="G4154" s="2451">
        <v>0.38862274943167102</v>
      </c>
    </row>
    <row r="4155" spans="1:7" x14ac:dyDescent="0.3">
      <c r="A4155" s="11" t="s">
        <v>1161</v>
      </c>
      <c r="B4155" s="11"/>
      <c r="C4155" s="2452">
        <v>2</v>
      </c>
      <c r="D4155" s="2452">
        <v>520496.68328029203</v>
      </c>
      <c r="E4155" s="2453">
        <v>480722.04725711298</v>
      </c>
      <c r="F4155" s="2454">
        <v>0.34970186071126802</v>
      </c>
      <c r="G4155" s="2455">
        <v>0.31992950342941201</v>
      </c>
    </row>
    <row r="4156" spans="1:7" x14ac:dyDescent="0.3">
      <c r="A4156" s="6" t="s">
        <v>6474</v>
      </c>
      <c r="B4156" s="6"/>
      <c r="C4156" s="2448">
        <v>6</v>
      </c>
      <c r="D4156" s="2448">
        <v>502597.15527861798</v>
      </c>
      <c r="E4156" s="2449">
        <v>403871.43042927497</v>
      </c>
      <c r="F4156" s="2450">
        <v>0.33767585084586399</v>
      </c>
      <c r="G4156" s="2451">
        <v>0.280430532988931</v>
      </c>
    </row>
    <row r="4157" spans="1:7" x14ac:dyDescent="0.3">
      <c r="A4157" s="11" t="s">
        <v>997</v>
      </c>
      <c r="B4157" s="11"/>
      <c r="C4157" s="2452">
        <v>4</v>
      </c>
      <c r="D4157" s="2452">
        <v>457553.10287774599</v>
      </c>
      <c r="E4157" s="2453">
        <v>371666.09223019698</v>
      </c>
      <c r="F4157" s="2454">
        <v>0.30741247080031198</v>
      </c>
      <c r="G4157" s="2455">
        <v>0.24935980947116801</v>
      </c>
    </row>
    <row r="4158" spans="1:7" x14ac:dyDescent="0.3">
      <c r="A4158" s="6" t="s">
        <v>1163</v>
      </c>
      <c r="B4158" s="6"/>
      <c r="C4158" s="2448">
        <v>4</v>
      </c>
      <c r="D4158" s="2448">
        <v>424700.92177118501</v>
      </c>
      <c r="E4158" s="2449">
        <v>183225.944848377</v>
      </c>
      <c r="F4158" s="2450">
        <v>0.285340343867658</v>
      </c>
      <c r="G4158" s="2451">
        <v>0.13588874628661701</v>
      </c>
    </row>
    <row r="4159" spans="1:7" x14ac:dyDescent="0.3">
      <c r="A4159" s="11" t="s">
        <v>3085</v>
      </c>
      <c r="B4159" s="11"/>
      <c r="C4159" s="2452">
        <v>2</v>
      </c>
      <c r="D4159" s="2452">
        <v>307542.47579160199</v>
      </c>
      <c r="E4159" s="2453">
        <v>309010.33033943002</v>
      </c>
      <c r="F4159" s="2454">
        <v>0.206626054472201</v>
      </c>
      <c r="G4159" s="2455">
        <v>0.20853767714636401</v>
      </c>
    </row>
    <row r="4160" spans="1:7" x14ac:dyDescent="0.3">
      <c r="A4160" s="6" t="s">
        <v>1051</v>
      </c>
      <c r="B4160" s="6"/>
      <c r="C4160" s="2448">
        <v>2</v>
      </c>
      <c r="D4160" s="2448">
        <v>293542.95110353199</v>
      </c>
      <c r="E4160" s="2449">
        <v>208493.940013113</v>
      </c>
      <c r="F4160" s="2450">
        <v>0.19722030801933599</v>
      </c>
      <c r="G4160" s="2451">
        <v>0.136022894592362</v>
      </c>
    </row>
    <row r="4161" spans="1:7" x14ac:dyDescent="0.3">
      <c r="A4161" s="11" t="s">
        <v>1001</v>
      </c>
      <c r="B4161" s="11"/>
      <c r="C4161" s="2452">
        <v>2</v>
      </c>
      <c r="D4161" s="2452">
        <v>254463.76112568</v>
      </c>
      <c r="E4161" s="2453">
        <v>258818.58118719599</v>
      </c>
      <c r="F4161" s="2454">
        <v>0.17096449143234599</v>
      </c>
      <c r="G4161" s="2455">
        <v>0.17382321405616299</v>
      </c>
    </row>
    <row r="4162" spans="1:7" x14ac:dyDescent="0.3">
      <c r="A4162" s="6" t="s">
        <v>3083</v>
      </c>
      <c r="B4162" s="6"/>
      <c r="C4162" s="2448">
        <v>1</v>
      </c>
      <c r="D4162" s="2448">
        <v>219683.96514117901</v>
      </c>
      <c r="E4162" s="2449">
        <v>221348.96338179801</v>
      </c>
      <c r="F4162" s="2450">
        <v>0.14759727361591901</v>
      </c>
      <c r="G4162" s="2451">
        <v>0.150020470915463</v>
      </c>
    </row>
    <row r="4163" spans="1:7" x14ac:dyDescent="0.3">
      <c r="A4163" s="11" t="s">
        <v>1009</v>
      </c>
      <c r="B4163" s="11"/>
      <c r="C4163" s="2452">
        <v>1</v>
      </c>
      <c r="D4163" s="2452">
        <v>155713.366189842</v>
      </c>
      <c r="E4163" s="2453">
        <v>154335.78647275799</v>
      </c>
      <c r="F4163" s="2454">
        <v>0.104617869130358</v>
      </c>
      <c r="G4163" s="2455">
        <v>0.104666617580795</v>
      </c>
    </row>
    <row r="4164" spans="1:7" x14ac:dyDescent="0.3">
      <c r="A4164" s="6" t="s">
        <v>3051</v>
      </c>
      <c r="B4164" s="6"/>
      <c r="C4164" s="2448">
        <v>1</v>
      </c>
      <c r="D4164" s="2448">
        <v>109545.420528986</v>
      </c>
      <c r="E4164" s="2449">
        <v>111261.459575455</v>
      </c>
      <c r="F4164" s="2450">
        <v>7.3599388088233894E-2</v>
      </c>
      <c r="G4164" s="2451">
        <v>7.4693960795776407E-2</v>
      </c>
    </row>
    <row r="4165" spans="1:7" x14ac:dyDescent="0.3">
      <c r="A4165" s="11" t="s">
        <v>1053</v>
      </c>
      <c r="B4165" s="11"/>
      <c r="C4165" s="2452">
        <v>1</v>
      </c>
      <c r="D4165" s="2452">
        <v>90795.1483407661</v>
      </c>
      <c r="E4165" s="2453">
        <v>90550.943069239394</v>
      </c>
      <c r="F4165" s="2454">
        <v>6.1001795666050802E-2</v>
      </c>
      <c r="G4165" s="2455">
        <v>6.1689992873698397E-2</v>
      </c>
    </row>
    <row r="4166" spans="1:7" x14ac:dyDescent="0.3">
      <c r="A4166" s="6" t="s">
        <v>6710</v>
      </c>
      <c r="B4166" s="6"/>
      <c r="C4166" s="2448">
        <v>1</v>
      </c>
      <c r="D4166" s="2448">
        <v>85090.195436556998</v>
      </c>
      <c r="E4166" s="2449">
        <v>85046.203847628305</v>
      </c>
      <c r="F4166" s="2450">
        <v>5.7168855495714002E-2</v>
      </c>
      <c r="G4166" s="2451">
        <v>5.8098317393982003E-2</v>
      </c>
    </row>
    <row r="4167" spans="1:7" x14ac:dyDescent="0.3">
      <c r="A4167" s="11" t="s">
        <v>6485</v>
      </c>
      <c r="B4167" s="11"/>
      <c r="C4167" s="2452">
        <v>1</v>
      </c>
      <c r="D4167" s="2452">
        <v>85090.195436556998</v>
      </c>
      <c r="E4167" s="2453">
        <v>85046.203847628305</v>
      </c>
      <c r="F4167" s="2454">
        <v>5.7168855495714002E-2</v>
      </c>
      <c r="G4167" s="2455">
        <v>5.8098317393982003E-2</v>
      </c>
    </row>
    <row r="4168" spans="1:7" x14ac:dyDescent="0.3">
      <c r="A4168" s="6" t="s">
        <v>1069</v>
      </c>
      <c r="B4168" s="6"/>
      <c r="C4168" s="2448">
        <v>1</v>
      </c>
      <c r="D4168" s="2448">
        <v>84492.589519641697</v>
      </c>
      <c r="E4168" s="2449">
        <v>85132.669281953698</v>
      </c>
      <c r="F4168" s="2450">
        <v>5.6767346883209002E-2</v>
      </c>
      <c r="G4168" s="2451">
        <v>5.7301987169202401E-2</v>
      </c>
    </row>
    <row r="4169" spans="1:7" x14ac:dyDescent="0.3">
      <c r="A4169" s="11" t="s">
        <v>3193</v>
      </c>
      <c r="B4169" s="11"/>
      <c r="C4169" s="2452">
        <v>1</v>
      </c>
      <c r="D4169" s="2452">
        <v>70426.283427670001</v>
      </c>
      <c r="E4169" s="2453">
        <v>71365.956277498801</v>
      </c>
      <c r="F4169" s="2454">
        <v>4.73167325532656E-2</v>
      </c>
      <c r="G4169" s="2455">
        <v>4.8198883442786299E-2</v>
      </c>
    </row>
    <row r="4170" spans="1:7" x14ac:dyDescent="0.3">
      <c r="A4170" s="6" t="s">
        <v>6283</v>
      </c>
      <c r="B4170" s="6"/>
      <c r="C4170" s="2448">
        <v>2</v>
      </c>
      <c r="D4170" s="2448">
        <v>58361.907099436597</v>
      </c>
      <c r="E4170" s="2449">
        <v>58486.083462066701</v>
      </c>
      <c r="F4170" s="2450">
        <v>3.9211138443202301E-2</v>
      </c>
      <c r="G4170" s="2451">
        <v>3.9330209033090702E-2</v>
      </c>
    </row>
    <row r="4171" spans="1:7" x14ac:dyDescent="0.3">
      <c r="A4171" s="11" t="s">
        <v>1011</v>
      </c>
      <c r="B4171" s="11"/>
      <c r="C4171" s="2452">
        <v>1</v>
      </c>
      <c r="D4171" s="2452">
        <v>44989.937040860801</v>
      </c>
      <c r="E4171" s="2453">
        <v>45725.074121596197</v>
      </c>
      <c r="F4171" s="2454">
        <v>3.0227022000060302E-2</v>
      </c>
      <c r="G4171" s="2455">
        <v>3.1013226715293801E-2</v>
      </c>
    </row>
    <row r="4172" spans="1:7" x14ac:dyDescent="0.3">
      <c r="A4172" s="6" t="s">
        <v>3038</v>
      </c>
      <c r="B4172" s="6"/>
      <c r="C4172" s="2448">
        <v>1</v>
      </c>
      <c r="D4172" s="2448">
        <v>40208.016488590103</v>
      </c>
      <c r="E4172" s="2449">
        <v>40573.043528022099</v>
      </c>
      <c r="F4172" s="2450">
        <v>2.7014232046503599E-2</v>
      </c>
      <c r="G4172" s="2451">
        <v>2.72942611157981E-2</v>
      </c>
    </row>
    <row r="4173" spans="1:7" x14ac:dyDescent="0.3">
      <c r="A4173" s="11" t="s">
        <v>1105</v>
      </c>
      <c r="B4173" s="11"/>
      <c r="C4173" s="2452">
        <v>1</v>
      </c>
      <c r="D4173" s="2452">
        <v>38593.530093763897</v>
      </c>
      <c r="E4173" s="2453">
        <v>39126.873726906</v>
      </c>
      <c r="F4173" s="2454">
        <v>2.5929520242375301E-2</v>
      </c>
      <c r="G4173" s="2455">
        <v>2.63805439983434E-2</v>
      </c>
    </row>
    <row r="4174" spans="1:7" x14ac:dyDescent="0.3">
      <c r="A4174" s="6" t="s">
        <v>960</v>
      </c>
      <c r="B4174" s="6" t="s">
        <v>961</v>
      </c>
      <c r="C4174" s="2448">
        <v>59211</v>
      </c>
      <c r="D4174" s="2448">
        <v>7870792868.1080399</v>
      </c>
      <c r="E4174" s="2449">
        <v>107731122.452746</v>
      </c>
      <c r="F4174" s="2450">
        <v>99.956133844935295</v>
      </c>
      <c r="G4174" s="2451">
        <v>1.14783210212396E-2</v>
      </c>
    </row>
    <row r="4175" spans="1:7" x14ac:dyDescent="0.3">
      <c r="A4175" s="11" t="s">
        <v>974</v>
      </c>
      <c r="B4175" s="11" t="s">
        <v>975</v>
      </c>
      <c r="C4175" s="2452">
        <v>9</v>
      </c>
      <c r="D4175" s="2452">
        <v>2744819.35870256</v>
      </c>
      <c r="E4175" s="2453">
        <v>893204.72061744204</v>
      </c>
      <c r="F4175" s="2454">
        <v>3.4858182116612298E-2</v>
      </c>
      <c r="G4175" s="2455">
        <v>1.1374436705411601E-2</v>
      </c>
    </row>
    <row r="4176" spans="1:7" x14ac:dyDescent="0.3">
      <c r="A4176" s="6" t="s">
        <v>956</v>
      </c>
      <c r="B4176" s="6" t="s">
        <v>1025</v>
      </c>
      <c r="C4176" s="2448">
        <v>2</v>
      </c>
      <c r="D4176" s="2448">
        <v>709310.03939898103</v>
      </c>
      <c r="E4176" s="2449">
        <v>597285.98206720699</v>
      </c>
      <c r="F4176" s="2450">
        <v>9.0079729480625498E-3</v>
      </c>
      <c r="G4176" s="2451">
        <v>7.6103672014996796E-3</v>
      </c>
    </row>
    <row r="4177" spans="1:7" x14ac:dyDescent="0.3">
      <c r="A4177" s="11" t="s">
        <v>6269</v>
      </c>
      <c r="B4177" s="11" t="s">
        <v>6270</v>
      </c>
      <c r="C4177" s="2452">
        <v>654</v>
      </c>
      <c r="D4177" s="2452">
        <v>148840124.04785001</v>
      </c>
      <c r="E4177" s="2453">
        <v>13092073.983450601</v>
      </c>
      <c r="F4177" s="2454">
        <v>1.85514779775969</v>
      </c>
      <c r="G4177" s="2455">
        <v>0.15947834291926299</v>
      </c>
    </row>
    <row r="4178" spans="1:7" x14ac:dyDescent="0.3">
      <c r="A4178" s="6" t="s">
        <v>6269</v>
      </c>
      <c r="B4178" s="6" t="s">
        <v>6271</v>
      </c>
      <c r="C4178" s="2448">
        <v>59876</v>
      </c>
      <c r="D4178" s="2448">
        <v>8023087121.5539904</v>
      </c>
      <c r="E4178" s="2449">
        <v>0</v>
      </c>
      <c r="F4178" s="2450">
        <v>100</v>
      </c>
      <c r="G4178" s="2451">
        <v>0</v>
      </c>
    </row>
    <row r="4179" spans="1:7" x14ac:dyDescent="0.3">
      <c r="A4179" s="3299" t="s">
        <v>863</v>
      </c>
      <c r="B4179" s="3298"/>
      <c r="C4179" s="3298"/>
      <c r="D4179" s="3298"/>
      <c r="E4179" s="3298"/>
      <c r="F4179" s="3298"/>
      <c r="G4179" s="3298"/>
    </row>
    <row r="4180" spans="1:7" x14ac:dyDescent="0.3">
      <c r="A4180" s="11" t="s">
        <v>962</v>
      </c>
      <c r="B4180" s="11" t="s">
        <v>6121</v>
      </c>
      <c r="C4180" s="2460">
        <v>33038</v>
      </c>
      <c r="D4180" s="2460">
        <v>3949918750.6044598</v>
      </c>
      <c r="E4180" s="2461">
        <v>81513493.506169796</v>
      </c>
      <c r="F4180" s="2462">
        <v>58.420832788511603</v>
      </c>
      <c r="G4180" s="2463">
        <v>1.0436364373758</v>
      </c>
    </row>
    <row r="4181" spans="1:7" x14ac:dyDescent="0.3">
      <c r="A4181" s="6" t="s">
        <v>964</v>
      </c>
      <c r="B4181" s="6" t="s">
        <v>2997</v>
      </c>
      <c r="C4181" s="2456">
        <v>15098</v>
      </c>
      <c r="D4181" s="2456">
        <v>1917010323.5071001</v>
      </c>
      <c r="E4181" s="2457">
        <v>59578532.717867099</v>
      </c>
      <c r="F4181" s="2458">
        <v>28.353327406119501</v>
      </c>
      <c r="G4181" s="2459">
        <v>0.61299193012322095</v>
      </c>
    </row>
    <row r="4182" spans="1:7" x14ac:dyDescent="0.3">
      <c r="A4182" s="11" t="s">
        <v>966</v>
      </c>
      <c r="B4182" s="11" t="s">
        <v>2998</v>
      </c>
      <c r="C4182" s="2460">
        <v>1794</v>
      </c>
      <c r="D4182" s="2460">
        <v>423246953.65784401</v>
      </c>
      <c r="E4182" s="2461">
        <v>33834771.526328102</v>
      </c>
      <c r="F4182" s="2462">
        <v>6.2599868678584496</v>
      </c>
      <c r="G4182" s="2463">
        <v>0.46893985884904699</v>
      </c>
    </row>
    <row r="4183" spans="1:7" x14ac:dyDescent="0.3">
      <c r="A4183" s="6" t="s">
        <v>983</v>
      </c>
      <c r="B4183" s="6" t="s">
        <v>6122</v>
      </c>
      <c r="C4183" s="2456">
        <v>2444</v>
      </c>
      <c r="D4183" s="2456">
        <v>341873219.55518699</v>
      </c>
      <c r="E4183" s="2457">
        <v>27445811.8071368</v>
      </c>
      <c r="F4183" s="2458">
        <v>5.0564377283576301</v>
      </c>
      <c r="G4183" s="2459">
        <v>0.40555126998395702</v>
      </c>
    </row>
    <row r="4184" spans="1:7" x14ac:dyDescent="0.3">
      <c r="A4184" s="11" t="s">
        <v>968</v>
      </c>
      <c r="B4184" s="11" t="s">
        <v>2999</v>
      </c>
      <c r="C4184" s="2460">
        <v>408</v>
      </c>
      <c r="D4184" s="2460">
        <v>104138332.99127901</v>
      </c>
      <c r="E4184" s="2461">
        <v>20231722.592240401</v>
      </c>
      <c r="F4184" s="2462">
        <v>1.5402464006701</v>
      </c>
      <c r="G4184" s="2463">
        <v>0.30192080761902101</v>
      </c>
    </row>
    <row r="4185" spans="1:7" x14ac:dyDescent="0.3">
      <c r="A4185" s="6" t="s">
        <v>970</v>
      </c>
      <c r="B4185" s="6" t="s">
        <v>3000</v>
      </c>
      <c r="C4185" s="2456">
        <v>74</v>
      </c>
      <c r="D4185" s="2456">
        <v>18904120.373402301</v>
      </c>
      <c r="E4185" s="2457">
        <v>3315271.8852943801</v>
      </c>
      <c r="F4185" s="2458">
        <v>0.27959928420791502</v>
      </c>
      <c r="G4185" s="2459">
        <v>4.94705974164781E-2</v>
      </c>
    </row>
    <row r="4186" spans="1:7" x14ac:dyDescent="0.3">
      <c r="A4186" s="11" t="s">
        <v>972</v>
      </c>
      <c r="B4186" s="11" t="s">
        <v>3001</v>
      </c>
      <c r="C4186" s="2460">
        <v>16</v>
      </c>
      <c r="D4186" s="2460">
        <v>3661034.6100196899</v>
      </c>
      <c r="E4186" s="2461">
        <v>2594853.6313987798</v>
      </c>
      <c r="F4186" s="2462">
        <v>5.41481241233591E-2</v>
      </c>
      <c r="G4186" s="2463">
        <v>3.8416150649017301E-2</v>
      </c>
    </row>
    <row r="4187" spans="1:7" x14ac:dyDescent="0.3">
      <c r="A4187" s="6" t="s">
        <v>991</v>
      </c>
      <c r="B4187" s="6" t="s">
        <v>3003</v>
      </c>
      <c r="C4187" s="2456">
        <v>13</v>
      </c>
      <c r="D4187" s="2456">
        <v>1959390.69585136</v>
      </c>
      <c r="E4187" s="2457">
        <v>2025139.7000468499</v>
      </c>
      <c r="F4187" s="2458">
        <v>2.89801495770464E-2</v>
      </c>
      <c r="G4187" s="2459">
        <v>2.9869325228890801E-2</v>
      </c>
    </row>
    <row r="4188" spans="1:7" x14ac:dyDescent="0.3">
      <c r="A4188" s="11" t="s">
        <v>981</v>
      </c>
      <c r="B4188" s="11" t="s">
        <v>3002</v>
      </c>
      <c r="C4188" s="2460">
        <v>3</v>
      </c>
      <c r="D4188" s="2460">
        <v>435502.46045843401</v>
      </c>
      <c r="E4188" s="2461">
        <v>438476.540752373</v>
      </c>
      <c r="F4188" s="2462">
        <v>6.44125057446664E-3</v>
      </c>
      <c r="G4188" s="2463">
        <v>6.4634304320500702E-3</v>
      </c>
    </row>
    <row r="4189" spans="1:7" x14ac:dyDescent="0.3">
      <c r="A4189" s="6" t="s">
        <v>960</v>
      </c>
      <c r="B4189" s="6" t="s">
        <v>961</v>
      </c>
      <c r="C4189" s="2456">
        <v>6988</v>
      </c>
      <c r="D4189" s="2456">
        <v>1261939493.09815</v>
      </c>
      <c r="E4189" s="2457">
        <v>30248086.867431998</v>
      </c>
      <c r="F4189" s="2458">
        <v>100</v>
      </c>
      <c r="G4189" s="2459">
        <v>0</v>
      </c>
    </row>
    <row r="4190" spans="1:7" x14ac:dyDescent="0.3">
      <c r="A4190" s="11" t="s">
        <v>6269</v>
      </c>
      <c r="B4190" s="11" t="s">
        <v>6270</v>
      </c>
      <c r="C4190" s="2460">
        <v>52888</v>
      </c>
      <c r="D4190" s="2460">
        <v>6761147628.4556103</v>
      </c>
      <c r="E4190" s="2461">
        <v>105817177.885286</v>
      </c>
      <c r="F4190" s="2462">
        <v>84.271148075807503</v>
      </c>
      <c r="G4190" s="2463">
        <v>0.385791982802491</v>
      </c>
    </row>
    <row r="4191" spans="1:7" x14ac:dyDescent="0.3">
      <c r="A4191" s="6" t="s">
        <v>6269</v>
      </c>
      <c r="B4191" s="6" t="s">
        <v>6271</v>
      </c>
      <c r="C4191" s="2456">
        <v>59876</v>
      </c>
      <c r="D4191" s="2456">
        <v>8023087121.55375</v>
      </c>
      <c r="E4191" s="2457">
        <v>0</v>
      </c>
      <c r="F4191" s="2458">
        <v>100</v>
      </c>
      <c r="G4191" s="2459">
        <v>0</v>
      </c>
    </row>
    <row r="4192" spans="1:7" x14ac:dyDescent="0.3">
      <c r="A4192" s="3299" t="s">
        <v>871</v>
      </c>
      <c r="B4192" s="3298"/>
      <c r="C4192" s="3298"/>
      <c r="D4192" s="3298"/>
      <c r="E4192" s="3298"/>
      <c r="F4192" s="3298"/>
      <c r="G4192" s="3298"/>
    </row>
    <row r="4193" spans="1:7" x14ac:dyDescent="0.3">
      <c r="A4193" s="11" t="s">
        <v>962</v>
      </c>
      <c r="B4193" s="11" t="s">
        <v>6123</v>
      </c>
      <c r="C4193" s="2468">
        <v>19770</v>
      </c>
      <c r="D4193" s="2468">
        <v>2676716655.4414601</v>
      </c>
      <c r="E4193" s="2469">
        <v>32950725.498282999</v>
      </c>
      <c r="F4193" s="2470">
        <v>33.3782038329663</v>
      </c>
      <c r="G4193" s="2471">
        <v>0.25876853443526998</v>
      </c>
    </row>
    <row r="4194" spans="1:7" x14ac:dyDescent="0.3">
      <c r="A4194" s="6" t="s">
        <v>966</v>
      </c>
      <c r="B4194" s="6" t="s">
        <v>6125</v>
      </c>
      <c r="C4194" s="2464">
        <v>6843</v>
      </c>
      <c r="D4194" s="2464">
        <v>1117651425.5622399</v>
      </c>
      <c r="E4194" s="2465">
        <v>11852637.6612265</v>
      </c>
      <c r="F4194" s="2466">
        <v>13.936924186870799</v>
      </c>
      <c r="G4194" s="2467">
        <v>0.26362556741781401</v>
      </c>
    </row>
    <row r="4195" spans="1:7" x14ac:dyDescent="0.3">
      <c r="A4195" s="11" t="s">
        <v>997</v>
      </c>
      <c r="B4195" s="11" t="s">
        <v>6133</v>
      </c>
      <c r="C4195" s="2468">
        <v>8788</v>
      </c>
      <c r="D4195" s="2468">
        <v>961680258.28593099</v>
      </c>
      <c r="E4195" s="2469">
        <v>37391484.830878697</v>
      </c>
      <c r="F4195" s="2470">
        <v>11.9919901189218</v>
      </c>
      <c r="G4195" s="2471">
        <v>0.33614677610386301</v>
      </c>
    </row>
    <row r="4196" spans="1:7" x14ac:dyDescent="0.3">
      <c r="A4196" s="6" t="s">
        <v>972</v>
      </c>
      <c r="B4196" s="6" t="s">
        <v>6128</v>
      </c>
      <c r="C4196" s="2464">
        <v>3670</v>
      </c>
      <c r="D4196" s="2464">
        <v>618228105.56992996</v>
      </c>
      <c r="E4196" s="2465">
        <v>25371349.9876629</v>
      </c>
      <c r="F4196" s="2466">
        <v>7.7091998815161897</v>
      </c>
      <c r="G4196" s="2467">
        <v>0.31498051312285702</v>
      </c>
    </row>
    <row r="4197" spans="1:7" x14ac:dyDescent="0.3">
      <c r="A4197" s="11" t="s">
        <v>1001</v>
      </c>
      <c r="B4197" s="11" t="s">
        <v>6135</v>
      </c>
      <c r="C4197" s="2468">
        <v>4974</v>
      </c>
      <c r="D4197" s="2468">
        <v>589774133.44451201</v>
      </c>
      <c r="E4197" s="2469">
        <v>19439590.3239801</v>
      </c>
      <c r="F4197" s="2470">
        <v>7.3543836630983801</v>
      </c>
      <c r="G4197" s="2471">
        <v>0.18284122062587399</v>
      </c>
    </row>
    <row r="4198" spans="1:7" x14ac:dyDescent="0.3">
      <c r="A4198" s="6" t="s">
        <v>991</v>
      </c>
      <c r="B4198" s="6" t="s">
        <v>6130</v>
      </c>
      <c r="C4198" s="2464">
        <v>1736</v>
      </c>
      <c r="D4198" s="2464">
        <v>401797576.50902599</v>
      </c>
      <c r="E4198" s="2465">
        <v>11076127.919788299</v>
      </c>
      <c r="F4198" s="2466">
        <v>5.0103478009323599</v>
      </c>
      <c r="G4198" s="2467">
        <v>0.146446340436616</v>
      </c>
    </row>
    <row r="4199" spans="1:7" x14ac:dyDescent="0.3">
      <c r="A4199" s="11" t="s">
        <v>1009</v>
      </c>
      <c r="B4199" s="11" t="s">
        <v>6139</v>
      </c>
      <c r="C4199" s="2468">
        <v>2172</v>
      </c>
      <c r="D4199" s="2468">
        <v>227979338.47832799</v>
      </c>
      <c r="E4199" s="2469">
        <v>7103072.7867935998</v>
      </c>
      <c r="F4199" s="2470">
        <v>2.84286378013344</v>
      </c>
      <c r="G4199" s="2471">
        <v>6.5199924401164996E-2</v>
      </c>
    </row>
    <row r="4200" spans="1:7" x14ac:dyDescent="0.3">
      <c r="A4200" s="6" t="s">
        <v>1003</v>
      </c>
      <c r="B4200" s="6" t="s">
        <v>6136</v>
      </c>
      <c r="C4200" s="2464">
        <v>1821</v>
      </c>
      <c r="D4200" s="2464">
        <v>226888083.916163</v>
      </c>
      <c r="E4200" s="2465">
        <v>13707312.384551801</v>
      </c>
      <c r="F4200" s="2466">
        <v>2.8292560203671799</v>
      </c>
      <c r="G4200" s="2467">
        <v>0.14104743817413501</v>
      </c>
    </row>
    <row r="4201" spans="1:7" x14ac:dyDescent="0.3">
      <c r="A4201" s="11" t="s">
        <v>1007</v>
      </c>
      <c r="B4201" s="11" t="s">
        <v>6138</v>
      </c>
      <c r="C4201" s="2468">
        <v>1816</v>
      </c>
      <c r="D4201" s="2468">
        <v>223655633.454364</v>
      </c>
      <c r="E4201" s="2469">
        <v>10452859.8953472</v>
      </c>
      <c r="F4201" s="2470">
        <v>2.7889479099907701</v>
      </c>
      <c r="G4201" s="2471">
        <v>0.13816654208558701</v>
      </c>
    </row>
    <row r="4202" spans="1:7" x14ac:dyDescent="0.3">
      <c r="A4202" s="6" t="s">
        <v>999</v>
      </c>
      <c r="B4202" s="6" t="s">
        <v>6134</v>
      </c>
      <c r="C4202" s="2464">
        <v>1556</v>
      </c>
      <c r="D4202" s="2464">
        <v>158949299.307789</v>
      </c>
      <c r="E4202" s="2465">
        <v>10488540.9124036</v>
      </c>
      <c r="F4202" s="2466">
        <v>1.9820708705260901</v>
      </c>
      <c r="G4202" s="2467">
        <v>0.113507301135233</v>
      </c>
    </row>
    <row r="4203" spans="1:7" x14ac:dyDescent="0.3">
      <c r="A4203" s="11" t="s">
        <v>1005</v>
      </c>
      <c r="B4203" s="11" t="s">
        <v>6137</v>
      </c>
      <c r="C4203" s="2468">
        <v>1577</v>
      </c>
      <c r="D4203" s="2468">
        <v>156064165.45488301</v>
      </c>
      <c r="E4203" s="2469">
        <v>9701896.8920146395</v>
      </c>
      <c r="F4203" s="2470">
        <v>1.9460937395018201</v>
      </c>
      <c r="G4203" s="2471">
        <v>0.13318482402014001</v>
      </c>
    </row>
    <row r="4204" spans="1:7" x14ac:dyDescent="0.3">
      <c r="A4204" s="6" t="s">
        <v>1011</v>
      </c>
      <c r="B4204" s="6" t="s">
        <v>6140</v>
      </c>
      <c r="C4204" s="2464">
        <v>1200</v>
      </c>
      <c r="D4204" s="2464">
        <v>153807281.674766</v>
      </c>
      <c r="E4204" s="2465">
        <v>10159694.907169299</v>
      </c>
      <c r="F4204" s="2466">
        <v>1.91795078059471</v>
      </c>
      <c r="G4204" s="2467">
        <v>0.124593661945303</v>
      </c>
    </row>
    <row r="4205" spans="1:7" x14ac:dyDescent="0.3">
      <c r="A4205" s="11" t="s">
        <v>1013</v>
      </c>
      <c r="B4205" s="11" t="s">
        <v>6141</v>
      </c>
      <c r="C4205" s="2468">
        <v>1270</v>
      </c>
      <c r="D4205" s="2468">
        <v>115711774.87349799</v>
      </c>
      <c r="E4205" s="2469">
        <v>10584008.8260729</v>
      </c>
      <c r="F4205" s="2470">
        <v>1.44290625597237</v>
      </c>
      <c r="G4205" s="2471">
        <v>0.12956538184788399</v>
      </c>
    </row>
    <row r="4206" spans="1:7" x14ac:dyDescent="0.3">
      <c r="A4206" s="6" t="s">
        <v>964</v>
      </c>
      <c r="B4206" s="6" t="s">
        <v>6124</v>
      </c>
      <c r="C4206" s="2464">
        <v>594</v>
      </c>
      <c r="D4206" s="2464">
        <v>103738364.294339</v>
      </c>
      <c r="E4206" s="2465">
        <v>6996887.4322858201</v>
      </c>
      <c r="F4206" s="2466">
        <v>1.2935998517720999</v>
      </c>
      <c r="G4206" s="2467">
        <v>8.6933459446007999E-2</v>
      </c>
    </row>
    <row r="4207" spans="1:7" x14ac:dyDescent="0.3">
      <c r="A4207" s="11" t="s">
        <v>968</v>
      </c>
      <c r="B4207" s="11" t="s">
        <v>6126</v>
      </c>
      <c r="C4207" s="2468">
        <v>720</v>
      </c>
      <c r="D4207" s="2468">
        <v>92368407.797430098</v>
      </c>
      <c r="E4207" s="2469">
        <v>6388546.5392458597</v>
      </c>
      <c r="F4207" s="2470">
        <v>1.1518184178820701</v>
      </c>
      <c r="G4207" s="2471">
        <v>6.9721442415080104E-2</v>
      </c>
    </row>
    <row r="4208" spans="1:7" x14ac:dyDescent="0.3">
      <c r="A4208" s="6" t="s">
        <v>981</v>
      </c>
      <c r="B4208" s="6" t="s">
        <v>6129</v>
      </c>
      <c r="C4208" s="2464">
        <v>519</v>
      </c>
      <c r="D4208" s="2464">
        <v>83472853.193063706</v>
      </c>
      <c r="E4208" s="2465">
        <v>11146964.800278099</v>
      </c>
      <c r="F4208" s="2466">
        <v>1.0408923569602999</v>
      </c>
      <c r="G4208" s="2467">
        <v>0.139344738699091</v>
      </c>
    </row>
    <row r="4209" spans="1:7" x14ac:dyDescent="0.3">
      <c r="A4209" s="11" t="s">
        <v>970</v>
      </c>
      <c r="B4209" s="11" t="s">
        <v>6127</v>
      </c>
      <c r="C4209" s="2468">
        <v>417</v>
      </c>
      <c r="D4209" s="2468">
        <v>48436161.490149997</v>
      </c>
      <c r="E4209" s="2469">
        <v>5138294.3112202501</v>
      </c>
      <c r="F4209" s="2470">
        <v>0.60399073910871603</v>
      </c>
      <c r="G4209" s="2471">
        <v>5.8571011143941101E-2</v>
      </c>
    </row>
    <row r="4210" spans="1:7" x14ac:dyDescent="0.3">
      <c r="A4210" s="6" t="s">
        <v>993</v>
      </c>
      <c r="B4210" s="6" t="s">
        <v>6131</v>
      </c>
      <c r="C4210" s="2464">
        <v>164</v>
      </c>
      <c r="D4210" s="2464">
        <v>30211431.817206401</v>
      </c>
      <c r="E4210" s="2465">
        <v>4721710.6640178803</v>
      </c>
      <c r="F4210" s="2466">
        <v>0.37673144343855403</v>
      </c>
      <c r="G4210" s="2467">
        <v>5.9636127132604598E-2</v>
      </c>
    </row>
    <row r="4211" spans="1:7" x14ac:dyDescent="0.3">
      <c r="A4211" s="11" t="s">
        <v>983</v>
      </c>
      <c r="B4211" s="11" t="s">
        <v>1015</v>
      </c>
      <c r="C4211" s="2468">
        <v>205</v>
      </c>
      <c r="D4211" s="2468">
        <v>26445656.955906201</v>
      </c>
      <c r="E4211" s="2469">
        <v>3994565.0466474299</v>
      </c>
      <c r="F4211" s="2470">
        <v>0.32977286803087402</v>
      </c>
      <c r="G4211" s="2471">
        <v>5.01505787711687E-2</v>
      </c>
    </row>
    <row r="4212" spans="1:7" x14ac:dyDescent="0.3">
      <c r="A4212" s="6" t="s">
        <v>995</v>
      </c>
      <c r="B4212" s="6" t="s">
        <v>6132</v>
      </c>
      <c r="C4212" s="2464">
        <v>39</v>
      </c>
      <c r="D4212" s="2464">
        <v>5778384.8461380303</v>
      </c>
      <c r="E4212" s="2465">
        <v>1758263.4454184801</v>
      </c>
      <c r="F4212" s="2466">
        <v>7.2055481415125397E-2</v>
      </c>
      <c r="G4212" s="2467">
        <v>2.1505210050084E-2</v>
      </c>
    </row>
    <row r="4213" spans="1:7" x14ac:dyDescent="0.3">
      <c r="A4213" s="11" t="s">
        <v>956</v>
      </c>
      <c r="B4213" s="11" t="s">
        <v>957</v>
      </c>
      <c r="C4213" s="2468">
        <v>7</v>
      </c>
      <c r="D4213" s="2468">
        <v>2022928.4559474001</v>
      </c>
      <c r="E4213" s="2469">
        <v>1292193.17660488</v>
      </c>
      <c r="F4213" s="2470">
        <v>54.203066259371298</v>
      </c>
      <c r="G4213" s="2471">
        <v>26.783785799523301</v>
      </c>
    </row>
    <row r="4214" spans="1:7" x14ac:dyDescent="0.3">
      <c r="A4214" s="6" t="s">
        <v>958</v>
      </c>
      <c r="B4214" s="6" t="s">
        <v>959</v>
      </c>
      <c r="C4214" s="2464">
        <v>14</v>
      </c>
      <c r="D4214" s="2464">
        <v>1267674.58114548</v>
      </c>
      <c r="E4214" s="2465">
        <v>846456.55729156104</v>
      </c>
      <c r="F4214" s="2466">
        <v>33.966524676212103</v>
      </c>
      <c r="G4214" s="2467">
        <v>24.829262437035201</v>
      </c>
    </row>
    <row r="4215" spans="1:7" x14ac:dyDescent="0.3">
      <c r="A4215" s="11" t="s">
        <v>974</v>
      </c>
      <c r="B4215" s="11" t="s">
        <v>975</v>
      </c>
      <c r="C4215" s="2468">
        <v>4</v>
      </c>
      <c r="D4215" s="2468">
        <v>441526.14959801902</v>
      </c>
      <c r="E4215" s="2469">
        <v>323707.42425996502</v>
      </c>
      <c r="F4215" s="2470">
        <v>11.8304090644166</v>
      </c>
      <c r="G4215" s="2471">
        <v>10.597604981156399</v>
      </c>
    </row>
    <row r="4216" spans="1:7" x14ac:dyDescent="0.3">
      <c r="A4216" s="6" t="s">
        <v>6269</v>
      </c>
      <c r="B4216" s="6" t="s">
        <v>6270</v>
      </c>
      <c r="C4216" s="2464">
        <v>59851</v>
      </c>
      <c r="D4216" s="2464">
        <v>8019354992.3671303</v>
      </c>
      <c r="E4216" s="2465">
        <v>109311687.13160001</v>
      </c>
      <c r="F4216" s="2466">
        <v>99.953482629190603</v>
      </c>
      <c r="G4216" s="2467">
        <v>1.5984635744442501E-2</v>
      </c>
    </row>
    <row r="4217" spans="1:7" x14ac:dyDescent="0.3">
      <c r="A4217" s="11" t="s">
        <v>6269</v>
      </c>
      <c r="B4217" s="11" t="s">
        <v>6271</v>
      </c>
      <c r="C4217" s="2468">
        <v>59876</v>
      </c>
      <c r="D4217" s="2468">
        <v>8023087121.5538197</v>
      </c>
      <c r="E4217" s="2469">
        <v>0</v>
      </c>
      <c r="F4217" s="2470">
        <v>100</v>
      </c>
      <c r="G4217" s="2471">
        <v>0</v>
      </c>
    </row>
    <row r="4218" spans="1:7" x14ac:dyDescent="0.3">
      <c r="A4218" s="3299" t="s">
        <v>874</v>
      </c>
      <c r="B4218" s="3298"/>
      <c r="C4218" s="3298"/>
      <c r="D4218" s="3298"/>
      <c r="E4218" s="3298"/>
      <c r="F4218" s="3298"/>
      <c r="G4218" s="3298"/>
    </row>
    <row r="4219" spans="1:7" x14ac:dyDescent="0.3">
      <c r="A4219" s="11" t="s">
        <v>6711</v>
      </c>
      <c r="B4219" s="11"/>
      <c r="C4219" s="2476">
        <v>148</v>
      </c>
      <c r="D4219" s="2476">
        <v>19801674.232183602</v>
      </c>
      <c r="E4219" s="2477">
        <v>3368179.4917502399</v>
      </c>
      <c r="F4219" s="2478">
        <v>75.319708711425704</v>
      </c>
      <c r="G4219" s="2479">
        <v>8.4723872788825698</v>
      </c>
    </row>
    <row r="4220" spans="1:7" x14ac:dyDescent="0.3">
      <c r="A4220" s="6" t="s">
        <v>6712</v>
      </c>
      <c r="B4220" s="6"/>
      <c r="C4220" s="2472">
        <v>47</v>
      </c>
      <c r="D4220" s="2472">
        <v>4627566.2958595902</v>
      </c>
      <c r="E4220" s="2473">
        <v>1936651.3051018</v>
      </c>
      <c r="F4220" s="2474">
        <v>17.601892716751401</v>
      </c>
      <c r="G4220" s="2475">
        <v>7.5369004943246303</v>
      </c>
    </row>
    <row r="4221" spans="1:7" x14ac:dyDescent="0.3">
      <c r="A4221" s="11" t="s">
        <v>6713</v>
      </c>
      <c r="B4221" s="11"/>
      <c r="C4221" s="2476">
        <v>6</v>
      </c>
      <c r="D4221" s="2476">
        <v>1395691.89461889</v>
      </c>
      <c r="E4221" s="2477">
        <v>1369905.1535414199</v>
      </c>
      <c r="F4221" s="2478">
        <v>5.3087989288671604</v>
      </c>
      <c r="G4221" s="2479">
        <v>5.2312432565898401</v>
      </c>
    </row>
    <row r="4222" spans="1:7" x14ac:dyDescent="0.3">
      <c r="A4222" s="6" t="s">
        <v>6714</v>
      </c>
      <c r="B4222" s="6"/>
      <c r="C4222" s="2472">
        <v>2</v>
      </c>
      <c r="D4222" s="2472">
        <v>465230.63153963001</v>
      </c>
      <c r="E4222" s="2473">
        <v>456635.05118047202</v>
      </c>
      <c r="F4222" s="2474">
        <v>1.7695996429557199</v>
      </c>
      <c r="G4222" s="2475">
        <v>1.74374775219661</v>
      </c>
    </row>
    <row r="4223" spans="1:7" x14ac:dyDescent="0.3">
      <c r="A4223" s="11" t="s">
        <v>960</v>
      </c>
      <c r="B4223" s="11" t="s">
        <v>961</v>
      </c>
      <c r="C4223" s="2476">
        <v>59671</v>
      </c>
      <c r="D4223" s="2476">
        <v>7996641464.5980597</v>
      </c>
      <c r="E4223" s="2477">
        <v>109457186.641426</v>
      </c>
      <c r="F4223" s="2478">
        <v>99.998055547708503</v>
      </c>
      <c r="G4223" s="2479">
        <v>1.9621993874727401E-3</v>
      </c>
    </row>
    <row r="4224" spans="1:7" x14ac:dyDescent="0.3">
      <c r="A4224" s="6" t="s">
        <v>974</v>
      </c>
      <c r="B4224" s="6" t="s">
        <v>975</v>
      </c>
      <c r="C4224" s="2472">
        <v>2</v>
      </c>
      <c r="D4224" s="2472">
        <v>155493.901704477</v>
      </c>
      <c r="E4224" s="2473">
        <v>157251.16358662699</v>
      </c>
      <c r="F4224" s="2474">
        <v>1.94445229147907E-3</v>
      </c>
      <c r="G4224" s="2475">
        <v>1.9621993874725102E-3</v>
      </c>
    </row>
    <row r="4225" spans="1:7" x14ac:dyDescent="0.3">
      <c r="A4225" s="11" t="s">
        <v>6269</v>
      </c>
      <c r="B4225" s="11" t="s">
        <v>6270</v>
      </c>
      <c r="C4225" s="2476">
        <v>203</v>
      </c>
      <c r="D4225" s="2476">
        <v>26290163.0542017</v>
      </c>
      <c r="E4225" s="2477">
        <v>3979380.8848910299</v>
      </c>
      <c r="F4225" s="2478">
        <v>0.32768138567975102</v>
      </c>
      <c r="G4225" s="2479">
        <v>5.0092021303558602E-2</v>
      </c>
    </row>
    <row r="4226" spans="1:7" x14ac:dyDescent="0.3">
      <c r="A4226" s="6" t="s">
        <v>6269</v>
      </c>
      <c r="B4226" s="6" t="s">
        <v>6271</v>
      </c>
      <c r="C4226" s="2472">
        <v>59876</v>
      </c>
      <c r="D4226" s="2472">
        <v>8023087121.5539703</v>
      </c>
      <c r="E4226" s="2473">
        <v>0</v>
      </c>
      <c r="F4226" s="2474">
        <v>100</v>
      </c>
      <c r="G4226" s="2475">
        <v>0</v>
      </c>
    </row>
    <row r="4227" spans="1:7" x14ac:dyDescent="0.3">
      <c r="A4227" s="3299" t="s">
        <v>876</v>
      </c>
      <c r="B4227" s="3298"/>
      <c r="C4227" s="3298"/>
      <c r="D4227" s="3298"/>
      <c r="E4227" s="3298"/>
      <c r="F4227" s="3298"/>
      <c r="G4227" s="3298"/>
    </row>
    <row r="4228" spans="1:7" x14ac:dyDescent="0.3">
      <c r="A4228" s="11" t="s">
        <v>962</v>
      </c>
      <c r="B4228" s="11" t="s">
        <v>6123</v>
      </c>
      <c r="C4228" s="2484">
        <v>20087</v>
      </c>
      <c r="D4228" s="2484">
        <v>2723036291.4863</v>
      </c>
      <c r="E4228" s="2485">
        <v>33562796.051922597</v>
      </c>
      <c r="F4228" s="2486">
        <v>33.948399436738697</v>
      </c>
      <c r="G4228" s="2487">
        <v>0.20492584196931901</v>
      </c>
    </row>
    <row r="4229" spans="1:7" x14ac:dyDescent="0.3">
      <c r="A4229" s="6" t="s">
        <v>966</v>
      </c>
      <c r="B4229" s="6" t="s">
        <v>6125</v>
      </c>
      <c r="C4229" s="2480">
        <v>6785</v>
      </c>
      <c r="D4229" s="2480">
        <v>1106702378.3734801</v>
      </c>
      <c r="E4229" s="2481">
        <v>12592565.094636699</v>
      </c>
      <c r="F4229" s="2482">
        <v>13.7973829126253</v>
      </c>
      <c r="G4229" s="2483">
        <v>0.28278895570692097</v>
      </c>
    </row>
    <row r="4230" spans="1:7" x14ac:dyDescent="0.3">
      <c r="A4230" s="11" t="s">
        <v>997</v>
      </c>
      <c r="B4230" s="11" t="s">
        <v>6133</v>
      </c>
      <c r="C4230" s="2484">
        <v>8760</v>
      </c>
      <c r="D4230" s="2484">
        <v>957735036.27394903</v>
      </c>
      <c r="E4230" s="2485">
        <v>36179838.614340298</v>
      </c>
      <c r="F4230" s="2486">
        <v>11.9401903190357</v>
      </c>
      <c r="G4230" s="2487">
        <v>0.32465436156225502</v>
      </c>
    </row>
    <row r="4231" spans="1:7" x14ac:dyDescent="0.3">
      <c r="A4231" s="6" t="s">
        <v>972</v>
      </c>
      <c r="B4231" s="6" t="s">
        <v>6128</v>
      </c>
      <c r="C4231" s="2480">
        <v>3657</v>
      </c>
      <c r="D4231" s="2480">
        <v>616608653.679111</v>
      </c>
      <c r="E4231" s="2481">
        <v>24303234.785064299</v>
      </c>
      <c r="F4231" s="2482">
        <v>7.6873293744544497</v>
      </c>
      <c r="G4231" s="2483">
        <v>0.29950215713274098</v>
      </c>
    </row>
    <row r="4232" spans="1:7" x14ac:dyDescent="0.3">
      <c r="A4232" s="11" t="s">
        <v>1001</v>
      </c>
      <c r="B4232" s="11" t="s">
        <v>6135</v>
      </c>
      <c r="C4232" s="2484">
        <v>4970</v>
      </c>
      <c r="D4232" s="2484">
        <v>588384838.84442604</v>
      </c>
      <c r="E4232" s="2485">
        <v>19038158.991152301</v>
      </c>
      <c r="F4232" s="2486">
        <v>7.3354599033672896</v>
      </c>
      <c r="G4232" s="2487">
        <v>0.179160349613322</v>
      </c>
    </row>
    <row r="4233" spans="1:7" x14ac:dyDescent="0.3">
      <c r="A4233" s="6" t="s">
        <v>991</v>
      </c>
      <c r="B4233" s="6" t="s">
        <v>6130</v>
      </c>
      <c r="C4233" s="2480">
        <v>1694</v>
      </c>
      <c r="D4233" s="2480">
        <v>393167466.02197498</v>
      </c>
      <c r="E4233" s="2481">
        <v>11023529.1657384</v>
      </c>
      <c r="F4233" s="2482">
        <v>4.9016629795848496</v>
      </c>
      <c r="G4233" s="2483">
        <v>0.143489693899051</v>
      </c>
    </row>
    <row r="4234" spans="1:7" x14ac:dyDescent="0.3">
      <c r="A4234" s="11" t="s">
        <v>1009</v>
      </c>
      <c r="B4234" s="11" t="s">
        <v>6139</v>
      </c>
      <c r="C4234" s="2484">
        <v>2221</v>
      </c>
      <c r="D4234" s="2484">
        <v>237770101.81780201</v>
      </c>
      <c r="E4234" s="2485">
        <v>8553577.38757498</v>
      </c>
      <c r="F4234" s="2486">
        <v>2.9643065778675002</v>
      </c>
      <c r="G4234" s="2487">
        <v>0.100108300030261</v>
      </c>
    </row>
    <row r="4235" spans="1:7" x14ac:dyDescent="0.3">
      <c r="A4235" s="6" t="s">
        <v>1007</v>
      </c>
      <c r="B4235" s="6" t="s">
        <v>6138</v>
      </c>
      <c r="C4235" s="2480">
        <v>1804</v>
      </c>
      <c r="D4235" s="2480">
        <v>225993875.07235801</v>
      </c>
      <c r="E4235" s="2481">
        <v>11645433.081464799</v>
      </c>
      <c r="F4235" s="2482">
        <v>2.81749103572366</v>
      </c>
      <c r="G4235" s="2483">
        <v>0.15044129254296701</v>
      </c>
    </row>
    <row r="4236" spans="1:7" x14ac:dyDescent="0.3">
      <c r="A4236" s="11" t="s">
        <v>1003</v>
      </c>
      <c r="B4236" s="11" t="s">
        <v>6136</v>
      </c>
      <c r="C4236" s="2484">
        <v>1816</v>
      </c>
      <c r="D4236" s="2484">
        <v>225895103.81681699</v>
      </c>
      <c r="E4236" s="2485">
        <v>14082700.2022459</v>
      </c>
      <c r="F4236" s="2486">
        <v>2.8162596433817799</v>
      </c>
      <c r="G4236" s="2487">
        <v>0.145581973829676</v>
      </c>
    </row>
    <row r="4237" spans="1:7" x14ac:dyDescent="0.3">
      <c r="A4237" s="6" t="s">
        <v>1005</v>
      </c>
      <c r="B4237" s="6" t="s">
        <v>6137</v>
      </c>
      <c r="C4237" s="2480">
        <v>1590</v>
      </c>
      <c r="D4237" s="2480">
        <v>162354331.48551801</v>
      </c>
      <c r="E4237" s="2481">
        <v>9519253.9108244702</v>
      </c>
      <c r="F4237" s="2482">
        <v>2.0240896945764302</v>
      </c>
      <c r="G4237" s="2483">
        <v>0.13424012465277199</v>
      </c>
    </row>
    <row r="4238" spans="1:7" x14ac:dyDescent="0.3">
      <c r="A4238" s="11" t="s">
        <v>999</v>
      </c>
      <c r="B4238" s="11" t="s">
        <v>6134</v>
      </c>
      <c r="C4238" s="2484">
        <v>1552</v>
      </c>
      <c r="D4238" s="2484">
        <v>158168164.09971201</v>
      </c>
      <c r="E4238" s="2485">
        <v>10225221.8733509</v>
      </c>
      <c r="F4238" s="2486">
        <v>1.9719002753730499</v>
      </c>
      <c r="G4238" s="2487">
        <v>0.11000344970074399</v>
      </c>
    </row>
    <row r="4239" spans="1:7" x14ac:dyDescent="0.3">
      <c r="A4239" s="6" t="s">
        <v>1011</v>
      </c>
      <c r="B4239" s="6" t="s">
        <v>6140</v>
      </c>
      <c r="C4239" s="2480">
        <v>1187</v>
      </c>
      <c r="D4239" s="2480">
        <v>151943229.153947</v>
      </c>
      <c r="E4239" s="2481">
        <v>9664238.7525898498</v>
      </c>
      <c r="F4239" s="2482">
        <v>1.8942933119009699</v>
      </c>
      <c r="G4239" s="2483">
        <v>0.117823468706565</v>
      </c>
    </row>
    <row r="4240" spans="1:7" x14ac:dyDescent="0.3">
      <c r="A4240" s="11" t="s">
        <v>1013</v>
      </c>
      <c r="B4240" s="11" t="s">
        <v>6141</v>
      </c>
      <c r="C4240" s="2484">
        <v>1262</v>
      </c>
      <c r="D4240" s="2484">
        <v>117017009.009284</v>
      </c>
      <c r="E4240" s="2485">
        <v>9237605.2939945199</v>
      </c>
      <c r="F4240" s="2486">
        <v>1.4588642006571699</v>
      </c>
      <c r="G4240" s="2487">
        <v>0.112178287863341</v>
      </c>
    </row>
    <row r="4241" spans="1:7" x14ac:dyDescent="0.3">
      <c r="A4241" s="6" t="s">
        <v>968</v>
      </c>
      <c r="B4241" s="6" t="s">
        <v>6126</v>
      </c>
      <c r="C4241" s="2480">
        <v>698</v>
      </c>
      <c r="D4241" s="2480">
        <v>90252136.210969597</v>
      </c>
      <c r="E4241" s="2481">
        <v>7019052.59748335</v>
      </c>
      <c r="F4241" s="2482">
        <v>1.1251835238804599</v>
      </c>
      <c r="G4241" s="2483">
        <v>7.8235023175701496E-2</v>
      </c>
    </row>
    <row r="4242" spans="1:7" x14ac:dyDescent="0.3">
      <c r="A4242" s="11" t="s">
        <v>981</v>
      </c>
      <c r="B4242" s="11" t="s">
        <v>6129</v>
      </c>
      <c r="C4242" s="2484">
        <v>518</v>
      </c>
      <c r="D4242" s="2484">
        <v>81585656.538254201</v>
      </c>
      <c r="E4242" s="2485">
        <v>10742960.449137401</v>
      </c>
      <c r="F4242" s="2486">
        <v>1.0171375479382501</v>
      </c>
      <c r="G4242" s="2487">
        <v>0.13383321037446499</v>
      </c>
    </row>
    <row r="4243" spans="1:7" x14ac:dyDescent="0.3">
      <c r="A4243" s="6" t="s">
        <v>964</v>
      </c>
      <c r="B4243" s="6" t="s">
        <v>6124</v>
      </c>
      <c r="C4243" s="2480">
        <v>445</v>
      </c>
      <c r="D4243" s="2480">
        <v>76443957.576993793</v>
      </c>
      <c r="E4243" s="2481">
        <v>5667529.9355833903</v>
      </c>
      <c r="F4243" s="2482">
        <v>0.95303540920947405</v>
      </c>
      <c r="G4243" s="2483">
        <v>6.6570052003008598E-2</v>
      </c>
    </row>
    <row r="4244" spans="1:7" x14ac:dyDescent="0.3">
      <c r="A4244" s="11" t="s">
        <v>970</v>
      </c>
      <c r="B4244" s="11" t="s">
        <v>6127</v>
      </c>
      <c r="C4244" s="2484">
        <v>404</v>
      </c>
      <c r="D4244" s="2484">
        <v>45216944.612192899</v>
      </c>
      <c r="E4244" s="2485">
        <v>5458766.6092426702</v>
      </c>
      <c r="F4244" s="2486">
        <v>0.56372472956126196</v>
      </c>
      <c r="G4244" s="2487">
        <v>6.2639902105684195E-2</v>
      </c>
    </row>
    <row r="4245" spans="1:7" x14ac:dyDescent="0.3">
      <c r="A4245" s="6" t="s">
        <v>993</v>
      </c>
      <c r="B4245" s="6" t="s">
        <v>6131</v>
      </c>
      <c r="C4245" s="2480">
        <v>161</v>
      </c>
      <c r="D4245" s="2480">
        <v>31316779.0518209</v>
      </c>
      <c r="E4245" s="2481">
        <v>5021200.2890161397</v>
      </c>
      <c r="F4245" s="2482">
        <v>0.39042980354221102</v>
      </c>
      <c r="G4245" s="2483">
        <v>6.3392365875620305E-2</v>
      </c>
    </row>
    <row r="4246" spans="1:7" x14ac:dyDescent="0.3">
      <c r="A4246" s="11" t="s">
        <v>983</v>
      </c>
      <c r="B4246" s="11" t="s">
        <v>1015</v>
      </c>
      <c r="C4246" s="2484">
        <v>204</v>
      </c>
      <c r="D4246" s="2484">
        <v>26068931.182381701</v>
      </c>
      <c r="E4246" s="2485">
        <v>4006500.1241533002</v>
      </c>
      <c r="F4246" s="2486">
        <v>0.325004294447098</v>
      </c>
      <c r="G4246" s="2487">
        <v>5.0692370365559902E-2</v>
      </c>
    </row>
    <row r="4247" spans="1:7" x14ac:dyDescent="0.3">
      <c r="A4247" s="6" t="s">
        <v>995</v>
      </c>
      <c r="B4247" s="6" t="s">
        <v>6132</v>
      </c>
      <c r="C4247" s="2480">
        <v>39</v>
      </c>
      <c r="D4247" s="2480">
        <v>5442721.9482982</v>
      </c>
      <c r="E4247" s="2481">
        <v>1921772.94555908</v>
      </c>
      <c r="F4247" s="2482">
        <v>6.7855026134476998E-2</v>
      </c>
      <c r="G4247" s="2483">
        <v>2.3550148988431999E-2</v>
      </c>
    </row>
    <row r="4248" spans="1:7" x14ac:dyDescent="0.3">
      <c r="A4248" s="11" t="s">
        <v>956</v>
      </c>
      <c r="B4248" s="11" t="s">
        <v>957</v>
      </c>
      <c r="C4248" s="2484">
        <v>7</v>
      </c>
      <c r="D4248" s="2484">
        <v>1505696.91223606</v>
      </c>
      <c r="E4248" s="2485">
        <v>1143280.51654992</v>
      </c>
      <c r="F4248" s="2486">
        <v>75.910526809731905</v>
      </c>
      <c r="G4248" s="2487">
        <v>33.520275828080798</v>
      </c>
    </row>
    <row r="4249" spans="1:7" x14ac:dyDescent="0.3">
      <c r="A4249" s="6" t="s">
        <v>958</v>
      </c>
      <c r="B4249" s="6" t="s">
        <v>959</v>
      </c>
      <c r="C4249" s="2480">
        <v>15</v>
      </c>
      <c r="D4249" s="2480">
        <v>477818.38599136099</v>
      </c>
      <c r="E4249" s="2481">
        <v>181965.656071009</v>
      </c>
      <c r="F4249" s="2482">
        <v>24.089473190268102</v>
      </c>
      <c r="G4249" s="2483">
        <v>33.520275828080798</v>
      </c>
    </row>
    <row r="4250" spans="1:7" x14ac:dyDescent="0.3">
      <c r="A4250" s="11" t="s">
        <v>6269</v>
      </c>
      <c r="B4250" s="11" t="s">
        <v>6270</v>
      </c>
      <c r="C4250" s="2484">
        <v>59854</v>
      </c>
      <c r="D4250" s="2484">
        <v>8021103606.2555904</v>
      </c>
      <c r="E4250" s="2485">
        <v>109175392.021006</v>
      </c>
      <c r="F4250" s="2486">
        <v>99.975277405465306</v>
      </c>
      <c r="G4250" s="2487">
        <v>1.36118963869187E-2</v>
      </c>
    </row>
    <row r="4251" spans="1:7" x14ac:dyDescent="0.3">
      <c r="A4251" s="6" t="s">
        <v>6269</v>
      </c>
      <c r="B4251" s="6" t="s">
        <v>6271</v>
      </c>
      <c r="C4251" s="2480">
        <v>59876</v>
      </c>
      <c r="D4251" s="2480">
        <v>8023087121.5538101</v>
      </c>
      <c r="E4251" s="2481">
        <v>0</v>
      </c>
      <c r="F4251" s="2482">
        <v>100</v>
      </c>
      <c r="G4251" s="2483">
        <v>0</v>
      </c>
    </row>
    <row r="4252" spans="1:7" x14ac:dyDescent="0.3">
      <c r="A4252" s="3299" t="s">
        <v>882</v>
      </c>
      <c r="B4252" s="3298"/>
      <c r="C4252" s="3298"/>
      <c r="D4252" s="3298"/>
      <c r="E4252" s="3298"/>
      <c r="F4252" s="3298"/>
      <c r="G4252" s="3298"/>
    </row>
    <row r="4253" spans="1:7" x14ac:dyDescent="0.3">
      <c r="A4253" s="11" t="s">
        <v>6711</v>
      </c>
      <c r="B4253" s="11"/>
      <c r="C4253" s="2492">
        <v>148</v>
      </c>
      <c r="D4253" s="2492">
        <v>19471717.584359799</v>
      </c>
      <c r="E4253" s="2493">
        <v>3308973.6528720199</v>
      </c>
      <c r="F4253" s="2494">
        <v>75.141392372825806</v>
      </c>
      <c r="G4253" s="2495">
        <v>8.5318221104377603</v>
      </c>
    </row>
    <row r="4254" spans="1:7" x14ac:dyDescent="0.3">
      <c r="A4254" s="6" t="s">
        <v>6712</v>
      </c>
      <c r="B4254" s="6"/>
      <c r="C4254" s="2488">
        <v>46</v>
      </c>
      <c r="D4254" s="2488">
        <v>4580797.1701588901</v>
      </c>
      <c r="E4254" s="2489">
        <v>1944313.26829435</v>
      </c>
      <c r="F4254" s="2490">
        <v>17.677304328803299</v>
      </c>
      <c r="G4254" s="2491">
        <v>7.6360844304866999</v>
      </c>
    </row>
    <row r="4255" spans="1:7" x14ac:dyDescent="0.3">
      <c r="A4255" s="11" t="s">
        <v>6713</v>
      </c>
      <c r="B4255" s="11"/>
      <c r="C4255" s="2492">
        <v>6</v>
      </c>
      <c r="D4255" s="2492">
        <v>1395691.89461889</v>
      </c>
      <c r="E4255" s="2493">
        <v>1369905.1535414199</v>
      </c>
      <c r="F4255" s="2494">
        <v>5.3859774737780999</v>
      </c>
      <c r="G4255" s="2495">
        <v>5.3111241730140799</v>
      </c>
    </row>
    <row r="4256" spans="1:7" x14ac:dyDescent="0.3">
      <c r="A4256" s="6" t="s">
        <v>6714</v>
      </c>
      <c r="B4256" s="6"/>
      <c r="C4256" s="2488">
        <v>2</v>
      </c>
      <c r="D4256" s="2488">
        <v>465230.63153963001</v>
      </c>
      <c r="E4256" s="2489">
        <v>456635.05118047202</v>
      </c>
      <c r="F4256" s="2490">
        <v>1.7953258245927</v>
      </c>
      <c r="G4256" s="2491">
        <v>1.7703747243380299</v>
      </c>
    </row>
    <row r="4257" spans="1:7" x14ac:dyDescent="0.3">
      <c r="A4257" s="11" t="s">
        <v>960</v>
      </c>
      <c r="B4257" s="11" t="s">
        <v>961</v>
      </c>
      <c r="C4257" s="2492">
        <v>59672</v>
      </c>
      <c r="D4257" s="2492">
        <v>7997018190.3715897</v>
      </c>
      <c r="E4257" s="2493">
        <v>109827514.875569</v>
      </c>
      <c r="F4257" s="2494">
        <v>99.9980556393065</v>
      </c>
      <c r="G4257" s="2495">
        <v>1.96209333817293E-3</v>
      </c>
    </row>
    <row r="4258" spans="1:7" x14ac:dyDescent="0.3">
      <c r="A4258" s="6" t="s">
        <v>974</v>
      </c>
      <c r="B4258" s="6" t="s">
        <v>975</v>
      </c>
      <c r="C4258" s="2488">
        <v>2</v>
      </c>
      <c r="D4258" s="2488">
        <v>155493.901704477</v>
      </c>
      <c r="E4258" s="2489">
        <v>157251.16358662699</v>
      </c>
      <c r="F4258" s="2490">
        <v>1.9443606934567499E-3</v>
      </c>
      <c r="G4258" s="2491">
        <v>1.9620933381709802E-3</v>
      </c>
    </row>
    <row r="4259" spans="1:7" x14ac:dyDescent="0.3">
      <c r="A4259" s="11" t="s">
        <v>6269</v>
      </c>
      <c r="B4259" s="11" t="s">
        <v>6270</v>
      </c>
      <c r="C4259" s="2492">
        <v>202</v>
      </c>
      <c r="D4259" s="2492">
        <v>25913437.280677199</v>
      </c>
      <c r="E4259" s="2493">
        <v>4005582.55114249</v>
      </c>
      <c r="F4259" s="2494">
        <v>0.32298586426988901</v>
      </c>
      <c r="G4259" s="2495">
        <v>5.0808493756369102E-2</v>
      </c>
    </row>
    <row r="4260" spans="1:7" x14ac:dyDescent="0.3">
      <c r="A4260" s="6" t="s">
        <v>6269</v>
      </c>
      <c r="B4260" s="6" t="s">
        <v>6271</v>
      </c>
      <c r="C4260" s="2488">
        <v>59876</v>
      </c>
      <c r="D4260" s="2488">
        <v>8023087121.5539703</v>
      </c>
      <c r="E4260" s="2489">
        <v>0</v>
      </c>
      <c r="F4260" s="2490">
        <v>100</v>
      </c>
      <c r="G4260" s="2491">
        <v>0</v>
      </c>
    </row>
    <row r="4261" spans="1:7" x14ac:dyDescent="0.3">
      <c r="A4261" s="3299" t="s">
        <v>323</v>
      </c>
      <c r="B4261" s="3298"/>
      <c r="C4261" s="3298"/>
      <c r="D4261" s="3298"/>
      <c r="E4261" s="3298"/>
      <c r="F4261" s="3298"/>
      <c r="G4261" s="3298"/>
    </row>
    <row r="4262" spans="1:7" x14ac:dyDescent="0.3">
      <c r="A4262" s="11" t="s">
        <v>964</v>
      </c>
      <c r="B4262" s="11"/>
      <c r="C4262" s="2500">
        <v>58573</v>
      </c>
      <c r="D4262" s="2500">
        <v>7846619220.0937796</v>
      </c>
      <c r="E4262" s="2501">
        <v>106155572.153217</v>
      </c>
      <c r="F4262" s="2502">
        <v>97.800498750834606</v>
      </c>
      <c r="G4262" s="2503">
        <v>0.12443226223040101</v>
      </c>
    </row>
    <row r="4263" spans="1:7" x14ac:dyDescent="0.3">
      <c r="A4263" s="6" t="s">
        <v>962</v>
      </c>
      <c r="B4263" s="6"/>
      <c r="C4263" s="2496">
        <v>1303</v>
      </c>
      <c r="D4263" s="2496">
        <v>176467901.46020401</v>
      </c>
      <c r="E4263" s="2497">
        <v>10532771.3164829</v>
      </c>
      <c r="F4263" s="2498">
        <v>2.1995012491653498</v>
      </c>
      <c r="G4263" s="2499">
        <v>0.124432262230396</v>
      </c>
    </row>
    <row r="4264" spans="1:7" x14ac:dyDescent="0.3">
      <c r="A4264" s="11" t="s">
        <v>6269</v>
      </c>
      <c r="B4264" s="11" t="s">
        <v>6270</v>
      </c>
      <c r="C4264" s="2500">
        <v>59876</v>
      </c>
      <c r="D4264" s="2500">
        <v>8023087121.5539799</v>
      </c>
      <c r="E4264" s="2501">
        <v>109184500.79502399</v>
      </c>
      <c r="F4264" s="2502">
        <v>100</v>
      </c>
      <c r="G4264" s="2503">
        <v>2.0557335828564899E-14</v>
      </c>
    </row>
    <row r="4265" spans="1:7" x14ac:dyDescent="0.3">
      <c r="A4265" s="6" t="s">
        <v>6269</v>
      </c>
      <c r="B4265" s="6" t="s">
        <v>6271</v>
      </c>
      <c r="C4265" s="2496">
        <v>59876</v>
      </c>
      <c r="D4265" s="2496">
        <v>8023087121.5539799</v>
      </c>
      <c r="E4265" s="2497">
        <v>0</v>
      </c>
      <c r="F4265" s="2498">
        <v>100</v>
      </c>
      <c r="G4265" s="2499">
        <v>0</v>
      </c>
    </row>
    <row r="4266" spans="1:7" x14ac:dyDescent="0.3">
      <c r="A4266" s="3299" t="s">
        <v>751</v>
      </c>
      <c r="B4266" s="3298"/>
      <c r="C4266" s="3298"/>
      <c r="D4266" s="3298"/>
      <c r="E4266" s="3298"/>
      <c r="F4266" s="3298"/>
      <c r="G4266" s="3298"/>
    </row>
    <row r="4267" spans="1:7" x14ac:dyDescent="0.3">
      <c r="A4267" s="11" t="s">
        <v>962</v>
      </c>
      <c r="B4267" s="11" t="s">
        <v>1039</v>
      </c>
      <c r="C4267" s="2508">
        <v>49836</v>
      </c>
      <c r="D4267" s="2508">
        <v>6348499487.3752699</v>
      </c>
      <c r="E4267" s="2509">
        <v>120730467.09587599</v>
      </c>
      <c r="F4267" s="2510">
        <v>79.127889192679703</v>
      </c>
      <c r="G4267" s="2511">
        <v>0.57413126730876496</v>
      </c>
    </row>
    <row r="4268" spans="1:7" x14ac:dyDescent="0.3">
      <c r="A4268" s="6" t="s">
        <v>964</v>
      </c>
      <c r="B4268" s="6" t="s">
        <v>1040</v>
      </c>
      <c r="C4268" s="2504">
        <v>10040</v>
      </c>
      <c r="D4268" s="2504">
        <v>1674587634.17856</v>
      </c>
      <c r="E4268" s="2505">
        <v>36470996.401904397</v>
      </c>
      <c r="F4268" s="2506">
        <v>20.872110807320301</v>
      </c>
      <c r="G4268" s="2507">
        <v>0.57413126730877095</v>
      </c>
    </row>
    <row r="4269" spans="1:7" x14ac:dyDescent="0.3">
      <c r="A4269" s="11" t="s">
        <v>6269</v>
      </c>
      <c r="B4269" s="11" t="s">
        <v>6270</v>
      </c>
      <c r="C4269" s="2508">
        <v>59876</v>
      </c>
      <c r="D4269" s="2508">
        <v>8023087121.5538397</v>
      </c>
      <c r="E4269" s="2509">
        <v>109184500.795038</v>
      </c>
      <c r="F4269" s="2510">
        <v>100</v>
      </c>
      <c r="G4269" s="2511">
        <v>9.4205547521026494E-14</v>
      </c>
    </row>
    <row r="4270" spans="1:7" x14ac:dyDescent="0.3">
      <c r="A4270" s="6" t="s">
        <v>6269</v>
      </c>
      <c r="B4270" s="6" t="s">
        <v>6271</v>
      </c>
      <c r="C4270" s="2504">
        <v>59876</v>
      </c>
      <c r="D4270" s="2504">
        <v>8023087121.5538397</v>
      </c>
      <c r="E4270" s="2505">
        <v>0</v>
      </c>
      <c r="F4270" s="2506">
        <v>100</v>
      </c>
      <c r="G4270" s="2507">
        <v>0</v>
      </c>
    </row>
    <row r="4271" spans="1:7" x14ac:dyDescent="0.3">
      <c r="A4271" s="3299" t="s">
        <v>244</v>
      </c>
      <c r="B4271" s="3298"/>
      <c r="C4271" s="3298"/>
      <c r="D4271" s="3298"/>
      <c r="E4271" s="3298"/>
      <c r="F4271" s="3298"/>
      <c r="G4271" s="3298"/>
    </row>
    <row r="4272" spans="1:7" x14ac:dyDescent="0.3">
      <c r="A4272" s="11" t="s">
        <v>962</v>
      </c>
      <c r="B4272" s="11" t="s">
        <v>1039</v>
      </c>
      <c r="C4272" s="2516">
        <v>50444</v>
      </c>
      <c r="D4272" s="2516">
        <v>6419274408.9005098</v>
      </c>
      <c r="E4272" s="2517">
        <v>107111937.784321</v>
      </c>
      <c r="F4272" s="2518">
        <v>94.943562271642406</v>
      </c>
      <c r="G4272" s="2519">
        <v>0.40555126998395402</v>
      </c>
    </row>
    <row r="4273" spans="1:7" x14ac:dyDescent="0.3">
      <c r="A4273" s="6" t="s">
        <v>964</v>
      </c>
      <c r="B4273" s="6" t="s">
        <v>1040</v>
      </c>
      <c r="C4273" s="2512">
        <v>2444</v>
      </c>
      <c r="D4273" s="2512">
        <v>341873219.55518699</v>
      </c>
      <c r="E4273" s="2513">
        <v>27445811.8071368</v>
      </c>
      <c r="F4273" s="2514">
        <v>5.0564377283575697</v>
      </c>
      <c r="G4273" s="2515">
        <v>0.40555126998395402</v>
      </c>
    </row>
    <row r="4274" spans="1:7" x14ac:dyDescent="0.3">
      <c r="A4274" s="11" t="s">
        <v>960</v>
      </c>
      <c r="B4274" s="11"/>
      <c r="C4274" s="2516">
        <v>6988</v>
      </c>
      <c r="D4274" s="2516">
        <v>1261939493.09815</v>
      </c>
      <c r="E4274" s="2517">
        <v>30248086.867431998</v>
      </c>
      <c r="F4274" s="2518">
        <v>100</v>
      </c>
      <c r="G4274" s="2519">
        <v>0</v>
      </c>
    </row>
    <row r="4275" spans="1:7" x14ac:dyDescent="0.3">
      <c r="A4275" s="6" t="s">
        <v>6269</v>
      </c>
      <c r="B4275" s="6" t="s">
        <v>6270</v>
      </c>
      <c r="C4275" s="2512">
        <v>52888</v>
      </c>
      <c r="D4275" s="2512">
        <v>6761147628.4556999</v>
      </c>
      <c r="E4275" s="2513">
        <v>105817177.885336</v>
      </c>
      <c r="F4275" s="2514">
        <v>84.271148075807702</v>
      </c>
      <c r="G4275" s="2515">
        <v>0.38579198280256499</v>
      </c>
    </row>
    <row r="4276" spans="1:7" x14ac:dyDescent="0.3">
      <c r="A4276" s="11" t="s">
        <v>6269</v>
      </c>
      <c r="B4276" s="11" t="s">
        <v>6271</v>
      </c>
      <c r="C4276" s="2516">
        <v>59876</v>
      </c>
      <c r="D4276" s="2516">
        <v>8023087121.5538502</v>
      </c>
      <c r="E4276" s="2517">
        <v>0</v>
      </c>
      <c r="F4276" s="2518">
        <v>100</v>
      </c>
      <c r="G4276" s="2519">
        <v>0</v>
      </c>
    </row>
    <row r="4277" spans="1:7" x14ac:dyDescent="0.3">
      <c r="A4277" s="3299" t="s">
        <v>246</v>
      </c>
      <c r="B4277" s="3298"/>
      <c r="C4277" s="3298"/>
      <c r="D4277" s="3298"/>
      <c r="E4277" s="3298"/>
      <c r="F4277" s="3298"/>
      <c r="G4277" s="3298"/>
    </row>
    <row r="4278" spans="1:7" x14ac:dyDescent="0.3">
      <c r="A4278" s="11" t="s">
        <v>962</v>
      </c>
      <c r="B4278" s="11"/>
      <c r="C4278" s="2524">
        <v>38995</v>
      </c>
      <c r="D4278" s="2524">
        <v>5176938628.0676298</v>
      </c>
      <c r="E4278" s="2525">
        <v>58660125.335041203</v>
      </c>
      <c r="F4278" s="2526">
        <v>64.525519287456703</v>
      </c>
      <c r="G4278" s="2527">
        <v>0.77622941452356298</v>
      </c>
    </row>
    <row r="4279" spans="1:7" x14ac:dyDescent="0.3">
      <c r="A4279" s="6" t="s">
        <v>964</v>
      </c>
      <c r="B4279" s="6"/>
      <c r="C4279" s="2520">
        <v>14702</v>
      </c>
      <c r="D4279" s="2520">
        <v>1820760599.0276699</v>
      </c>
      <c r="E4279" s="2521">
        <v>45743164.804321997</v>
      </c>
      <c r="F4279" s="2522">
        <v>22.694015052338901</v>
      </c>
      <c r="G4279" s="2523">
        <v>0.40817496479808602</v>
      </c>
    </row>
    <row r="4280" spans="1:7" x14ac:dyDescent="0.3">
      <c r="A4280" s="11" t="s">
        <v>966</v>
      </c>
      <c r="B4280" s="11"/>
      <c r="C4280" s="2524">
        <v>3753</v>
      </c>
      <c r="D4280" s="2524">
        <v>660692628.197065</v>
      </c>
      <c r="E4280" s="2525">
        <v>48699546.280744903</v>
      </c>
      <c r="F4280" s="2526">
        <v>8.2348928559199592</v>
      </c>
      <c r="G4280" s="2527">
        <v>0.53121537406816099</v>
      </c>
    </row>
    <row r="4281" spans="1:7" x14ac:dyDescent="0.3">
      <c r="A4281" s="6" t="s">
        <v>968</v>
      </c>
      <c r="B4281" s="6"/>
      <c r="C4281" s="2520">
        <v>1640</v>
      </c>
      <c r="D4281" s="2520">
        <v>264535259.79616201</v>
      </c>
      <c r="E4281" s="2521">
        <v>35230645.043608703</v>
      </c>
      <c r="F4281" s="2522">
        <v>3.2971754611201498</v>
      </c>
      <c r="G4281" s="2523">
        <v>0.43155401699894103</v>
      </c>
    </row>
    <row r="4282" spans="1:7" x14ac:dyDescent="0.3">
      <c r="A4282" s="11" t="s">
        <v>970</v>
      </c>
      <c r="B4282" s="11"/>
      <c r="C4282" s="2524">
        <v>630</v>
      </c>
      <c r="D4282" s="2524">
        <v>84379749.741365403</v>
      </c>
      <c r="E4282" s="2525">
        <v>16044141.517993201</v>
      </c>
      <c r="F4282" s="2526">
        <v>1.05171174714882</v>
      </c>
      <c r="G4282" s="2527">
        <v>0.202461507281715</v>
      </c>
    </row>
    <row r="4283" spans="1:7" x14ac:dyDescent="0.3">
      <c r="A4283" s="6" t="s">
        <v>972</v>
      </c>
      <c r="B4283" s="6"/>
      <c r="C4283" s="2520">
        <v>138</v>
      </c>
      <c r="D4283" s="2520">
        <v>15780256.7238751</v>
      </c>
      <c r="E4283" s="2521">
        <v>7395525.5691856202</v>
      </c>
      <c r="F4283" s="2522">
        <v>0.19668559601555299</v>
      </c>
      <c r="G4283" s="2523">
        <v>9.1065760670354698E-2</v>
      </c>
    </row>
    <row r="4284" spans="1:7" x14ac:dyDescent="0.3">
      <c r="A4284" s="11" t="s">
        <v>6269</v>
      </c>
      <c r="B4284" s="11" t="s">
        <v>6270</v>
      </c>
      <c r="C4284" s="2524">
        <v>59858</v>
      </c>
      <c r="D4284" s="2524">
        <v>8023087121.5537701</v>
      </c>
      <c r="E4284" s="2525">
        <v>109184500.795066</v>
      </c>
      <c r="F4284" s="2526">
        <v>100</v>
      </c>
      <c r="G4284" s="2527">
        <v>9.4764635797477106E-14</v>
      </c>
    </row>
    <row r="4285" spans="1:7" x14ac:dyDescent="0.3">
      <c r="A4285" s="6" t="s">
        <v>6269</v>
      </c>
      <c r="B4285" s="6" t="s">
        <v>6271</v>
      </c>
      <c r="C4285" s="2520">
        <v>59858</v>
      </c>
      <c r="D4285" s="2520">
        <v>8023087121.5537701</v>
      </c>
      <c r="E4285" s="2521">
        <v>0</v>
      </c>
      <c r="F4285" s="2522">
        <v>100</v>
      </c>
      <c r="G4285" s="2523">
        <v>0</v>
      </c>
    </row>
    <row r="4286" spans="1:7" x14ac:dyDescent="0.3">
      <c r="A4286" s="3299" t="s">
        <v>368</v>
      </c>
      <c r="B4286" s="3298"/>
      <c r="C4286" s="3298"/>
      <c r="D4286" s="3298"/>
      <c r="E4286" s="3298"/>
      <c r="F4286" s="3298"/>
      <c r="G4286" s="3298"/>
    </row>
    <row r="4287" spans="1:7" x14ac:dyDescent="0.3">
      <c r="A4287" s="11" t="s">
        <v>1152</v>
      </c>
      <c r="B4287" s="11"/>
      <c r="C4287" s="2532">
        <v>48785</v>
      </c>
      <c r="D4287" s="2532">
        <v>6618673397.8934898</v>
      </c>
      <c r="E4287" s="2533">
        <v>118270591.45400099</v>
      </c>
      <c r="F4287" s="2534">
        <v>82.4953449665596</v>
      </c>
      <c r="G4287" s="2535">
        <v>0.73571635077030395</v>
      </c>
    </row>
    <row r="4288" spans="1:7" x14ac:dyDescent="0.3">
      <c r="A4288" s="6" t="s">
        <v>962</v>
      </c>
      <c r="B4288" s="6"/>
      <c r="C4288" s="2528">
        <v>8102</v>
      </c>
      <c r="D4288" s="2528">
        <v>1036450779.56998</v>
      </c>
      <c r="E4288" s="2529">
        <v>61206505.370077796</v>
      </c>
      <c r="F4288" s="2530">
        <v>12.9183537940847</v>
      </c>
      <c r="G4288" s="2531">
        <v>0.76809658381387702</v>
      </c>
    </row>
    <row r="4289" spans="1:7" x14ac:dyDescent="0.3">
      <c r="A4289" s="11" t="s">
        <v>964</v>
      </c>
      <c r="B4289" s="11"/>
      <c r="C4289" s="2532">
        <v>1715</v>
      </c>
      <c r="D4289" s="2532">
        <v>205560408.725007</v>
      </c>
      <c r="E4289" s="2533">
        <v>16382245.8762822</v>
      </c>
      <c r="F4289" s="2534">
        <v>2.5621111376538899</v>
      </c>
      <c r="G4289" s="2535">
        <v>0.200676061532052</v>
      </c>
    </row>
    <row r="4290" spans="1:7" x14ac:dyDescent="0.3">
      <c r="A4290" s="6" t="s">
        <v>966</v>
      </c>
      <c r="B4290" s="6"/>
      <c r="C4290" s="2528">
        <v>733</v>
      </c>
      <c r="D4290" s="2528">
        <v>87235350.388469398</v>
      </c>
      <c r="E4290" s="2529">
        <v>6470724.6252365699</v>
      </c>
      <c r="F4290" s="2530">
        <v>1.0873040397892899</v>
      </c>
      <c r="G4290" s="2531">
        <v>8.6275145867205902E-2</v>
      </c>
    </row>
    <row r="4291" spans="1:7" x14ac:dyDescent="0.3">
      <c r="A4291" s="11" t="s">
        <v>968</v>
      </c>
      <c r="B4291" s="11"/>
      <c r="C4291" s="2532">
        <v>256</v>
      </c>
      <c r="D4291" s="2532">
        <v>33831955.7771447</v>
      </c>
      <c r="E4291" s="2533">
        <v>4897552.4582760399</v>
      </c>
      <c r="F4291" s="2534">
        <v>0.42168251777119198</v>
      </c>
      <c r="G4291" s="2535">
        <v>6.2328977031378199E-2</v>
      </c>
    </row>
    <row r="4292" spans="1:7" x14ac:dyDescent="0.3">
      <c r="A4292" s="6" t="s">
        <v>970</v>
      </c>
      <c r="B4292" s="6"/>
      <c r="C4292" s="2528">
        <v>93</v>
      </c>
      <c r="D4292" s="2528">
        <v>13181364.5570882</v>
      </c>
      <c r="E4292" s="2529">
        <v>2541211.5474824798</v>
      </c>
      <c r="F4292" s="2530">
        <v>0.16429292562057299</v>
      </c>
      <c r="G4292" s="2531">
        <v>3.2413590393202303E-2</v>
      </c>
    </row>
    <row r="4293" spans="1:7" x14ac:dyDescent="0.3">
      <c r="A4293" s="11" t="s">
        <v>972</v>
      </c>
      <c r="B4293" s="11"/>
      <c r="C4293" s="2532">
        <v>38</v>
      </c>
      <c r="D4293" s="2532">
        <v>7853742.8883457901</v>
      </c>
      <c r="E4293" s="2533">
        <v>2484654.43010811</v>
      </c>
      <c r="F4293" s="2534">
        <v>9.7889288366903707E-2</v>
      </c>
      <c r="G4293" s="2535">
        <v>3.0859722245490901E-2</v>
      </c>
    </row>
    <row r="4294" spans="1:7" x14ac:dyDescent="0.3">
      <c r="A4294" s="6" t="s">
        <v>1157</v>
      </c>
      <c r="B4294" s="6"/>
      <c r="C4294" s="2528">
        <v>24</v>
      </c>
      <c r="D4294" s="2528">
        <v>4023437.09147705</v>
      </c>
      <c r="E4294" s="2529">
        <v>2284814.5758861001</v>
      </c>
      <c r="F4294" s="2530">
        <v>5.0148241325563503E-2</v>
      </c>
      <c r="G4294" s="2531">
        <v>2.8440222911196002E-2</v>
      </c>
    </row>
    <row r="4295" spans="1:7" x14ac:dyDescent="0.3">
      <c r="A4295" s="11" t="s">
        <v>993</v>
      </c>
      <c r="B4295" s="11"/>
      <c r="C4295" s="2532">
        <v>10</v>
      </c>
      <c r="D4295" s="2532">
        <v>3171740.53347784</v>
      </c>
      <c r="E4295" s="2533">
        <v>2165517.7973013902</v>
      </c>
      <c r="F4295" s="2534">
        <v>3.9532669724562902E-2</v>
      </c>
      <c r="G4295" s="2535">
        <v>2.6851053393043799E-2</v>
      </c>
    </row>
    <row r="4296" spans="1:7" x14ac:dyDescent="0.3">
      <c r="A4296" s="6" t="s">
        <v>991</v>
      </c>
      <c r="B4296" s="6"/>
      <c r="C4296" s="2528">
        <v>17</v>
      </c>
      <c r="D4296" s="2528">
        <v>3165650.4271477</v>
      </c>
      <c r="E4296" s="2529">
        <v>1552286.6005936</v>
      </c>
      <c r="F4296" s="2530">
        <v>3.9456762455479702E-2</v>
      </c>
      <c r="G4296" s="2531">
        <v>1.9394608411350302E-2</v>
      </c>
    </row>
    <row r="4297" spans="1:7" x14ac:dyDescent="0.3">
      <c r="A4297" s="11" t="s">
        <v>981</v>
      </c>
      <c r="B4297" s="11"/>
      <c r="C4297" s="2532">
        <v>18</v>
      </c>
      <c r="D4297" s="2532">
        <v>1856226.94533737</v>
      </c>
      <c r="E4297" s="2533">
        <v>652183.01724271802</v>
      </c>
      <c r="F4297" s="2534">
        <v>2.3136068663029301E-2</v>
      </c>
      <c r="G4297" s="2535">
        <v>8.0891190292207808E-3</v>
      </c>
    </row>
    <row r="4298" spans="1:7" x14ac:dyDescent="0.3">
      <c r="A4298" s="6" t="s">
        <v>1159</v>
      </c>
      <c r="B4298" s="6"/>
      <c r="C4298" s="2528">
        <v>18</v>
      </c>
      <c r="D4298" s="2528">
        <v>1442671.13343305</v>
      </c>
      <c r="E4298" s="2529">
        <v>871966.66549907206</v>
      </c>
      <c r="F4298" s="2530">
        <v>1.7981496543361002E-2</v>
      </c>
      <c r="G4298" s="2531">
        <v>1.0932100703989599E-2</v>
      </c>
    </row>
    <row r="4299" spans="1:7" x14ac:dyDescent="0.3">
      <c r="A4299" s="11" t="s">
        <v>1005</v>
      </c>
      <c r="B4299" s="11"/>
      <c r="C4299" s="2532">
        <v>11</v>
      </c>
      <c r="D4299" s="2532">
        <v>983078.64304056903</v>
      </c>
      <c r="E4299" s="2533">
        <v>362242.076487093</v>
      </c>
      <c r="F4299" s="2534">
        <v>1.22531218737429E-2</v>
      </c>
      <c r="G4299" s="2535">
        <v>4.4759532130067402E-3</v>
      </c>
    </row>
    <row r="4300" spans="1:7" x14ac:dyDescent="0.3">
      <c r="A4300" s="6" t="s">
        <v>995</v>
      </c>
      <c r="B4300" s="6"/>
      <c r="C4300" s="2528">
        <v>8</v>
      </c>
      <c r="D4300" s="2528">
        <v>894168.35681595304</v>
      </c>
      <c r="E4300" s="2529">
        <v>505341.85027462099</v>
      </c>
      <c r="F4300" s="2530">
        <v>1.1144941383146501E-2</v>
      </c>
      <c r="G4300" s="2531">
        <v>6.2467697537468498E-3</v>
      </c>
    </row>
    <row r="4301" spans="1:7" x14ac:dyDescent="0.3">
      <c r="A4301" s="11" t="s">
        <v>1161</v>
      </c>
      <c r="B4301" s="11"/>
      <c r="C4301" s="2532">
        <v>3</v>
      </c>
      <c r="D4301" s="2532">
        <v>578549.88517282496</v>
      </c>
      <c r="E4301" s="2533">
        <v>586059.12540883</v>
      </c>
      <c r="F4301" s="2534">
        <v>7.2110632280006203E-3</v>
      </c>
      <c r="G4301" s="2535">
        <v>7.3027640036648998E-3</v>
      </c>
    </row>
    <row r="4302" spans="1:7" x14ac:dyDescent="0.3">
      <c r="A4302" s="6" t="s">
        <v>1009</v>
      </c>
      <c r="B4302" s="6"/>
      <c r="C4302" s="2528">
        <v>5</v>
      </c>
      <c r="D4302" s="2528">
        <v>559505.33486026898</v>
      </c>
      <c r="E4302" s="2529">
        <v>323107.55045001803</v>
      </c>
      <c r="F4302" s="2530">
        <v>6.9736913781874403E-3</v>
      </c>
      <c r="G4302" s="2531">
        <v>4.0272036010898802E-3</v>
      </c>
    </row>
    <row r="4303" spans="1:7" x14ac:dyDescent="0.3">
      <c r="A4303" s="11" t="s">
        <v>1163</v>
      </c>
      <c r="B4303" s="11"/>
      <c r="C4303" s="2532">
        <v>2</v>
      </c>
      <c r="D4303" s="2532">
        <v>553633.42343800596</v>
      </c>
      <c r="E4303" s="2533">
        <v>558664.205380406</v>
      </c>
      <c r="F4303" s="2534">
        <v>6.9005036970205599E-3</v>
      </c>
      <c r="G4303" s="2535">
        <v>6.9694103948358399E-3</v>
      </c>
    </row>
    <row r="4304" spans="1:7" x14ac:dyDescent="0.3">
      <c r="A4304" s="6" t="s">
        <v>3210</v>
      </c>
      <c r="B4304" s="6"/>
      <c r="C4304" s="2528">
        <v>2</v>
      </c>
      <c r="D4304" s="2528">
        <v>525459.02012720401</v>
      </c>
      <c r="E4304" s="2529">
        <v>527591.05765001103</v>
      </c>
      <c r="F4304" s="2530">
        <v>6.54933708392083E-3</v>
      </c>
      <c r="G4304" s="2531">
        <v>6.5677612218148296E-3</v>
      </c>
    </row>
    <row r="4305" spans="1:7" x14ac:dyDescent="0.3">
      <c r="A4305" s="11" t="s">
        <v>3032</v>
      </c>
      <c r="B4305" s="11"/>
      <c r="C4305" s="2532">
        <v>4</v>
      </c>
      <c r="D4305" s="2532">
        <v>508706.60224111099</v>
      </c>
      <c r="E4305" s="2533">
        <v>406882.559415547</v>
      </c>
      <c r="F4305" s="2534">
        <v>6.3405344418419702E-3</v>
      </c>
      <c r="G4305" s="2535">
        <v>5.0734298599168903E-3</v>
      </c>
    </row>
    <row r="4306" spans="1:7" x14ac:dyDescent="0.3">
      <c r="A4306" s="6" t="s">
        <v>1155</v>
      </c>
      <c r="B4306" s="6"/>
      <c r="C4306" s="2528">
        <v>6</v>
      </c>
      <c r="D4306" s="2528">
        <v>448847.99825164099</v>
      </c>
      <c r="E4306" s="2529">
        <v>306709.82607971999</v>
      </c>
      <c r="F4306" s="2530">
        <v>5.5944549953324003E-3</v>
      </c>
      <c r="G4306" s="2531">
        <v>3.8032006719985701E-3</v>
      </c>
    </row>
    <row r="4307" spans="1:7" x14ac:dyDescent="0.3">
      <c r="A4307" s="11" t="s">
        <v>3061</v>
      </c>
      <c r="B4307" s="11"/>
      <c r="C4307" s="2532">
        <v>3</v>
      </c>
      <c r="D4307" s="2532">
        <v>355792.03424785897</v>
      </c>
      <c r="E4307" s="2533">
        <v>300756.37874766201</v>
      </c>
      <c r="F4307" s="2534">
        <v>4.4346026517901099E-3</v>
      </c>
      <c r="G4307" s="2535">
        <v>3.7297711528349901E-3</v>
      </c>
    </row>
    <row r="4308" spans="1:7" x14ac:dyDescent="0.3">
      <c r="A4308" s="6" t="s">
        <v>999</v>
      </c>
      <c r="B4308" s="6"/>
      <c r="C4308" s="2528">
        <v>9</v>
      </c>
      <c r="D4308" s="2528">
        <v>347483.35864350101</v>
      </c>
      <c r="E4308" s="2529">
        <v>286815.64285152499</v>
      </c>
      <c r="F4308" s="2530">
        <v>4.3310430683220899E-3</v>
      </c>
      <c r="G4308" s="2531">
        <v>3.5633042225427201E-3</v>
      </c>
    </row>
    <row r="4309" spans="1:7" x14ac:dyDescent="0.3">
      <c r="A4309" s="11" t="s">
        <v>6708</v>
      </c>
      <c r="B4309" s="11"/>
      <c r="C4309" s="2532">
        <v>2</v>
      </c>
      <c r="D4309" s="2532">
        <v>218787.06140444599</v>
      </c>
      <c r="E4309" s="2533">
        <v>223254.17257926101</v>
      </c>
      <c r="F4309" s="2534">
        <v>2.72696853579813E-3</v>
      </c>
      <c r="G4309" s="2535">
        <v>2.7821113653280199E-3</v>
      </c>
    </row>
    <row r="4310" spans="1:7" x14ac:dyDescent="0.3">
      <c r="A4310" s="6" t="s">
        <v>1011</v>
      </c>
      <c r="B4310" s="6"/>
      <c r="C4310" s="2528">
        <v>2</v>
      </c>
      <c r="D4310" s="2528">
        <v>179880.530041983</v>
      </c>
      <c r="E4310" s="2529">
        <v>143516.007213681</v>
      </c>
      <c r="F4310" s="2530">
        <v>2.2420363547933698E-3</v>
      </c>
      <c r="G4310" s="2531">
        <v>1.7959513803192299E-3</v>
      </c>
    </row>
    <row r="4311" spans="1:7" x14ac:dyDescent="0.3">
      <c r="A4311" s="11" t="s">
        <v>1051</v>
      </c>
      <c r="B4311" s="11"/>
      <c r="C4311" s="2532">
        <v>1</v>
      </c>
      <c r="D4311" s="2532">
        <v>144970.31460879999</v>
      </c>
      <c r="E4311" s="2533">
        <v>147616.558999728</v>
      </c>
      <c r="F4311" s="2534">
        <v>1.8069143761300999E-3</v>
      </c>
      <c r="G4311" s="2535">
        <v>1.8423476563640901E-3</v>
      </c>
    </row>
    <row r="4312" spans="1:7" x14ac:dyDescent="0.3">
      <c r="A4312" s="6" t="s">
        <v>3328</v>
      </c>
      <c r="B4312" s="6"/>
      <c r="C4312" s="2528">
        <v>1</v>
      </c>
      <c r="D4312" s="2528">
        <v>128810.86191536501</v>
      </c>
      <c r="E4312" s="2529">
        <v>131976.42091483399</v>
      </c>
      <c r="F4312" s="2530">
        <v>1.6055024701067599E-3</v>
      </c>
      <c r="G4312" s="2531">
        <v>1.6425119639685299E-3</v>
      </c>
    </row>
    <row r="4313" spans="1:7" x14ac:dyDescent="0.3">
      <c r="A4313" s="11" t="s">
        <v>1053</v>
      </c>
      <c r="B4313" s="11"/>
      <c r="C4313" s="2532">
        <v>2</v>
      </c>
      <c r="D4313" s="2532">
        <v>77203.113614941205</v>
      </c>
      <c r="E4313" s="2533">
        <v>76752.612754033893</v>
      </c>
      <c r="F4313" s="2534">
        <v>9.6226193789590597E-4</v>
      </c>
      <c r="G4313" s="2535">
        <v>9.5658437970202201E-4</v>
      </c>
    </row>
    <row r="4314" spans="1:7" x14ac:dyDescent="0.3">
      <c r="A4314" s="6" t="s">
        <v>1003</v>
      </c>
      <c r="B4314" s="6"/>
      <c r="C4314" s="2528">
        <v>1</v>
      </c>
      <c r="D4314" s="2528">
        <v>55103.052081584799</v>
      </c>
      <c r="E4314" s="2529">
        <v>55347.939840954801</v>
      </c>
      <c r="F4314" s="2530">
        <v>6.8680610401888095E-4</v>
      </c>
      <c r="G4314" s="2531">
        <v>6.8966696259391399E-4</v>
      </c>
    </row>
    <row r="4315" spans="1:7" x14ac:dyDescent="0.3">
      <c r="A4315" s="11" t="s">
        <v>3063</v>
      </c>
      <c r="B4315" s="11"/>
      <c r="C4315" s="2532">
        <v>1</v>
      </c>
      <c r="D4315" s="2532">
        <v>40208.016488590103</v>
      </c>
      <c r="E4315" s="2533">
        <v>40573.043528022099</v>
      </c>
      <c r="F4315" s="2534">
        <v>5.0115393089241204E-4</v>
      </c>
      <c r="G4315" s="2535">
        <v>5.0508471794043198E-4</v>
      </c>
    </row>
    <row r="4316" spans="1:7" x14ac:dyDescent="0.3">
      <c r="A4316" s="6" t="s">
        <v>1073</v>
      </c>
      <c r="B4316" s="6"/>
      <c r="C4316" s="2528">
        <v>2</v>
      </c>
      <c r="D4316" s="2528">
        <v>40208.016488590103</v>
      </c>
      <c r="E4316" s="2529">
        <v>40573.043528022099</v>
      </c>
      <c r="F4316" s="2530">
        <v>5.0115393089241204E-4</v>
      </c>
      <c r="G4316" s="2531">
        <v>5.0508471794043198E-4</v>
      </c>
    </row>
    <row r="4317" spans="1:7" x14ac:dyDescent="0.3">
      <c r="A4317" s="11" t="s">
        <v>6269</v>
      </c>
      <c r="B4317" s="11" t="s">
        <v>6270</v>
      </c>
      <c r="C4317" s="2532">
        <v>59874</v>
      </c>
      <c r="D4317" s="2532">
        <v>8023087121.5538797</v>
      </c>
      <c r="E4317" s="2533">
        <v>109184500.795067</v>
      </c>
      <c r="F4317" s="2534">
        <v>100</v>
      </c>
      <c r="G4317" s="2535">
        <v>2.29838001744816E-14</v>
      </c>
    </row>
    <row r="4318" spans="1:7" x14ac:dyDescent="0.3">
      <c r="A4318" s="6" t="s">
        <v>6269</v>
      </c>
      <c r="B4318" s="6" t="s">
        <v>6271</v>
      </c>
      <c r="C4318" s="2528">
        <v>59874</v>
      </c>
      <c r="D4318" s="2528">
        <v>8023087121.5538797</v>
      </c>
      <c r="E4318" s="2529">
        <v>0</v>
      </c>
      <c r="F4318" s="2530">
        <v>100</v>
      </c>
      <c r="G4318" s="2531">
        <v>0</v>
      </c>
    </row>
    <row r="4319" spans="1:7" x14ac:dyDescent="0.3">
      <c r="A4319" s="3299" t="s">
        <v>372</v>
      </c>
      <c r="B4319" s="3298"/>
      <c r="C4319" s="3298"/>
      <c r="D4319" s="3298"/>
      <c r="E4319" s="3298"/>
      <c r="F4319" s="3298"/>
      <c r="G4319" s="3298"/>
    </row>
    <row r="4320" spans="1:7" x14ac:dyDescent="0.3">
      <c r="A4320" s="11" t="s">
        <v>6272</v>
      </c>
      <c r="B4320" s="11"/>
      <c r="C4320" s="2540">
        <v>31531</v>
      </c>
      <c r="D4320" s="2540">
        <v>4233347634.8949599</v>
      </c>
      <c r="E4320" s="2541">
        <v>68974877.806993097</v>
      </c>
      <c r="F4320" s="2542">
        <v>52.764572673306901</v>
      </c>
      <c r="G4320" s="2543">
        <v>0.76620275254410797</v>
      </c>
    </row>
    <row r="4321" spans="1:7" x14ac:dyDescent="0.3">
      <c r="A4321" s="6" t="s">
        <v>6274</v>
      </c>
      <c r="B4321" s="6"/>
      <c r="C4321" s="2536">
        <v>17672</v>
      </c>
      <c r="D4321" s="2536">
        <v>2192735514.0033002</v>
      </c>
      <c r="E4321" s="2537">
        <v>33475323.101734798</v>
      </c>
      <c r="F4321" s="2538">
        <v>27.330321617879299</v>
      </c>
      <c r="G4321" s="2539">
        <v>0.33750217015779899</v>
      </c>
    </row>
    <row r="4322" spans="1:7" x14ac:dyDescent="0.3">
      <c r="A4322" s="11" t="s">
        <v>6273</v>
      </c>
      <c r="B4322" s="11"/>
      <c r="C4322" s="2540">
        <v>5946</v>
      </c>
      <c r="D4322" s="2540">
        <v>926124910.16122496</v>
      </c>
      <c r="E4322" s="2541">
        <v>56220787.675982296</v>
      </c>
      <c r="F4322" s="2542">
        <v>11.543248828412001</v>
      </c>
      <c r="G4322" s="2543">
        <v>0.62208965524361803</v>
      </c>
    </row>
    <row r="4323" spans="1:7" x14ac:dyDescent="0.3">
      <c r="A4323" s="6" t="s">
        <v>6276</v>
      </c>
      <c r="B4323" s="6"/>
      <c r="C4323" s="2536">
        <v>2823</v>
      </c>
      <c r="D4323" s="2536">
        <v>439362497.33808398</v>
      </c>
      <c r="E4323" s="2537">
        <v>33368362.3899212</v>
      </c>
      <c r="F4323" s="2538">
        <v>5.4762274256969201</v>
      </c>
      <c r="G4323" s="2539">
        <v>0.38360913421199799</v>
      </c>
    </row>
    <row r="4324" spans="1:7" x14ac:dyDescent="0.3">
      <c r="A4324" s="11" t="s">
        <v>6275</v>
      </c>
      <c r="B4324" s="11"/>
      <c r="C4324" s="2540">
        <v>1147</v>
      </c>
      <c r="D4324" s="2540">
        <v>134129961.166995</v>
      </c>
      <c r="E4324" s="2541">
        <v>23041287.159940701</v>
      </c>
      <c r="F4324" s="2542">
        <v>1.6717998836963801</v>
      </c>
      <c r="G4324" s="2543">
        <v>0.28458097324118897</v>
      </c>
    </row>
    <row r="4325" spans="1:7" x14ac:dyDescent="0.3">
      <c r="A4325" s="6" t="s">
        <v>6278</v>
      </c>
      <c r="B4325" s="6"/>
      <c r="C4325" s="2536">
        <v>425</v>
      </c>
      <c r="D4325" s="2536">
        <v>56591186.561071098</v>
      </c>
      <c r="E4325" s="2537">
        <v>10076981.811937399</v>
      </c>
      <c r="F4325" s="2538">
        <v>0.705354257079433</v>
      </c>
      <c r="G4325" s="2539">
        <v>0.12591885220361901</v>
      </c>
    </row>
    <row r="4326" spans="1:7" x14ac:dyDescent="0.3">
      <c r="A4326" s="11" t="s">
        <v>6277</v>
      </c>
      <c r="B4326" s="11"/>
      <c r="C4326" s="2540">
        <v>138</v>
      </c>
      <c r="D4326" s="2540">
        <v>17620913.9521848</v>
      </c>
      <c r="E4326" s="2541">
        <v>2668874.8677699501</v>
      </c>
      <c r="F4326" s="2542">
        <v>0.219627603255695</v>
      </c>
      <c r="G4326" s="2543">
        <v>3.4540202223102799E-2</v>
      </c>
    </row>
    <row r="4327" spans="1:7" x14ac:dyDescent="0.3">
      <c r="A4327" s="6" t="s">
        <v>6279</v>
      </c>
      <c r="B4327" s="6"/>
      <c r="C4327" s="2536">
        <v>44</v>
      </c>
      <c r="D4327" s="2536">
        <v>4086448.4611940999</v>
      </c>
      <c r="E4327" s="2537">
        <v>1842548.16359634</v>
      </c>
      <c r="F4327" s="2538">
        <v>5.0933616939245203E-2</v>
      </c>
      <c r="G4327" s="2539">
        <v>2.3147053511817801E-2</v>
      </c>
    </row>
    <row r="4328" spans="1:7" x14ac:dyDescent="0.3">
      <c r="A4328" s="11" t="s">
        <v>1055</v>
      </c>
      <c r="B4328" s="11"/>
      <c r="C4328" s="2540">
        <v>24</v>
      </c>
      <c r="D4328" s="2540">
        <v>4023437.09147705</v>
      </c>
      <c r="E4328" s="2541">
        <v>2284814.5758861001</v>
      </c>
      <c r="F4328" s="2542">
        <v>5.0148241325564301E-2</v>
      </c>
      <c r="G4328" s="2543">
        <v>2.8440222911196699E-2</v>
      </c>
    </row>
    <row r="4329" spans="1:7" x14ac:dyDescent="0.3">
      <c r="A4329" s="6" t="s">
        <v>6280</v>
      </c>
      <c r="B4329" s="6"/>
      <c r="C4329" s="2536">
        <v>31</v>
      </c>
      <c r="D4329" s="2536">
        <v>3809810.6328755398</v>
      </c>
      <c r="E4329" s="2537">
        <v>2115215.4146078802</v>
      </c>
      <c r="F4329" s="2538">
        <v>4.7485594698836203E-2</v>
      </c>
      <c r="G4329" s="2539">
        <v>2.6429580983288199E-2</v>
      </c>
    </row>
    <row r="4330" spans="1:7" x14ac:dyDescent="0.3">
      <c r="A4330" s="11" t="s">
        <v>995</v>
      </c>
      <c r="B4330" s="11"/>
      <c r="C4330" s="2540">
        <v>7</v>
      </c>
      <c r="D4330" s="2540">
        <v>3151775.0995779</v>
      </c>
      <c r="E4330" s="2541">
        <v>2170227.0407353998</v>
      </c>
      <c r="F4330" s="2542">
        <v>3.9283819953927199E-2</v>
      </c>
      <c r="G4330" s="2543">
        <v>2.6911330352440199E-2</v>
      </c>
    </row>
    <row r="4331" spans="1:7" x14ac:dyDescent="0.3">
      <c r="A4331" s="6" t="s">
        <v>1063</v>
      </c>
      <c r="B4331" s="6"/>
      <c r="C4331" s="2536">
        <v>4</v>
      </c>
      <c r="D4331" s="2536">
        <v>1071938.9496323999</v>
      </c>
      <c r="E4331" s="2537">
        <v>864578.15889296797</v>
      </c>
      <c r="F4331" s="2538">
        <v>1.33606794166883E-2</v>
      </c>
      <c r="G4331" s="2539">
        <v>1.08165481242099E-2</v>
      </c>
    </row>
    <row r="4332" spans="1:7" x14ac:dyDescent="0.3">
      <c r="A4332" s="11" t="s">
        <v>1007</v>
      </c>
      <c r="B4332" s="11"/>
      <c r="C4332" s="2540">
        <v>11</v>
      </c>
      <c r="D4332" s="2540">
        <v>983078.64304056903</v>
      </c>
      <c r="E4332" s="2541">
        <v>362242.076487093</v>
      </c>
      <c r="F4332" s="2542">
        <v>1.2253121873743099E-2</v>
      </c>
      <c r="G4332" s="2543">
        <v>4.4759532130069796E-3</v>
      </c>
    </row>
    <row r="4333" spans="1:7" x14ac:dyDescent="0.3">
      <c r="A4333" s="6" t="s">
        <v>997</v>
      </c>
      <c r="B4333" s="6"/>
      <c r="C4333" s="2536">
        <v>11</v>
      </c>
      <c r="D4333" s="2536">
        <v>914133.79071589001</v>
      </c>
      <c r="E4333" s="2537">
        <v>499272.52622066601</v>
      </c>
      <c r="F4333" s="2538">
        <v>1.13937911537829E-2</v>
      </c>
      <c r="G4333" s="2539">
        <v>6.1694455875291104E-3</v>
      </c>
    </row>
    <row r="4334" spans="1:7" x14ac:dyDescent="0.3">
      <c r="A4334" s="11" t="s">
        <v>1071</v>
      </c>
      <c r="B4334" s="11"/>
      <c r="C4334" s="2540">
        <v>3</v>
      </c>
      <c r="D4334" s="2540">
        <v>578549.88517282496</v>
      </c>
      <c r="E4334" s="2541">
        <v>586059.12540883</v>
      </c>
      <c r="F4334" s="2542">
        <v>7.2110632280007296E-3</v>
      </c>
      <c r="G4334" s="2543">
        <v>7.3027640036649102E-3</v>
      </c>
    </row>
    <row r="4335" spans="1:7" x14ac:dyDescent="0.3">
      <c r="A4335" s="6" t="s">
        <v>1079</v>
      </c>
      <c r="B4335" s="6"/>
      <c r="C4335" s="2536">
        <v>2</v>
      </c>
      <c r="D4335" s="2536">
        <v>553633.42343800596</v>
      </c>
      <c r="E4335" s="2537">
        <v>558664.205380406</v>
      </c>
      <c r="F4335" s="2538">
        <v>6.90050369702067E-3</v>
      </c>
      <c r="G4335" s="2539">
        <v>6.9694103948358399E-3</v>
      </c>
    </row>
    <row r="4336" spans="1:7" x14ac:dyDescent="0.3">
      <c r="A4336" s="11" t="s">
        <v>4286</v>
      </c>
      <c r="B4336" s="11"/>
      <c r="C4336" s="2540">
        <v>2</v>
      </c>
      <c r="D4336" s="2540">
        <v>525459.02012720401</v>
      </c>
      <c r="E4336" s="2541">
        <v>527591.05765001103</v>
      </c>
      <c r="F4336" s="2542">
        <v>6.5493370839209298E-3</v>
      </c>
      <c r="G4336" s="2543">
        <v>6.5677612218148504E-3</v>
      </c>
    </row>
    <row r="4337" spans="1:7" x14ac:dyDescent="0.3">
      <c r="A4337" s="6" t="s">
        <v>3034</v>
      </c>
      <c r="B4337" s="6"/>
      <c r="C4337" s="2536">
        <v>4</v>
      </c>
      <c r="D4337" s="2536">
        <v>508706.60224111099</v>
      </c>
      <c r="E4337" s="2537">
        <v>406882.559415547</v>
      </c>
      <c r="F4337" s="2538">
        <v>6.34053444184207E-3</v>
      </c>
      <c r="G4337" s="2539">
        <v>5.0734298599169197E-3</v>
      </c>
    </row>
    <row r="4338" spans="1:7" x14ac:dyDescent="0.3">
      <c r="A4338" s="11" t="s">
        <v>1013</v>
      </c>
      <c r="B4338" s="11"/>
      <c r="C4338" s="2540">
        <v>4</v>
      </c>
      <c r="D4338" s="2540">
        <v>498145.93128815101</v>
      </c>
      <c r="E4338" s="2541">
        <v>343453.11996141402</v>
      </c>
      <c r="F4338" s="2542">
        <v>6.2089059203893999E-3</v>
      </c>
      <c r="G4338" s="2543">
        <v>4.2909790343954E-3</v>
      </c>
    </row>
    <row r="4339" spans="1:7" x14ac:dyDescent="0.3">
      <c r="A4339" s="6" t="s">
        <v>1047</v>
      </c>
      <c r="B4339" s="6"/>
      <c r="C4339" s="2536">
        <v>6</v>
      </c>
      <c r="D4339" s="2536">
        <v>448847.99825164099</v>
      </c>
      <c r="E4339" s="2537">
        <v>306709.82607971999</v>
      </c>
      <c r="F4339" s="2538">
        <v>5.5944549953324801E-3</v>
      </c>
      <c r="G4339" s="2539">
        <v>3.8032006719986001E-3</v>
      </c>
    </row>
    <row r="4340" spans="1:7" x14ac:dyDescent="0.3">
      <c r="A4340" s="11" t="s">
        <v>1065</v>
      </c>
      <c r="B4340" s="11"/>
      <c r="C4340" s="2540">
        <v>14</v>
      </c>
      <c r="D4340" s="2540">
        <v>370732.18380065198</v>
      </c>
      <c r="E4340" s="2541">
        <v>374852.72388530802</v>
      </c>
      <c r="F4340" s="2542">
        <v>4.6208171266730004E-3</v>
      </c>
      <c r="G4340" s="2543">
        <v>4.67208408134557E-3</v>
      </c>
    </row>
    <row r="4341" spans="1:7" x14ac:dyDescent="0.3">
      <c r="A4341" s="6" t="s">
        <v>3063</v>
      </c>
      <c r="B4341" s="6"/>
      <c r="C4341" s="2536">
        <v>3</v>
      </c>
      <c r="D4341" s="2536">
        <v>355792.03424785897</v>
      </c>
      <c r="E4341" s="2537">
        <v>300756.37874766201</v>
      </c>
      <c r="F4341" s="2538">
        <v>4.4346026517901802E-3</v>
      </c>
      <c r="G4341" s="2539">
        <v>3.72977115283504E-3</v>
      </c>
    </row>
    <row r="4342" spans="1:7" x14ac:dyDescent="0.3">
      <c r="A4342" s="11" t="s">
        <v>1001</v>
      </c>
      <c r="B4342" s="11"/>
      <c r="C4342" s="2540">
        <v>7</v>
      </c>
      <c r="D4342" s="2540">
        <v>288697.35621826001</v>
      </c>
      <c r="E4342" s="2541">
        <v>290930.09633081499</v>
      </c>
      <c r="F4342" s="2542">
        <v>3.5983325600775799E-3</v>
      </c>
      <c r="G4342" s="2543">
        <v>3.6249608840188299E-3</v>
      </c>
    </row>
    <row r="4343" spans="1:7" x14ac:dyDescent="0.3">
      <c r="A4343" s="6" t="s">
        <v>1011</v>
      </c>
      <c r="B4343" s="6"/>
      <c r="C4343" s="2536">
        <v>3</v>
      </c>
      <c r="D4343" s="2536">
        <v>241239.933614101</v>
      </c>
      <c r="E4343" s="2537">
        <v>157319.44094012701</v>
      </c>
      <c r="F4343" s="2538">
        <v>3.0068218125915399E-3</v>
      </c>
      <c r="G4343" s="2539">
        <v>1.9666611697851401E-3</v>
      </c>
    </row>
    <row r="4344" spans="1:7" x14ac:dyDescent="0.3">
      <c r="A4344" s="11" t="s">
        <v>6715</v>
      </c>
      <c r="B4344" s="11"/>
      <c r="C4344" s="2540">
        <v>2</v>
      </c>
      <c r="D4344" s="2540">
        <v>218787.06140444599</v>
      </c>
      <c r="E4344" s="2541">
        <v>223254.17257926101</v>
      </c>
      <c r="F4344" s="2542">
        <v>2.7269685357981699E-3</v>
      </c>
      <c r="G4344" s="2543">
        <v>2.7821113653280099E-3</v>
      </c>
    </row>
    <row r="4345" spans="1:7" x14ac:dyDescent="0.3">
      <c r="A4345" s="6" t="s">
        <v>1053</v>
      </c>
      <c r="B4345" s="6"/>
      <c r="C4345" s="2536">
        <v>1</v>
      </c>
      <c r="D4345" s="2536">
        <v>144970.31460879999</v>
      </c>
      <c r="E4345" s="2537">
        <v>147616.558999728</v>
      </c>
      <c r="F4345" s="2538">
        <v>1.80691437613013E-3</v>
      </c>
      <c r="G4345" s="2539">
        <v>1.8423476563640901E-3</v>
      </c>
    </row>
    <row r="4346" spans="1:7" x14ac:dyDescent="0.3">
      <c r="A4346" s="11" t="s">
        <v>6716</v>
      </c>
      <c r="B4346" s="11"/>
      <c r="C4346" s="2540">
        <v>1</v>
      </c>
      <c r="D4346" s="2540">
        <v>128810.86191536501</v>
      </c>
      <c r="E4346" s="2541">
        <v>131976.42091483399</v>
      </c>
      <c r="F4346" s="2542">
        <v>1.6055024701067901E-3</v>
      </c>
      <c r="G4346" s="2543">
        <v>1.6425119639685299E-3</v>
      </c>
    </row>
    <row r="4347" spans="1:7" x14ac:dyDescent="0.3">
      <c r="A4347" s="6" t="s">
        <v>3032</v>
      </c>
      <c r="B4347" s="6"/>
      <c r="C4347" s="2536">
        <v>2</v>
      </c>
      <c r="D4347" s="2536">
        <v>77203.113614941205</v>
      </c>
      <c r="E4347" s="2537">
        <v>76752.612754033893</v>
      </c>
      <c r="F4347" s="2538">
        <v>9.6226193789592104E-4</v>
      </c>
      <c r="G4347" s="2539">
        <v>9.5658437970202505E-4</v>
      </c>
    </row>
    <row r="4348" spans="1:7" x14ac:dyDescent="0.3">
      <c r="A4348" s="11" t="s">
        <v>1003</v>
      </c>
      <c r="B4348" s="11"/>
      <c r="C4348" s="2540">
        <v>4</v>
      </c>
      <c r="D4348" s="2540">
        <v>58786.002425241</v>
      </c>
      <c r="E4348" s="2541">
        <v>58386.960581025502</v>
      </c>
      <c r="F4348" s="2542">
        <v>7.3271050824456798E-4</v>
      </c>
      <c r="G4348" s="2543">
        <v>7.2625420392279203E-4</v>
      </c>
    </row>
    <row r="4349" spans="1:7" x14ac:dyDescent="0.3">
      <c r="A4349" s="6" t="s">
        <v>1005</v>
      </c>
      <c r="B4349" s="6"/>
      <c r="C4349" s="2536">
        <v>1</v>
      </c>
      <c r="D4349" s="2536">
        <v>55103.052081584799</v>
      </c>
      <c r="E4349" s="2537">
        <v>55347.939840954801</v>
      </c>
      <c r="F4349" s="2538">
        <v>6.8680610401889201E-4</v>
      </c>
      <c r="G4349" s="2539">
        <v>6.8966696259391399E-4</v>
      </c>
    </row>
    <row r="4350" spans="1:7" x14ac:dyDescent="0.3">
      <c r="A4350" s="11" t="s">
        <v>3065</v>
      </c>
      <c r="B4350" s="11"/>
      <c r="C4350" s="2540">
        <v>1</v>
      </c>
      <c r="D4350" s="2540">
        <v>40208.016488590103</v>
      </c>
      <c r="E4350" s="2541">
        <v>40573.043528022099</v>
      </c>
      <c r="F4350" s="2542">
        <v>5.0115393089241898E-4</v>
      </c>
      <c r="G4350" s="2543">
        <v>5.0508471794043295E-4</v>
      </c>
    </row>
    <row r="4351" spans="1:7" x14ac:dyDescent="0.3">
      <c r="A4351" s="6" t="s">
        <v>1075</v>
      </c>
      <c r="B4351" s="6"/>
      <c r="C4351" s="2536">
        <v>1</v>
      </c>
      <c r="D4351" s="2536">
        <v>40208.016488590103</v>
      </c>
      <c r="E4351" s="2537">
        <v>40573.043528022099</v>
      </c>
      <c r="F4351" s="2538">
        <v>5.0115393089241898E-4</v>
      </c>
      <c r="G4351" s="2539">
        <v>5.0508471794043295E-4</v>
      </c>
    </row>
    <row r="4352" spans="1:7" x14ac:dyDescent="0.3">
      <c r="A4352" s="11" t="s">
        <v>6269</v>
      </c>
      <c r="B4352" s="11" t="s">
        <v>6270</v>
      </c>
      <c r="C4352" s="2540">
        <v>59875</v>
      </c>
      <c r="D4352" s="2540">
        <v>8023087121.55375</v>
      </c>
      <c r="E4352" s="2541">
        <v>109184500.795075</v>
      </c>
      <c r="F4352" s="2542">
        <v>100</v>
      </c>
      <c r="G4352" s="2543">
        <v>9.5320444878948101E-14</v>
      </c>
    </row>
    <row r="4353" spans="1:7" x14ac:dyDescent="0.3">
      <c r="A4353" s="6" t="s">
        <v>6269</v>
      </c>
      <c r="B4353" s="6" t="s">
        <v>6271</v>
      </c>
      <c r="C4353" s="2536">
        <v>59875</v>
      </c>
      <c r="D4353" s="2536">
        <v>8023087121.55375</v>
      </c>
      <c r="E4353" s="2537">
        <v>0</v>
      </c>
      <c r="F4353" s="2538">
        <v>100</v>
      </c>
      <c r="G4353" s="2539">
        <v>0</v>
      </c>
    </row>
    <row r="4354" spans="1:7" x14ac:dyDescent="0.3">
      <c r="A4354" s="3299" t="s">
        <v>463</v>
      </c>
      <c r="B4354" s="3298"/>
      <c r="C4354" s="3298"/>
      <c r="D4354" s="3298"/>
      <c r="E4354" s="3298"/>
      <c r="F4354" s="3298"/>
      <c r="G4354" s="3298"/>
    </row>
    <row r="4355" spans="1:7" x14ac:dyDescent="0.3">
      <c r="A4355" s="11" t="s">
        <v>964</v>
      </c>
      <c r="B4355" s="11" t="s">
        <v>1040</v>
      </c>
      <c r="C4355" s="2548">
        <v>40773</v>
      </c>
      <c r="D4355" s="2548">
        <v>5138419973.6429501</v>
      </c>
      <c r="E4355" s="2549">
        <v>93683284.748114794</v>
      </c>
      <c r="F4355" s="2550">
        <v>75.999227586998401</v>
      </c>
      <c r="G4355" s="2551">
        <v>0.57146421544493198</v>
      </c>
    </row>
    <row r="4356" spans="1:7" x14ac:dyDescent="0.3">
      <c r="A4356" s="6" t="s">
        <v>962</v>
      </c>
      <c r="B4356" s="6" t="s">
        <v>1039</v>
      </c>
      <c r="C4356" s="2544">
        <v>12115</v>
      </c>
      <c r="D4356" s="2544">
        <v>1622727654.81269</v>
      </c>
      <c r="E4356" s="2545">
        <v>43489286.939919099</v>
      </c>
      <c r="F4356" s="2546">
        <v>24.000772413001599</v>
      </c>
      <c r="G4356" s="2547">
        <v>0.57146421544493897</v>
      </c>
    </row>
    <row r="4357" spans="1:7" x14ac:dyDescent="0.3">
      <c r="A4357" s="11" t="s">
        <v>960</v>
      </c>
      <c r="B4357" s="11" t="s">
        <v>961</v>
      </c>
      <c r="C4357" s="2548">
        <v>6988</v>
      </c>
      <c r="D4357" s="2548">
        <v>1261939493.09815</v>
      </c>
      <c r="E4357" s="2549">
        <v>30248086.867431998</v>
      </c>
      <c r="F4357" s="2550">
        <v>100</v>
      </c>
      <c r="G4357" s="2551">
        <v>0</v>
      </c>
    </row>
    <row r="4358" spans="1:7" x14ac:dyDescent="0.3">
      <c r="A4358" s="6" t="s">
        <v>6269</v>
      </c>
      <c r="B4358" s="6" t="s">
        <v>6270</v>
      </c>
      <c r="C4358" s="2544">
        <v>52888</v>
      </c>
      <c r="D4358" s="2544">
        <v>6761147628.4556503</v>
      </c>
      <c r="E4358" s="2545">
        <v>105817177.885271</v>
      </c>
      <c r="F4358" s="2546">
        <v>84.271148075807602</v>
      </c>
      <c r="G4358" s="2547">
        <v>0.385791982802412</v>
      </c>
    </row>
    <row r="4359" spans="1:7" x14ac:dyDescent="0.3">
      <c r="A4359" s="11" t="s">
        <v>6269</v>
      </c>
      <c r="B4359" s="11" t="s">
        <v>6271</v>
      </c>
      <c r="C4359" s="2548">
        <v>59876</v>
      </c>
      <c r="D4359" s="2548">
        <v>8023087121.5537996</v>
      </c>
      <c r="E4359" s="2549">
        <v>0</v>
      </c>
      <c r="F4359" s="2550">
        <v>100</v>
      </c>
      <c r="G4359" s="2551">
        <v>0</v>
      </c>
    </row>
    <row r="4360" spans="1:7" x14ac:dyDescent="0.3">
      <c r="A4360" s="3299" t="s">
        <v>474</v>
      </c>
      <c r="B4360" s="3298"/>
      <c r="C4360" s="3298"/>
      <c r="D4360" s="3298"/>
      <c r="E4360" s="3298"/>
      <c r="F4360" s="3298"/>
      <c r="G4360" s="3298"/>
    </row>
    <row r="4361" spans="1:7" x14ac:dyDescent="0.3">
      <c r="A4361" s="11" t="s">
        <v>964</v>
      </c>
      <c r="B4361" s="11" t="s">
        <v>1040</v>
      </c>
      <c r="C4361" s="2556">
        <v>59361</v>
      </c>
      <c r="D4361" s="2556">
        <v>7895910243.5458298</v>
      </c>
      <c r="E4361" s="2557">
        <v>106823046.15167999</v>
      </c>
      <c r="F4361" s="2558">
        <v>98.4148635546224</v>
      </c>
      <c r="G4361" s="2559">
        <v>0.24311263173497999</v>
      </c>
    </row>
    <row r="4362" spans="1:7" x14ac:dyDescent="0.3">
      <c r="A4362" s="6" t="s">
        <v>962</v>
      </c>
      <c r="B4362" s="6" t="s">
        <v>1039</v>
      </c>
      <c r="C4362" s="2552">
        <v>515</v>
      </c>
      <c r="D4362" s="2552">
        <v>127176878.00815099</v>
      </c>
      <c r="E4362" s="2553">
        <v>19851724.690067898</v>
      </c>
      <c r="F4362" s="2554">
        <v>1.58513644537763</v>
      </c>
      <c r="G4362" s="2555">
        <v>0.24311263173498099</v>
      </c>
    </row>
    <row r="4363" spans="1:7" x14ac:dyDescent="0.3">
      <c r="A4363" s="11" t="s">
        <v>6269</v>
      </c>
      <c r="B4363" s="11" t="s">
        <v>6270</v>
      </c>
      <c r="C4363" s="2556">
        <v>59876</v>
      </c>
      <c r="D4363" s="2556">
        <v>8023087121.5539799</v>
      </c>
      <c r="E4363" s="2557">
        <v>109184500.79503199</v>
      </c>
      <c r="F4363" s="2558">
        <v>100</v>
      </c>
      <c r="G4363" s="2559">
        <v>1.02786679142825E-14</v>
      </c>
    </row>
    <row r="4364" spans="1:7" x14ac:dyDescent="0.3">
      <c r="A4364" s="6" t="s">
        <v>6269</v>
      </c>
      <c r="B4364" s="6" t="s">
        <v>6271</v>
      </c>
      <c r="C4364" s="2552">
        <v>59876</v>
      </c>
      <c r="D4364" s="2552">
        <v>8023087121.5539799</v>
      </c>
      <c r="E4364" s="2553">
        <v>0</v>
      </c>
      <c r="F4364" s="2554">
        <v>100</v>
      </c>
      <c r="G4364" s="2555">
        <v>0</v>
      </c>
    </row>
    <row r="4365" spans="1:7" x14ac:dyDescent="0.3">
      <c r="A4365" s="3299" t="s">
        <v>745</v>
      </c>
      <c r="B4365" s="3298"/>
      <c r="C4365" s="3298"/>
      <c r="D4365" s="3298"/>
      <c r="E4365" s="3298"/>
      <c r="F4365" s="3298"/>
      <c r="G4365" s="3298"/>
    </row>
    <row r="4366" spans="1:7" x14ac:dyDescent="0.3">
      <c r="A4366" s="11" t="s">
        <v>6074</v>
      </c>
      <c r="B4366" s="11" t="s">
        <v>6075</v>
      </c>
      <c r="C4366" s="2564">
        <v>22918</v>
      </c>
      <c r="D4366" s="2564">
        <v>3202437340.2709198</v>
      </c>
      <c r="E4366" s="2565">
        <v>60116251.626029298</v>
      </c>
      <c r="F4366" s="2566">
        <v>39.917472387231797</v>
      </c>
      <c r="G4366" s="2567">
        <v>0.46105283362663202</v>
      </c>
    </row>
    <row r="4367" spans="1:7" x14ac:dyDescent="0.3">
      <c r="A4367" s="6" t="s">
        <v>6078</v>
      </c>
      <c r="B4367" s="6" t="s">
        <v>6079</v>
      </c>
      <c r="C4367" s="2560">
        <v>10200</v>
      </c>
      <c r="D4367" s="2560">
        <v>1421707812.7681999</v>
      </c>
      <c r="E4367" s="2561">
        <v>42434866.4925358</v>
      </c>
      <c r="F4367" s="2562">
        <v>17.721184313347202</v>
      </c>
      <c r="G4367" s="2563">
        <v>0.41852715492495202</v>
      </c>
    </row>
    <row r="4368" spans="1:7" x14ac:dyDescent="0.3">
      <c r="A4368" s="11" t="s">
        <v>6072</v>
      </c>
      <c r="B4368" s="11" t="s">
        <v>6073</v>
      </c>
      <c r="C4368" s="2564">
        <v>12851</v>
      </c>
      <c r="D4368" s="2564">
        <v>1420688027.5987</v>
      </c>
      <c r="E4368" s="2565">
        <v>47887083.194729596</v>
      </c>
      <c r="F4368" s="2566">
        <v>17.708472980690502</v>
      </c>
      <c r="G4368" s="2567">
        <v>0.39921655855277699</v>
      </c>
    </row>
    <row r="4369" spans="1:7" x14ac:dyDescent="0.3">
      <c r="A4369" s="6" t="s">
        <v>6070</v>
      </c>
      <c r="B4369" s="6" t="s">
        <v>6071</v>
      </c>
      <c r="C4369" s="2560">
        <v>7855</v>
      </c>
      <c r="D4369" s="2560">
        <v>1301021540.1011701</v>
      </c>
      <c r="E4369" s="2561">
        <v>19269504.259524599</v>
      </c>
      <c r="F4369" s="2562">
        <v>16.216864183137702</v>
      </c>
      <c r="G4369" s="2563">
        <v>0.425384349065492</v>
      </c>
    </row>
    <row r="4370" spans="1:7" x14ac:dyDescent="0.3">
      <c r="A4370" s="11" t="s">
        <v>6076</v>
      </c>
      <c r="B4370" s="11" t="s">
        <v>6077</v>
      </c>
      <c r="C4370" s="2564">
        <v>6048</v>
      </c>
      <c r="D4370" s="2564">
        <v>676790874.66515803</v>
      </c>
      <c r="E4370" s="2565">
        <v>20645584.732474901</v>
      </c>
      <c r="F4370" s="2566">
        <v>8.4360061355927805</v>
      </c>
      <c r="G4370" s="2567">
        <v>0.25085929054004502</v>
      </c>
    </row>
    <row r="4371" spans="1:7" x14ac:dyDescent="0.3">
      <c r="A4371" s="6" t="s">
        <v>974</v>
      </c>
      <c r="B4371" s="6" t="s">
        <v>975</v>
      </c>
      <c r="C4371" s="2560">
        <v>4</v>
      </c>
      <c r="D4371" s="2560">
        <v>441526.14959801902</v>
      </c>
      <c r="E4371" s="2561">
        <v>323707.42425996502</v>
      </c>
      <c r="F4371" s="2562">
        <v>100</v>
      </c>
      <c r="G4371" s="2563">
        <v>0</v>
      </c>
    </row>
    <row r="4372" spans="1:7" x14ac:dyDescent="0.3">
      <c r="A4372" s="11" t="s">
        <v>6269</v>
      </c>
      <c r="B4372" s="11" t="s">
        <v>6270</v>
      </c>
      <c r="C4372" s="2564">
        <v>59872</v>
      </c>
      <c r="D4372" s="2564">
        <v>8022645595.40415</v>
      </c>
      <c r="E4372" s="2565">
        <v>109144628.87219299</v>
      </c>
      <c r="F4372" s="2566">
        <v>99.9944968047472</v>
      </c>
      <c r="G4372" s="2567">
        <v>4.0326581637433502E-3</v>
      </c>
    </row>
    <row r="4373" spans="1:7" x14ac:dyDescent="0.3">
      <c r="A4373" s="6" t="s">
        <v>6269</v>
      </c>
      <c r="B4373" s="6" t="s">
        <v>6271</v>
      </c>
      <c r="C4373" s="2560">
        <v>59876</v>
      </c>
      <c r="D4373" s="2560">
        <v>8023087121.55375</v>
      </c>
      <c r="E4373" s="2561">
        <v>0</v>
      </c>
      <c r="F4373" s="2562">
        <v>100</v>
      </c>
      <c r="G4373" s="2563">
        <v>0</v>
      </c>
    </row>
    <row r="4374" spans="1:7" x14ac:dyDescent="0.3">
      <c r="A4374" s="3299" t="s">
        <v>164</v>
      </c>
      <c r="B4374" s="3298"/>
      <c r="C4374" s="3298"/>
      <c r="D4374" s="3298"/>
      <c r="E4374" s="3298"/>
      <c r="F4374" s="3298"/>
      <c r="G4374" s="3298"/>
    </row>
    <row r="4375" spans="1:7" x14ac:dyDescent="0.3">
      <c r="A4375" s="11" t="s">
        <v>974</v>
      </c>
      <c r="B4375" s="11" t="s">
        <v>975</v>
      </c>
      <c r="C4375" s="2572">
        <v>14647</v>
      </c>
      <c r="D4375" s="2572">
        <v>2036904716.8777299</v>
      </c>
      <c r="E4375" s="2573">
        <v>13036780.6682308</v>
      </c>
      <c r="F4375" s="2574">
        <v>100</v>
      </c>
      <c r="G4375" s="2575">
        <v>0</v>
      </c>
    </row>
    <row r="4376" spans="1:7" x14ac:dyDescent="0.3">
      <c r="A4376" s="6" t="s">
        <v>6269</v>
      </c>
      <c r="B4376" s="6" t="s">
        <v>6270</v>
      </c>
      <c r="C4376" s="2568">
        <v>45222</v>
      </c>
      <c r="D4376" s="2568">
        <v>5986182404.6760798</v>
      </c>
      <c r="E4376" s="2569">
        <v>105318525.611224</v>
      </c>
      <c r="F4376" s="2570">
        <v>74.611958140082507</v>
      </c>
      <c r="G4376" s="2571">
        <v>0.32615668287456101</v>
      </c>
    </row>
    <row r="4377" spans="1:7" x14ac:dyDescent="0.3">
      <c r="A4377" s="11" t="s">
        <v>6269</v>
      </c>
      <c r="B4377" s="11" t="s">
        <v>6271</v>
      </c>
      <c r="C4377" s="2572">
        <v>59869</v>
      </c>
      <c r="D4377" s="2572">
        <v>8023087121.5538101</v>
      </c>
      <c r="E4377" s="2573">
        <v>0</v>
      </c>
      <c r="F4377" s="2574">
        <v>100</v>
      </c>
      <c r="G4377" s="2575">
        <v>0</v>
      </c>
    </row>
    <row r="4378" spans="1:7" x14ac:dyDescent="0.3">
      <c r="A4378" s="3299" t="s">
        <v>606</v>
      </c>
      <c r="B4378" s="3298"/>
      <c r="C4378" s="3298"/>
      <c r="D4378" s="3298"/>
      <c r="E4378" s="3298"/>
      <c r="F4378" s="3298"/>
      <c r="G4378" s="3298"/>
    </row>
    <row r="4379" spans="1:7" x14ac:dyDescent="0.3">
      <c r="A4379" s="11" t="s">
        <v>964</v>
      </c>
      <c r="B4379" s="11" t="s">
        <v>1040</v>
      </c>
      <c r="C4379" s="2580">
        <v>49288</v>
      </c>
      <c r="D4379" s="2580">
        <v>7692781303.3900204</v>
      </c>
      <c r="E4379" s="2581">
        <v>91854632.805799603</v>
      </c>
      <c r="F4379" s="2582">
        <v>95.883058314590897</v>
      </c>
      <c r="G4379" s="2583">
        <v>0.30758118701645898</v>
      </c>
    </row>
    <row r="4380" spans="1:7" x14ac:dyDescent="0.3">
      <c r="A4380" s="6" t="s">
        <v>962</v>
      </c>
      <c r="B4380" s="6" t="s">
        <v>1039</v>
      </c>
      <c r="C4380" s="2576">
        <v>10588</v>
      </c>
      <c r="D4380" s="2576">
        <v>330305818.163948</v>
      </c>
      <c r="E4380" s="2577">
        <v>27634332.276701</v>
      </c>
      <c r="F4380" s="2578">
        <v>4.1169416854091496</v>
      </c>
      <c r="G4380" s="2579">
        <v>0.30758118701646497</v>
      </c>
    </row>
    <row r="4381" spans="1:7" x14ac:dyDescent="0.3">
      <c r="A4381" s="11" t="s">
        <v>6269</v>
      </c>
      <c r="B4381" s="11" t="s">
        <v>6270</v>
      </c>
      <c r="C4381" s="2580">
        <v>59876</v>
      </c>
      <c r="D4381" s="2580">
        <v>8023087121.5539703</v>
      </c>
      <c r="E4381" s="2581">
        <v>109184500.795045</v>
      </c>
      <c r="F4381" s="2582">
        <v>100</v>
      </c>
      <c r="G4381" s="2583">
        <v>9.5320444878948101E-14</v>
      </c>
    </row>
    <row r="4382" spans="1:7" x14ac:dyDescent="0.3">
      <c r="A4382" s="6" t="s">
        <v>6269</v>
      </c>
      <c r="B4382" s="6" t="s">
        <v>6271</v>
      </c>
      <c r="C4382" s="2576">
        <v>59876</v>
      </c>
      <c r="D4382" s="2576">
        <v>8023087121.5539703</v>
      </c>
      <c r="E4382" s="2577">
        <v>0</v>
      </c>
      <c r="F4382" s="2578">
        <v>100</v>
      </c>
      <c r="G4382" s="2579">
        <v>0</v>
      </c>
    </row>
    <row r="4383" spans="1:7" x14ac:dyDescent="0.3">
      <c r="A4383" s="3299" t="s">
        <v>818</v>
      </c>
      <c r="B4383" s="3298"/>
      <c r="C4383" s="3298"/>
      <c r="D4383" s="3298"/>
      <c r="E4383" s="3298"/>
      <c r="F4383" s="3298"/>
      <c r="G4383" s="3298"/>
    </row>
    <row r="4384" spans="1:7" x14ac:dyDescent="0.3">
      <c r="A4384" s="11" t="s">
        <v>960</v>
      </c>
      <c r="B4384" s="11" t="s">
        <v>961</v>
      </c>
      <c r="C4384" s="2588">
        <v>20176</v>
      </c>
      <c r="D4384" s="2588">
        <v>3041664452.53163</v>
      </c>
      <c r="E4384" s="2589">
        <v>55355974.369182996</v>
      </c>
      <c r="F4384" s="2590">
        <v>100</v>
      </c>
      <c r="G4384" s="2591">
        <v>0</v>
      </c>
    </row>
    <row r="4385" spans="1:7" x14ac:dyDescent="0.3">
      <c r="A4385" s="6" t="s">
        <v>6269</v>
      </c>
      <c r="B4385" s="6" t="s">
        <v>6270</v>
      </c>
      <c r="C4385" s="2584">
        <v>38413</v>
      </c>
      <c r="D4385" s="2584">
        <v>4981422669.02215</v>
      </c>
      <c r="E4385" s="2585">
        <v>108616927.363712</v>
      </c>
      <c r="F4385" s="2586">
        <v>62.088602473724997</v>
      </c>
      <c r="G4385" s="2587">
        <v>0.74484163748263299</v>
      </c>
    </row>
    <row r="4386" spans="1:7" x14ac:dyDescent="0.3">
      <c r="A4386" s="11" t="s">
        <v>6269</v>
      </c>
      <c r="B4386" s="11" t="s">
        <v>6271</v>
      </c>
      <c r="C4386" s="2588">
        <v>58589</v>
      </c>
      <c r="D4386" s="2588">
        <v>8023087121.5537901</v>
      </c>
      <c r="E4386" s="2589">
        <v>0</v>
      </c>
      <c r="F4386" s="2590">
        <v>100</v>
      </c>
      <c r="G4386" s="2591">
        <v>0</v>
      </c>
    </row>
    <row r="4387" spans="1:7" x14ac:dyDescent="0.3">
      <c r="A4387" s="3299" t="s">
        <v>820</v>
      </c>
      <c r="B4387" s="3298"/>
      <c r="C4387" s="3298"/>
      <c r="D4387" s="3298"/>
      <c r="E4387" s="3298"/>
      <c r="F4387" s="3298"/>
      <c r="G4387" s="3298"/>
    </row>
    <row r="4388" spans="1:7" x14ac:dyDescent="0.3">
      <c r="A4388" s="11" t="s">
        <v>960</v>
      </c>
      <c r="B4388" s="11" t="s">
        <v>961</v>
      </c>
      <c r="C4388" s="2596">
        <v>20176</v>
      </c>
      <c r="D4388" s="2596">
        <v>3041664452.53163</v>
      </c>
      <c r="E4388" s="2597">
        <v>55355974.369182996</v>
      </c>
      <c r="F4388" s="2598">
        <v>100</v>
      </c>
      <c r="G4388" s="2599">
        <v>0</v>
      </c>
    </row>
    <row r="4389" spans="1:7" x14ac:dyDescent="0.3">
      <c r="A4389" s="6" t="s">
        <v>6269</v>
      </c>
      <c r="B4389" s="6" t="s">
        <v>6270</v>
      </c>
      <c r="C4389" s="2592">
        <v>38413</v>
      </c>
      <c r="D4389" s="2592">
        <v>4981422669.02215</v>
      </c>
      <c r="E4389" s="2593">
        <v>108616927.363712</v>
      </c>
      <c r="F4389" s="2594">
        <v>62.088602473724997</v>
      </c>
      <c r="G4389" s="2595">
        <v>0.74484163748263299</v>
      </c>
    </row>
    <row r="4390" spans="1:7" x14ac:dyDescent="0.3">
      <c r="A4390" s="11" t="s">
        <v>6269</v>
      </c>
      <c r="B4390" s="11" t="s">
        <v>6271</v>
      </c>
      <c r="C4390" s="2596">
        <v>58589</v>
      </c>
      <c r="D4390" s="2596">
        <v>8023087121.5537901</v>
      </c>
      <c r="E4390" s="2597">
        <v>0</v>
      </c>
      <c r="F4390" s="2598">
        <v>100</v>
      </c>
      <c r="G4390" s="2599">
        <v>0</v>
      </c>
    </row>
    <row r="4391" spans="1:7" x14ac:dyDescent="0.3">
      <c r="A4391" s="3299" t="s">
        <v>162</v>
      </c>
      <c r="B4391" s="3298"/>
      <c r="C4391" s="3298"/>
      <c r="D4391" s="3298"/>
      <c r="E4391" s="3298"/>
      <c r="F4391" s="3298"/>
      <c r="G4391" s="3298"/>
    </row>
    <row r="4392" spans="1:7" x14ac:dyDescent="0.3">
      <c r="A4392" s="11" t="s">
        <v>962</v>
      </c>
      <c r="B4392" s="11" t="s">
        <v>1039</v>
      </c>
      <c r="C4392" s="2604">
        <v>40773</v>
      </c>
      <c r="D4392" s="2604">
        <v>5138419973.6429501</v>
      </c>
      <c r="E4392" s="2605">
        <v>93683284.748114794</v>
      </c>
      <c r="F4392" s="2606">
        <v>75.999227586998401</v>
      </c>
      <c r="G4392" s="2607">
        <v>0.57146421544493198</v>
      </c>
    </row>
    <row r="4393" spans="1:7" x14ac:dyDescent="0.3">
      <c r="A4393" s="6" t="s">
        <v>964</v>
      </c>
      <c r="B4393" s="6" t="s">
        <v>1040</v>
      </c>
      <c r="C4393" s="2600">
        <v>12115</v>
      </c>
      <c r="D4393" s="2600">
        <v>1622727654.81269</v>
      </c>
      <c r="E4393" s="2601">
        <v>43489286.939919099</v>
      </c>
      <c r="F4393" s="2602">
        <v>24.000772413001599</v>
      </c>
      <c r="G4393" s="2603">
        <v>0.57146421544493897</v>
      </c>
    </row>
    <row r="4394" spans="1:7" x14ac:dyDescent="0.3">
      <c r="A4394" s="11" t="s">
        <v>960</v>
      </c>
      <c r="B4394" s="11" t="s">
        <v>961</v>
      </c>
      <c r="C4394" s="2604">
        <v>6988</v>
      </c>
      <c r="D4394" s="2604">
        <v>1261939493.09815</v>
      </c>
      <c r="E4394" s="2605">
        <v>30248086.867431998</v>
      </c>
      <c r="F4394" s="2606">
        <v>100</v>
      </c>
      <c r="G4394" s="2607">
        <v>0</v>
      </c>
    </row>
    <row r="4395" spans="1:7" x14ac:dyDescent="0.3">
      <c r="A4395" s="6" t="s">
        <v>6269</v>
      </c>
      <c r="B4395" s="6" t="s">
        <v>6270</v>
      </c>
      <c r="C4395" s="2600">
        <v>52888</v>
      </c>
      <c r="D4395" s="2600">
        <v>6761147628.4556503</v>
      </c>
      <c r="E4395" s="2601">
        <v>105817177.885271</v>
      </c>
      <c r="F4395" s="2602">
        <v>84.271148075807602</v>
      </c>
      <c r="G4395" s="2603">
        <v>0.385791982802412</v>
      </c>
    </row>
    <row r="4396" spans="1:7" x14ac:dyDescent="0.3">
      <c r="A4396" s="11" t="s">
        <v>6269</v>
      </c>
      <c r="B4396" s="11" t="s">
        <v>6271</v>
      </c>
      <c r="C4396" s="2604">
        <v>59876</v>
      </c>
      <c r="D4396" s="2604">
        <v>8023087121.5537996</v>
      </c>
      <c r="E4396" s="2605">
        <v>0</v>
      </c>
      <c r="F4396" s="2606">
        <v>100</v>
      </c>
      <c r="G4396" s="2607">
        <v>0</v>
      </c>
    </row>
    <row r="4397" spans="1:7" x14ac:dyDescent="0.3">
      <c r="A4397" s="3299" t="s">
        <v>878</v>
      </c>
      <c r="B4397" s="3298"/>
      <c r="C4397" s="3298"/>
      <c r="D4397" s="3298"/>
      <c r="E4397" s="3298"/>
      <c r="F4397" s="3298"/>
      <c r="G4397" s="3298"/>
    </row>
    <row r="4398" spans="1:7" x14ac:dyDescent="0.3">
      <c r="A4398" s="11" t="s">
        <v>962</v>
      </c>
      <c r="B4398" s="11" t="s">
        <v>6142</v>
      </c>
      <c r="C4398" s="2612">
        <v>20532</v>
      </c>
      <c r="D4398" s="2612">
        <v>2799480249.0632801</v>
      </c>
      <c r="E4398" s="2613">
        <v>35119399.071364298</v>
      </c>
      <c r="F4398" s="2614">
        <v>34.892806305724399</v>
      </c>
      <c r="G4398" s="2615">
        <v>0.18366226824323001</v>
      </c>
    </row>
    <row r="4399" spans="1:7" x14ac:dyDescent="0.3">
      <c r="A4399" s="6" t="s">
        <v>1159</v>
      </c>
      <c r="B4399" s="6" t="s">
        <v>6145</v>
      </c>
      <c r="C4399" s="2608">
        <v>12128</v>
      </c>
      <c r="D4399" s="2608">
        <v>1341798304.19047</v>
      </c>
      <c r="E4399" s="2609">
        <v>54765076.6248568</v>
      </c>
      <c r="F4399" s="2610">
        <v>16.724214555588802</v>
      </c>
      <c r="G4399" s="2611">
        <v>0.48635000307772702</v>
      </c>
    </row>
    <row r="4400" spans="1:7" x14ac:dyDescent="0.3">
      <c r="A4400" s="11" t="s">
        <v>995</v>
      </c>
      <c r="B4400" s="11" t="s">
        <v>986</v>
      </c>
      <c r="C4400" s="2612">
        <v>7483</v>
      </c>
      <c r="D4400" s="2612">
        <v>1196954514.58444</v>
      </c>
      <c r="E4400" s="2613">
        <v>12328288.386331899</v>
      </c>
      <c r="F4400" s="2614">
        <v>14.918877190911401</v>
      </c>
      <c r="G4400" s="2615">
        <v>0.25259915164023999</v>
      </c>
    </row>
    <row r="4401" spans="1:7" x14ac:dyDescent="0.3">
      <c r="A4401" s="6" t="s">
        <v>1161</v>
      </c>
      <c r="B4401" s="6" t="s">
        <v>6146</v>
      </c>
      <c r="C4401" s="2608">
        <v>5615</v>
      </c>
      <c r="D4401" s="2608">
        <v>626118308.37567997</v>
      </c>
      <c r="E4401" s="2609">
        <v>22326893.3346215</v>
      </c>
      <c r="F4401" s="2610">
        <v>7.8039574902986004</v>
      </c>
      <c r="G4401" s="2611">
        <v>0.30565870929358002</v>
      </c>
    </row>
    <row r="4402" spans="1:7" x14ac:dyDescent="0.3">
      <c r="A4402" s="11" t="s">
        <v>1165</v>
      </c>
      <c r="B4402" s="11" t="s">
        <v>6148</v>
      </c>
      <c r="C4402" s="2612">
        <v>3657</v>
      </c>
      <c r="D4402" s="2612">
        <v>616608653.679111</v>
      </c>
      <c r="E4402" s="2613">
        <v>24303234.785064299</v>
      </c>
      <c r="F4402" s="2614">
        <v>7.6854288671826696</v>
      </c>
      <c r="G4402" s="2615">
        <v>0.29978593398654801</v>
      </c>
    </row>
    <row r="4403" spans="1:7" x14ac:dyDescent="0.3">
      <c r="A4403" s="6" t="s">
        <v>1167</v>
      </c>
      <c r="B4403" s="6" t="s">
        <v>6149</v>
      </c>
      <c r="C4403" s="2608">
        <v>4970</v>
      </c>
      <c r="D4403" s="2608">
        <v>588384838.84442604</v>
      </c>
      <c r="E4403" s="2609">
        <v>19038158.991152301</v>
      </c>
      <c r="F4403" s="2610">
        <v>7.3336463873581401</v>
      </c>
      <c r="G4403" s="2611">
        <v>0.179119361071713</v>
      </c>
    </row>
    <row r="4404" spans="1:7" x14ac:dyDescent="0.3">
      <c r="A4404" s="11" t="s">
        <v>1155</v>
      </c>
      <c r="B4404" s="11" t="s">
        <v>6143</v>
      </c>
      <c r="C4404" s="2612">
        <v>3156</v>
      </c>
      <c r="D4404" s="2612">
        <v>546943976.03137898</v>
      </c>
      <c r="E4404" s="2613">
        <v>13972713.921384901</v>
      </c>
      <c r="F4404" s="2614">
        <v>6.8171262226734299</v>
      </c>
      <c r="G4404" s="2615">
        <v>0.17113564457448299</v>
      </c>
    </row>
    <row r="4405" spans="1:7" x14ac:dyDescent="0.3">
      <c r="A4405" s="6" t="s">
        <v>983</v>
      </c>
      <c r="B4405" s="6" t="s">
        <v>1015</v>
      </c>
      <c r="C4405" s="2608">
        <v>1148</v>
      </c>
      <c r="D4405" s="2608">
        <v>154855047.63105601</v>
      </c>
      <c r="E4405" s="2609">
        <v>12723207.398326701</v>
      </c>
      <c r="F4405" s="2610">
        <v>1.9301179868163501</v>
      </c>
      <c r="G4405" s="2611">
        <v>0.15236794480331001</v>
      </c>
    </row>
    <row r="4406" spans="1:7" x14ac:dyDescent="0.3">
      <c r="A4406" s="11" t="s">
        <v>1157</v>
      </c>
      <c r="B4406" s="11" t="s">
        <v>6144</v>
      </c>
      <c r="C4406" s="2612">
        <v>1187</v>
      </c>
      <c r="D4406" s="2612">
        <v>151943229.153947</v>
      </c>
      <c r="E4406" s="2613">
        <v>9664238.7525898498</v>
      </c>
      <c r="F4406" s="2614">
        <v>1.8938249934461799</v>
      </c>
      <c r="G4406" s="2615">
        <v>0.117630401554842</v>
      </c>
    </row>
    <row r="4407" spans="1:7" x14ac:dyDescent="0.3">
      <c r="A4407" s="6" t="s">
        <v>6269</v>
      </c>
      <c r="B4407" s="6" t="s">
        <v>6270</v>
      </c>
      <c r="C4407" s="2608">
        <v>59876</v>
      </c>
      <c r="D4407" s="2608">
        <v>8023087121.5537901</v>
      </c>
      <c r="E4407" s="2609">
        <v>109184500.79501501</v>
      </c>
      <c r="F4407" s="2610">
        <v>100</v>
      </c>
      <c r="G4407" s="2611">
        <v>1.02786679142825E-14</v>
      </c>
    </row>
    <row r="4408" spans="1:7" x14ac:dyDescent="0.3">
      <c r="A4408" s="11" t="s">
        <v>6269</v>
      </c>
      <c r="B4408" s="11" t="s">
        <v>6271</v>
      </c>
      <c r="C4408" s="2612">
        <v>59876</v>
      </c>
      <c r="D4408" s="2612">
        <v>8023087121.5537901</v>
      </c>
      <c r="E4408" s="2613">
        <v>0</v>
      </c>
      <c r="F4408" s="2614">
        <v>100</v>
      </c>
      <c r="G4408" s="2615">
        <v>0</v>
      </c>
    </row>
    <row r="4409" spans="1:7" x14ac:dyDescent="0.3">
      <c r="A4409" s="3299" t="s">
        <v>880</v>
      </c>
      <c r="B4409" s="3298"/>
      <c r="C4409" s="3298"/>
      <c r="D4409" s="3298"/>
      <c r="E4409" s="3298"/>
      <c r="F4409" s="3298"/>
      <c r="G4409" s="3298"/>
    </row>
    <row r="4410" spans="1:7" x14ac:dyDescent="0.3">
      <c r="A4410" s="11" t="s">
        <v>962</v>
      </c>
      <c r="B4410" s="11" t="s">
        <v>6150</v>
      </c>
      <c r="C4410" s="2620">
        <v>10259</v>
      </c>
      <c r="D4410" s="2620">
        <v>1714517769.67133</v>
      </c>
      <c r="E4410" s="2621">
        <v>22719754.4442988</v>
      </c>
      <c r="F4410" s="2622">
        <v>21.369801221095098</v>
      </c>
      <c r="G4410" s="2623">
        <v>0.52075059786810096</v>
      </c>
    </row>
    <row r="4411" spans="1:7" x14ac:dyDescent="0.3">
      <c r="A4411" s="6" t="s">
        <v>968</v>
      </c>
      <c r="B4411" s="6" t="s">
        <v>6153</v>
      </c>
      <c r="C4411" s="2616">
        <v>11028</v>
      </c>
      <c r="D4411" s="2616">
        <v>1572341780.61238</v>
      </c>
      <c r="E4411" s="2617">
        <v>44619241.820356399</v>
      </c>
      <c r="F4411" s="2618">
        <v>19.597715402944299</v>
      </c>
      <c r="G4411" s="2619">
        <v>0.36716661096707898</v>
      </c>
    </row>
    <row r="4412" spans="1:7" x14ac:dyDescent="0.3">
      <c r="A4412" s="11" t="s">
        <v>966</v>
      </c>
      <c r="B4412" s="11" t="s">
        <v>6152</v>
      </c>
      <c r="C4412" s="2620">
        <v>12084</v>
      </c>
      <c r="D4412" s="2620">
        <v>1318572042.2177899</v>
      </c>
      <c r="E4412" s="2621">
        <v>47870424.939920001</v>
      </c>
      <c r="F4412" s="2622">
        <v>16.4347217254501</v>
      </c>
      <c r="G4412" s="2623">
        <v>0.41905606330072898</v>
      </c>
    </row>
    <row r="4413" spans="1:7" x14ac:dyDescent="0.3">
      <c r="A4413" s="6" t="s">
        <v>995</v>
      </c>
      <c r="B4413" s="6" t="s">
        <v>6157</v>
      </c>
      <c r="C4413" s="2616">
        <v>11150</v>
      </c>
      <c r="D4413" s="2616">
        <v>1238917313.6436601</v>
      </c>
      <c r="E4413" s="2617">
        <v>31899002.253463902</v>
      </c>
      <c r="F4413" s="2618">
        <v>15.441902784719201</v>
      </c>
      <c r="G4413" s="2619">
        <v>0.348942616678516</v>
      </c>
    </row>
    <row r="4414" spans="1:7" x14ac:dyDescent="0.3">
      <c r="A4414" s="11" t="s">
        <v>970</v>
      </c>
      <c r="B4414" s="11" t="s">
        <v>6154</v>
      </c>
      <c r="C4414" s="2620">
        <v>5615</v>
      </c>
      <c r="D4414" s="2620">
        <v>964854784.90869999</v>
      </c>
      <c r="E4414" s="2621">
        <v>16560148.698226601</v>
      </c>
      <c r="F4414" s="2622">
        <v>12.025979156036399</v>
      </c>
      <c r="G4414" s="2623">
        <v>0.19523595800636301</v>
      </c>
    </row>
    <row r="4415" spans="1:7" x14ac:dyDescent="0.3">
      <c r="A4415" s="6" t="s">
        <v>997</v>
      </c>
      <c r="B4415" s="6" t="s">
        <v>3209</v>
      </c>
      <c r="C4415" s="2616">
        <v>3359</v>
      </c>
      <c r="D4415" s="2616">
        <v>467895808.73566097</v>
      </c>
      <c r="E4415" s="2617">
        <v>18043246.910191</v>
      </c>
      <c r="F4415" s="2618">
        <v>5.8318674800211596</v>
      </c>
      <c r="G4415" s="2619">
        <v>0.22400793311175701</v>
      </c>
    </row>
    <row r="4416" spans="1:7" x14ac:dyDescent="0.3">
      <c r="A4416" s="11" t="s">
        <v>991</v>
      </c>
      <c r="B4416" s="11" t="s">
        <v>6156</v>
      </c>
      <c r="C4416" s="2620">
        <v>3416</v>
      </c>
      <c r="D4416" s="2620">
        <v>360027663.07503998</v>
      </c>
      <c r="E4416" s="2621">
        <v>15766369.5196862</v>
      </c>
      <c r="F4416" s="2622">
        <v>4.4873956573129599</v>
      </c>
      <c r="G4416" s="2623">
        <v>0.17220115907891101</v>
      </c>
    </row>
    <row r="4417" spans="1:7" x14ac:dyDescent="0.3">
      <c r="A4417" s="6" t="s">
        <v>972</v>
      </c>
      <c r="B4417" s="6" t="s">
        <v>6155</v>
      </c>
      <c r="C4417" s="2616">
        <v>1973</v>
      </c>
      <c r="D4417" s="2616">
        <v>257473213.09020501</v>
      </c>
      <c r="E4417" s="2617">
        <v>18436371.171604801</v>
      </c>
      <c r="F4417" s="2618">
        <v>3.20915389786198</v>
      </c>
      <c r="G4417" s="2619">
        <v>0.22174362290556299</v>
      </c>
    </row>
    <row r="4418" spans="1:7" x14ac:dyDescent="0.3">
      <c r="A4418" s="11" t="s">
        <v>964</v>
      </c>
      <c r="B4418" s="11" t="s">
        <v>6151</v>
      </c>
      <c r="C4418" s="2620">
        <v>966</v>
      </c>
      <c r="D4418" s="2620">
        <v>125678065.185406</v>
      </c>
      <c r="E4418" s="2621">
        <v>8472097.0480229594</v>
      </c>
      <c r="F4418" s="2622">
        <v>1.56645519712451</v>
      </c>
      <c r="G4418" s="2623">
        <v>9.2845170404488503E-2</v>
      </c>
    </row>
    <row r="4419" spans="1:7" x14ac:dyDescent="0.3">
      <c r="A4419" s="6" t="s">
        <v>3210</v>
      </c>
      <c r="B4419" s="6" t="s">
        <v>6158</v>
      </c>
      <c r="C4419" s="2616">
        <v>26</v>
      </c>
      <c r="D4419" s="2616">
        <v>2808680.4136036001</v>
      </c>
      <c r="E4419" s="2617">
        <v>1677692.0480488499</v>
      </c>
      <c r="F4419" s="2618">
        <v>3.5007477434193301E-2</v>
      </c>
      <c r="G4419" s="2619">
        <v>2.09210168427298E-2</v>
      </c>
    </row>
    <row r="4420" spans="1:7" x14ac:dyDescent="0.3">
      <c r="A4420" s="11" t="s">
        <v>6269</v>
      </c>
      <c r="B4420" s="11" t="s">
        <v>6270</v>
      </c>
      <c r="C4420" s="2620">
        <v>59876</v>
      </c>
      <c r="D4420" s="2620">
        <v>8023087121.5537796</v>
      </c>
      <c r="E4420" s="2621">
        <v>109184500.79502299</v>
      </c>
      <c r="F4420" s="2622">
        <v>100</v>
      </c>
      <c r="G4420" s="2623">
        <v>1.02786679142825E-14</v>
      </c>
    </row>
    <row r="4421" spans="1:7" x14ac:dyDescent="0.3">
      <c r="A4421" s="6" t="s">
        <v>6269</v>
      </c>
      <c r="B4421" s="6" t="s">
        <v>6271</v>
      </c>
      <c r="C4421" s="2616">
        <v>59876</v>
      </c>
      <c r="D4421" s="2616">
        <v>8023087121.5537796</v>
      </c>
      <c r="E4421" s="2617">
        <v>0</v>
      </c>
      <c r="F4421" s="2618">
        <v>100</v>
      </c>
      <c r="G4421" s="2619">
        <v>0</v>
      </c>
    </row>
    <row r="4422" spans="1:7" x14ac:dyDescent="0.3">
      <c r="A4422" s="3299" t="s">
        <v>613</v>
      </c>
      <c r="B4422" s="3298"/>
      <c r="C4422" s="3298"/>
      <c r="D4422" s="3298"/>
      <c r="E4422" s="3298"/>
      <c r="F4422" s="3298"/>
      <c r="G4422" s="3298"/>
    </row>
    <row r="4423" spans="1:7" x14ac:dyDescent="0.3">
      <c r="A4423" s="11" t="s">
        <v>962</v>
      </c>
      <c r="B4423" s="11" t="s">
        <v>827</v>
      </c>
      <c r="C4423" s="2628">
        <v>475</v>
      </c>
      <c r="D4423" s="2628">
        <v>107421833.386354</v>
      </c>
      <c r="E4423" s="2629">
        <v>11068697.4540764</v>
      </c>
      <c r="F4423" s="2630">
        <v>100</v>
      </c>
      <c r="G4423" s="2631">
        <v>0</v>
      </c>
    </row>
    <row r="4424" spans="1:7" x14ac:dyDescent="0.3">
      <c r="A4424" s="6" t="s">
        <v>960</v>
      </c>
      <c r="B4424" s="6" t="s">
        <v>961</v>
      </c>
      <c r="C4424" s="2624">
        <v>59392</v>
      </c>
      <c r="D4424" s="2624">
        <v>7912920468.8089304</v>
      </c>
      <c r="E4424" s="2625">
        <v>109442312.561165</v>
      </c>
      <c r="F4424" s="2626">
        <v>99.965324211436695</v>
      </c>
      <c r="G4424" s="2627">
        <v>1.1296880087816499E-2</v>
      </c>
    </row>
    <row r="4425" spans="1:7" x14ac:dyDescent="0.3">
      <c r="A4425" s="11" t="s">
        <v>974</v>
      </c>
      <c r="B4425" s="11" t="s">
        <v>975</v>
      </c>
      <c r="C4425" s="2628">
        <v>9</v>
      </c>
      <c r="D4425" s="2628">
        <v>2744819.35870256</v>
      </c>
      <c r="E4425" s="2629">
        <v>893204.72061744204</v>
      </c>
      <c r="F4425" s="2630">
        <v>3.46757885632877E-2</v>
      </c>
      <c r="G4425" s="2631">
        <v>1.1296880087810501E-2</v>
      </c>
    </row>
    <row r="4426" spans="1:7" x14ac:dyDescent="0.3">
      <c r="A4426" s="6" t="s">
        <v>6269</v>
      </c>
      <c r="B4426" s="6" t="s">
        <v>6270</v>
      </c>
      <c r="C4426" s="2624">
        <v>475</v>
      </c>
      <c r="D4426" s="2624">
        <v>107421833.386354</v>
      </c>
      <c r="E4426" s="2625">
        <v>11068697.4540764</v>
      </c>
      <c r="F4426" s="2626">
        <v>1.3389089730531001</v>
      </c>
      <c r="G4426" s="2627">
        <v>0.13801374429100399</v>
      </c>
    </row>
    <row r="4427" spans="1:7" x14ac:dyDescent="0.3">
      <c r="A4427" s="11" t="s">
        <v>6269</v>
      </c>
      <c r="B4427" s="11" t="s">
        <v>6271</v>
      </c>
      <c r="C4427" s="2628">
        <v>59876</v>
      </c>
      <c r="D4427" s="2628">
        <v>8023087121.5539799</v>
      </c>
      <c r="E4427" s="2629">
        <v>0</v>
      </c>
      <c r="F4427" s="2630">
        <v>100</v>
      </c>
      <c r="G4427" s="2631">
        <v>0</v>
      </c>
    </row>
    <row r="4428" spans="1:7" x14ac:dyDescent="0.3">
      <c r="A4428" s="3299" t="s">
        <v>636</v>
      </c>
      <c r="B4428" s="3298"/>
      <c r="C4428" s="3298"/>
      <c r="D4428" s="3298"/>
      <c r="E4428" s="3298"/>
      <c r="F4428" s="3298"/>
      <c r="G4428" s="3298"/>
    </row>
    <row r="4429" spans="1:7" x14ac:dyDescent="0.3">
      <c r="A4429" s="11" t="s">
        <v>964</v>
      </c>
      <c r="B4429" s="11" t="s">
        <v>6041</v>
      </c>
      <c r="C4429" s="2636">
        <v>13</v>
      </c>
      <c r="D4429" s="2636">
        <v>1817877.4216481801</v>
      </c>
      <c r="E4429" s="2637">
        <v>668540.90788558603</v>
      </c>
      <c r="F4429" s="2638">
        <v>100</v>
      </c>
      <c r="G4429" s="2639">
        <v>0</v>
      </c>
    </row>
    <row r="4430" spans="1:7" x14ac:dyDescent="0.3">
      <c r="A4430" s="6" t="s">
        <v>960</v>
      </c>
      <c r="B4430" s="6" t="s">
        <v>961</v>
      </c>
      <c r="C4430" s="2632">
        <v>59854</v>
      </c>
      <c r="D4430" s="2632">
        <v>8018524424.7736197</v>
      </c>
      <c r="E4430" s="2633">
        <v>109651232.654055</v>
      </c>
      <c r="F4430" s="2634">
        <v>99.965780735253205</v>
      </c>
      <c r="G4430" s="2635">
        <v>1.1129373615505899E-2</v>
      </c>
    </row>
    <row r="4431" spans="1:7" x14ac:dyDescent="0.3">
      <c r="A4431" s="11" t="s">
        <v>974</v>
      </c>
      <c r="B4431" s="11" t="s">
        <v>975</v>
      </c>
      <c r="C4431" s="2636">
        <v>9</v>
      </c>
      <c r="D4431" s="2636">
        <v>2744819.35870256</v>
      </c>
      <c r="E4431" s="2637">
        <v>893204.72061744204</v>
      </c>
      <c r="F4431" s="2638">
        <v>3.4219264746791003E-2</v>
      </c>
      <c r="G4431" s="2639">
        <v>1.11293736155032E-2</v>
      </c>
    </row>
    <row r="4432" spans="1:7" x14ac:dyDescent="0.3">
      <c r="A4432" s="6" t="s">
        <v>6269</v>
      </c>
      <c r="B4432" s="6" t="s">
        <v>6270</v>
      </c>
      <c r="C4432" s="2632">
        <v>13</v>
      </c>
      <c r="D4432" s="2632">
        <v>1817877.4216481801</v>
      </c>
      <c r="E4432" s="2633">
        <v>668540.90788558603</v>
      </c>
      <c r="F4432" s="2634">
        <v>2.2658079042473099E-2</v>
      </c>
      <c r="G4432" s="2635">
        <v>8.5577667812652292E-3</v>
      </c>
    </row>
    <row r="4433" spans="1:7" x14ac:dyDescent="0.3">
      <c r="A4433" s="11" t="s">
        <v>6269</v>
      </c>
      <c r="B4433" s="11" t="s">
        <v>6271</v>
      </c>
      <c r="C4433" s="2636">
        <v>59876</v>
      </c>
      <c r="D4433" s="2636">
        <v>8023087121.5539703</v>
      </c>
      <c r="E4433" s="2637">
        <v>0</v>
      </c>
      <c r="F4433" s="2638">
        <v>100</v>
      </c>
      <c r="G4433" s="2639">
        <v>0</v>
      </c>
    </row>
    <row r="4434" spans="1:7" x14ac:dyDescent="0.3">
      <c r="A4434" s="3299" t="s">
        <v>640</v>
      </c>
      <c r="B4434" s="3298"/>
      <c r="C4434" s="3298"/>
      <c r="D4434" s="3298"/>
      <c r="E4434" s="3298"/>
      <c r="F4434" s="3298"/>
      <c r="G4434" s="3298"/>
    </row>
    <row r="4435" spans="1:7" x14ac:dyDescent="0.3">
      <c r="A4435" s="11" t="s">
        <v>966</v>
      </c>
      <c r="B4435" s="11" t="s">
        <v>6020</v>
      </c>
      <c r="C4435" s="2644">
        <v>45</v>
      </c>
      <c r="D4435" s="2644">
        <v>12421292.327669799</v>
      </c>
      <c r="E4435" s="2645">
        <v>3200015.32190071</v>
      </c>
      <c r="F4435" s="2646">
        <v>100</v>
      </c>
      <c r="G4435" s="2647">
        <v>0</v>
      </c>
    </row>
    <row r="4436" spans="1:7" x14ac:dyDescent="0.3">
      <c r="A4436" s="6" t="s">
        <v>960</v>
      </c>
      <c r="B4436" s="6" t="s">
        <v>961</v>
      </c>
      <c r="C4436" s="2640">
        <v>59822</v>
      </c>
      <c r="D4436" s="2640">
        <v>8007921009.8676004</v>
      </c>
      <c r="E4436" s="2641">
        <v>108109765.801872</v>
      </c>
      <c r="F4436" s="2642">
        <v>99.965735440508695</v>
      </c>
      <c r="G4436" s="2643">
        <v>1.1154738798159199E-2</v>
      </c>
    </row>
    <row r="4437" spans="1:7" x14ac:dyDescent="0.3">
      <c r="A4437" s="11" t="s">
        <v>974</v>
      </c>
      <c r="B4437" s="11" t="s">
        <v>975</v>
      </c>
      <c r="C4437" s="2644">
        <v>9</v>
      </c>
      <c r="D4437" s="2644">
        <v>2744819.35870256</v>
      </c>
      <c r="E4437" s="2645">
        <v>893204.72061744204</v>
      </c>
      <c r="F4437" s="2646">
        <v>3.4264559491275999E-2</v>
      </c>
      <c r="G4437" s="2647">
        <v>1.11547387981584E-2</v>
      </c>
    </row>
    <row r="4438" spans="1:7" x14ac:dyDescent="0.3">
      <c r="A4438" s="6" t="s">
        <v>6269</v>
      </c>
      <c r="B4438" s="6" t="s">
        <v>6270</v>
      </c>
      <c r="C4438" s="2640">
        <v>45</v>
      </c>
      <c r="D4438" s="2640">
        <v>12421292.327669799</v>
      </c>
      <c r="E4438" s="2641">
        <v>3200015.32190071</v>
      </c>
      <c r="F4438" s="2642">
        <v>0.154819362415997</v>
      </c>
      <c r="G4438" s="2643">
        <v>3.9148071399817103E-2</v>
      </c>
    </row>
    <row r="4439" spans="1:7" x14ac:dyDescent="0.3">
      <c r="A4439" s="11" t="s">
        <v>6269</v>
      </c>
      <c r="B4439" s="11" t="s">
        <v>6271</v>
      </c>
      <c r="C4439" s="2644">
        <v>59876</v>
      </c>
      <c r="D4439" s="2644">
        <v>8023087121.5539703</v>
      </c>
      <c r="E4439" s="2645">
        <v>0</v>
      </c>
      <c r="F4439" s="2646">
        <v>100</v>
      </c>
      <c r="G4439" s="2647">
        <v>0</v>
      </c>
    </row>
    <row r="4440" spans="1:7" x14ac:dyDescent="0.3">
      <c r="A4440" s="3299" t="s">
        <v>642</v>
      </c>
      <c r="B4440" s="3298"/>
      <c r="C4440" s="3298"/>
      <c r="D4440" s="3298"/>
      <c r="E4440" s="3298"/>
      <c r="F4440" s="3298"/>
      <c r="G4440" s="3298"/>
    </row>
    <row r="4441" spans="1:7" x14ac:dyDescent="0.3">
      <c r="A4441" s="11" t="s">
        <v>968</v>
      </c>
      <c r="B4441" s="11" t="s">
        <v>6021</v>
      </c>
      <c r="C4441" s="2652">
        <v>8</v>
      </c>
      <c r="D4441" s="2652">
        <v>1369706.2299400701</v>
      </c>
      <c r="E4441" s="2653">
        <v>583229.90214110399</v>
      </c>
      <c r="F4441" s="2654">
        <v>100</v>
      </c>
      <c r="G4441" s="2655">
        <v>0</v>
      </c>
    </row>
    <row r="4442" spans="1:7" x14ac:dyDescent="0.3">
      <c r="A4442" s="6" t="s">
        <v>960</v>
      </c>
      <c r="B4442" s="6" t="s">
        <v>961</v>
      </c>
      <c r="C4442" s="2648">
        <v>59859</v>
      </c>
      <c r="D4442" s="2648">
        <v>8018972595.9653301</v>
      </c>
      <c r="E4442" s="2649">
        <v>109212586.81862999</v>
      </c>
      <c r="F4442" s="2650">
        <v>99.965782647074306</v>
      </c>
      <c r="G4442" s="2651">
        <v>1.1129599070622401E-2</v>
      </c>
    </row>
    <row r="4443" spans="1:7" x14ac:dyDescent="0.3">
      <c r="A4443" s="11" t="s">
        <v>974</v>
      </c>
      <c r="B4443" s="11" t="s">
        <v>975</v>
      </c>
      <c r="C4443" s="2652">
        <v>9</v>
      </c>
      <c r="D4443" s="2652">
        <v>2744819.35870256</v>
      </c>
      <c r="E4443" s="2653">
        <v>893204.72061744204</v>
      </c>
      <c r="F4443" s="2654">
        <v>3.4217352925685E-2</v>
      </c>
      <c r="G4443" s="2655">
        <v>1.1129599070622199E-2</v>
      </c>
    </row>
    <row r="4444" spans="1:7" x14ac:dyDescent="0.3">
      <c r="A4444" s="6" t="s">
        <v>6269</v>
      </c>
      <c r="B4444" s="6" t="s">
        <v>6270</v>
      </c>
      <c r="C4444" s="2648">
        <v>8</v>
      </c>
      <c r="D4444" s="2648">
        <v>1369706.2299400701</v>
      </c>
      <c r="E4444" s="2649">
        <v>583229.90214110399</v>
      </c>
      <c r="F4444" s="2650">
        <v>1.7072059784323801E-2</v>
      </c>
      <c r="G4444" s="2651">
        <v>7.2901206173269402E-3</v>
      </c>
    </row>
    <row r="4445" spans="1:7" x14ac:dyDescent="0.3">
      <c r="A4445" s="11" t="s">
        <v>6269</v>
      </c>
      <c r="B4445" s="11" t="s">
        <v>6271</v>
      </c>
      <c r="C4445" s="2652">
        <v>59876</v>
      </c>
      <c r="D4445" s="2652">
        <v>8023087121.5539703</v>
      </c>
      <c r="E4445" s="2653">
        <v>0</v>
      </c>
      <c r="F4445" s="2654">
        <v>100</v>
      </c>
      <c r="G4445" s="2655">
        <v>0</v>
      </c>
    </row>
    <row r="4446" spans="1:7" x14ac:dyDescent="0.3">
      <c r="A4446" s="3299" t="s">
        <v>644</v>
      </c>
      <c r="B4446" s="3298"/>
      <c r="C4446" s="3298"/>
      <c r="D4446" s="3298"/>
      <c r="E4446" s="3298"/>
      <c r="F4446" s="3298"/>
      <c r="G4446" s="3298"/>
    </row>
    <row r="4447" spans="1:7" x14ac:dyDescent="0.3">
      <c r="A4447" s="11" t="s">
        <v>970</v>
      </c>
      <c r="B4447" s="11" t="s">
        <v>6042</v>
      </c>
      <c r="C4447" s="2660">
        <v>6</v>
      </c>
      <c r="D4447" s="2660">
        <v>1880433.2484631201</v>
      </c>
      <c r="E4447" s="2661">
        <v>1563248.2250508401</v>
      </c>
      <c r="F4447" s="2662">
        <v>100</v>
      </c>
      <c r="G4447" s="2663">
        <v>0</v>
      </c>
    </row>
    <row r="4448" spans="1:7" x14ac:dyDescent="0.3">
      <c r="A4448" s="6" t="s">
        <v>960</v>
      </c>
      <c r="B4448" s="6" t="s">
        <v>961</v>
      </c>
      <c r="C4448" s="2656">
        <v>59861</v>
      </c>
      <c r="D4448" s="2656">
        <v>8018461868.9468098</v>
      </c>
      <c r="E4448" s="2657">
        <v>109686471.88563401</v>
      </c>
      <c r="F4448" s="2658">
        <v>99.965780468383798</v>
      </c>
      <c r="G4448" s="2659">
        <v>1.11262564356331E-2</v>
      </c>
    </row>
    <row r="4449" spans="1:7" x14ac:dyDescent="0.3">
      <c r="A4449" s="11" t="s">
        <v>974</v>
      </c>
      <c r="B4449" s="11" t="s">
        <v>975</v>
      </c>
      <c r="C4449" s="2660">
        <v>9</v>
      </c>
      <c r="D4449" s="2660">
        <v>2744819.35870256</v>
      </c>
      <c r="E4449" s="2661">
        <v>893204.72061744204</v>
      </c>
      <c r="F4449" s="2662">
        <v>3.4219531616163999E-2</v>
      </c>
      <c r="G4449" s="2663">
        <v>1.11262564356266E-2</v>
      </c>
    </row>
    <row r="4450" spans="1:7" x14ac:dyDescent="0.3">
      <c r="A4450" s="6" t="s">
        <v>6269</v>
      </c>
      <c r="B4450" s="6" t="s">
        <v>6270</v>
      </c>
      <c r="C4450" s="2656">
        <v>6</v>
      </c>
      <c r="D4450" s="2656">
        <v>1880433.2484631201</v>
      </c>
      <c r="E4450" s="2657">
        <v>1563248.2250508401</v>
      </c>
      <c r="F4450" s="2658">
        <v>2.3437776755674902E-2</v>
      </c>
      <c r="G4450" s="2659">
        <v>1.9492776590328699E-2</v>
      </c>
    </row>
    <row r="4451" spans="1:7" x14ac:dyDescent="0.3">
      <c r="A4451" s="11" t="s">
        <v>6269</v>
      </c>
      <c r="B4451" s="11" t="s">
        <v>6271</v>
      </c>
      <c r="C4451" s="2660">
        <v>59876</v>
      </c>
      <c r="D4451" s="2660">
        <v>8023087121.5539703</v>
      </c>
      <c r="E4451" s="2661">
        <v>0</v>
      </c>
      <c r="F4451" s="2662">
        <v>100</v>
      </c>
      <c r="G4451" s="2663">
        <v>0</v>
      </c>
    </row>
    <row r="4452" spans="1:7" x14ac:dyDescent="0.3">
      <c r="A4452" s="3299" t="s">
        <v>646</v>
      </c>
      <c r="B4452" s="3298"/>
      <c r="C4452" s="3298"/>
      <c r="D4452" s="3298"/>
      <c r="E4452" s="3298"/>
      <c r="F4452" s="3298"/>
      <c r="G4452" s="3298"/>
    </row>
    <row r="4453" spans="1:7" x14ac:dyDescent="0.3">
      <c r="A4453" s="11" t="s">
        <v>972</v>
      </c>
      <c r="B4453" s="11" t="s">
        <v>6043</v>
      </c>
      <c r="C4453" s="2668">
        <v>7</v>
      </c>
      <c r="D4453" s="2668">
        <v>2526579.7985899802</v>
      </c>
      <c r="E4453" s="2669">
        <v>972343.77874219196</v>
      </c>
      <c r="F4453" s="2670">
        <v>100</v>
      </c>
      <c r="G4453" s="2671">
        <v>0</v>
      </c>
    </row>
    <row r="4454" spans="1:7" x14ac:dyDescent="0.3">
      <c r="A4454" s="6" t="s">
        <v>960</v>
      </c>
      <c r="B4454" s="6" t="s">
        <v>961</v>
      </c>
      <c r="C4454" s="2664">
        <v>59860</v>
      </c>
      <c r="D4454" s="2664">
        <v>8017815722.3966799</v>
      </c>
      <c r="E4454" s="2665">
        <v>108752055.01839399</v>
      </c>
      <c r="F4454" s="2666">
        <v>99.965777711614905</v>
      </c>
      <c r="G4454" s="2667">
        <v>1.1131690432322899E-2</v>
      </c>
    </row>
    <row r="4455" spans="1:7" x14ac:dyDescent="0.3">
      <c r="A4455" s="11" t="s">
        <v>974</v>
      </c>
      <c r="B4455" s="11" t="s">
        <v>975</v>
      </c>
      <c r="C4455" s="2668">
        <v>9</v>
      </c>
      <c r="D4455" s="2668">
        <v>2744819.35870256</v>
      </c>
      <c r="E4455" s="2669">
        <v>893204.72061744204</v>
      </c>
      <c r="F4455" s="2670">
        <v>3.4222288385118697E-2</v>
      </c>
      <c r="G4455" s="2671">
        <v>1.11316904323194E-2</v>
      </c>
    </row>
    <row r="4456" spans="1:7" x14ac:dyDescent="0.3">
      <c r="A4456" s="6" t="s">
        <v>6269</v>
      </c>
      <c r="B4456" s="6" t="s">
        <v>6270</v>
      </c>
      <c r="C4456" s="2664">
        <v>7</v>
      </c>
      <c r="D4456" s="2664">
        <v>2526579.7985899802</v>
      </c>
      <c r="E4456" s="2665">
        <v>972343.77874219196</v>
      </c>
      <c r="F4456" s="2666">
        <v>3.1491366855562898E-2</v>
      </c>
      <c r="G4456" s="2667">
        <v>1.19525469959406E-2</v>
      </c>
    </row>
    <row r="4457" spans="1:7" x14ac:dyDescent="0.3">
      <c r="A4457" s="11" t="s">
        <v>6269</v>
      </c>
      <c r="B4457" s="11" t="s">
        <v>6271</v>
      </c>
      <c r="C4457" s="2668">
        <v>59876</v>
      </c>
      <c r="D4457" s="2668">
        <v>8023087121.5539703</v>
      </c>
      <c r="E4457" s="2669">
        <v>0</v>
      </c>
      <c r="F4457" s="2670">
        <v>100</v>
      </c>
      <c r="G4457" s="2671">
        <v>0</v>
      </c>
    </row>
    <row r="4458" spans="1:7" x14ac:dyDescent="0.3">
      <c r="A4458" s="3299" t="s">
        <v>648</v>
      </c>
      <c r="B4458" s="3298"/>
      <c r="C4458" s="3298"/>
      <c r="D4458" s="3298"/>
      <c r="E4458" s="3298"/>
      <c r="F4458" s="3298"/>
      <c r="G4458" s="3298"/>
    </row>
    <row r="4459" spans="1:7" x14ac:dyDescent="0.3">
      <c r="A4459" s="11" t="s">
        <v>960</v>
      </c>
      <c r="B4459" s="11" t="s">
        <v>961</v>
      </c>
      <c r="C4459" s="2676">
        <v>59867</v>
      </c>
      <c r="D4459" s="2676">
        <v>8020342302.1952696</v>
      </c>
      <c r="E4459" s="2677">
        <v>109163900.070805</v>
      </c>
      <c r="F4459" s="2678">
        <v>99.965788488681298</v>
      </c>
      <c r="G4459" s="2679">
        <v>1.11273401568212E-2</v>
      </c>
    </row>
    <row r="4460" spans="1:7" x14ac:dyDescent="0.3">
      <c r="A4460" s="6" t="s">
        <v>974</v>
      </c>
      <c r="B4460" s="6" t="s">
        <v>975</v>
      </c>
      <c r="C4460" s="2672">
        <v>9</v>
      </c>
      <c r="D4460" s="2672">
        <v>2744819.35870256</v>
      </c>
      <c r="E4460" s="2673">
        <v>893204.72061744204</v>
      </c>
      <c r="F4460" s="2674">
        <v>3.4211511318737002E-2</v>
      </c>
      <c r="G4460" s="2675">
        <v>1.11273401568167E-2</v>
      </c>
    </row>
    <row r="4461" spans="1:7" x14ac:dyDescent="0.3">
      <c r="A4461" s="11" t="s">
        <v>6269</v>
      </c>
      <c r="B4461" s="11" t="s">
        <v>6270</v>
      </c>
      <c r="C4461" s="2676">
        <v>0</v>
      </c>
      <c r="D4461" s="2676">
        <v>0</v>
      </c>
      <c r="E4461" s="2677">
        <v>0</v>
      </c>
      <c r="F4461" s="2678">
        <v>0</v>
      </c>
      <c r="G4461" s="2679">
        <v>0</v>
      </c>
    </row>
    <row r="4462" spans="1:7" x14ac:dyDescent="0.3">
      <c r="A4462" s="6" t="s">
        <v>6269</v>
      </c>
      <c r="B4462" s="6" t="s">
        <v>6271</v>
      </c>
      <c r="C4462" s="2672">
        <v>59876</v>
      </c>
      <c r="D4462" s="2672">
        <v>8023087121.5539703</v>
      </c>
      <c r="E4462" s="2673">
        <v>0</v>
      </c>
      <c r="F4462" s="2674">
        <v>100</v>
      </c>
      <c r="G4462" s="2675">
        <v>0</v>
      </c>
    </row>
    <row r="4463" spans="1:7" x14ac:dyDescent="0.3">
      <c r="A4463" s="3299" t="s">
        <v>650</v>
      </c>
      <c r="B4463" s="3298"/>
      <c r="C4463" s="3298"/>
      <c r="D4463" s="3298"/>
      <c r="E4463" s="3298"/>
      <c r="F4463" s="3298"/>
      <c r="G4463" s="3298"/>
    </row>
    <row r="4464" spans="1:7" x14ac:dyDescent="0.3">
      <c r="A4464" s="11" t="s">
        <v>960</v>
      </c>
      <c r="B4464" s="11" t="s">
        <v>961</v>
      </c>
      <c r="C4464" s="2684">
        <v>59867</v>
      </c>
      <c r="D4464" s="2684">
        <v>8020342302.1952696</v>
      </c>
      <c r="E4464" s="2685">
        <v>109163900.070805</v>
      </c>
      <c r="F4464" s="2686">
        <v>99.965788488681298</v>
      </c>
      <c r="G4464" s="2687">
        <v>1.11273401568212E-2</v>
      </c>
    </row>
    <row r="4465" spans="1:7" x14ac:dyDescent="0.3">
      <c r="A4465" s="6" t="s">
        <v>974</v>
      </c>
      <c r="B4465" s="6" t="s">
        <v>975</v>
      </c>
      <c r="C4465" s="2680">
        <v>9</v>
      </c>
      <c r="D4465" s="2680">
        <v>2744819.35870256</v>
      </c>
      <c r="E4465" s="2681">
        <v>893204.72061744204</v>
      </c>
      <c r="F4465" s="2682">
        <v>3.4211511318737002E-2</v>
      </c>
      <c r="G4465" s="2683">
        <v>1.11273401568167E-2</v>
      </c>
    </row>
    <row r="4466" spans="1:7" x14ac:dyDescent="0.3">
      <c r="A4466" s="11" t="s">
        <v>6269</v>
      </c>
      <c r="B4466" s="11" t="s">
        <v>6270</v>
      </c>
      <c r="C4466" s="2684">
        <v>0</v>
      </c>
      <c r="D4466" s="2684">
        <v>0</v>
      </c>
      <c r="E4466" s="2685">
        <v>0</v>
      </c>
      <c r="F4466" s="2686">
        <v>0</v>
      </c>
      <c r="G4466" s="2687">
        <v>0</v>
      </c>
    </row>
    <row r="4467" spans="1:7" x14ac:dyDescent="0.3">
      <c r="A4467" s="6" t="s">
        <v>6269</v>
      </c>
      <c r="B4467" s="6" t="s">
        <v>6271</v>
      </c>
      <c r="C4467" s="2680">
        <v>59876</v>
      </c>
      <c r="D4467" s="2680">
        <v>8023087121.5539703</v>
      </c>
      <c r="E4467" s="2681">
        <v>0</v>
      </c>
      <c r="F4467" s="2682">
        <v>100</v>
      </c>
      <c r="G4467" s="2683">
        <v>0</v>
      </c>
    </row>
    <row r="4468" spans="1:7" x14ac:dyDescent="0.3">
      <c r="A4468" s="3299" t="s">
        <v>652</v>
      </c>
      <c r="B4468" s="3298"/>
      <c r="C4468" s="3298"/>
      <c r="D4468" s="3298"/>
      <c r="E4468" s="3298"/>
      <c r="F4468" s="3298"/>
      <c r="G4468" s="3298"/>
    </row>
    <row r="4469" spans="1:7" x14ac:dyDescent="0.3">
      <c r="A4469" s="11" t="s">
        <v>960</v>
      </c>
      <c r="B4469" s="11" t="s">
        <v>961</v>
      </c>
      <c r="C4469" s="2692">
        <v>59867</v>
      </c>
      <c r="D4469" s="2692">
        <v>8020342302.1952696</v>
      </c>
      <c r="E4469" s="2693">
        <v>109163900.070805</v>
      </c>
      <c r="F4469" s="2694">
        <v>99.965788488681298</v>
      </c>
      <c r="G4469" s="2695">
        <v>1.11273401568212E-2</v>
      </c>
    </row>
    <row r="4470" spans="1:7" x14ac:dyDescent="0.3">
      <c r="A4470" s="6" t="s">
        <v>974</v>
      </c>
      <c r="B4470" s="6" t="s">
        <v>975</v>
      </c>
      <c r="C4470" s="2688">
        <v>9</v>
      </c>
      <c r="D4470" s="2688">
        <v>2744819.35870256</v>
      </c>
      <c r="E4470" s="2689">
        <v>893204.72061744204</v>
      </c>
      <c r="F4470" s="2690">
        <v>3.4211511318737002E-2</v>
      </c>
      <c r="G4470" s="2691">
        <v>1.11273401568167E-2</v>
      </c>
    </row>
    <row r="4471" spans="1:7" x14ac:dyDescent="0.3">
      <c r="A4471" s="11" t="s">
        <v>6269</v>
      </c>
      <c r="B4471" s="11" t="s">
        <v>6270</v>
      </c>
      <c r="C4471" s="2692">
        <v>0</v>
      </c>
      <c r="D4471" s="2692">
        <v>0</v>
      </c>
      <c r="E4471" s="2693">
        <v>0</v>
      </c>
      <c r="F4471" s="2694">
        <v>0</v>
      </c>
      <c r="G4471" s="2695">
        <v>0</v>
      </c>
    </row>
    <row r="4472" spans="1:7" x14ac:dyDescent="0.3">
      <c r="A4472" s="6" t="s">
        <v>6269</v>
      </c>
      <c r="B4472" s="6" t="s">
        <v>6271</v>
      </c>
      <c r="C4472" s="2688">
        <v>59876</v>
      </c>
      <c r="D4472" s="2688">
        <v>8023087121.5539703</v>
      </c>
      <c r="E4472" s="2689">
        <v>0</v>
      </c>
      <c r="F4472" s="2690">
        <v>100</v>
      </c>
      <c r="G4472" s="2691">
        <v>0</v>
      </c>
    </row>
    <row r="4473" spans="1:7" x14ac:dyDescent="0.3">
      <c r="A4473" s="3299" t="s">
        <v>616</v>
      </c>
      <c r="B4473" s="3298"/>
      <c r="C4473" s="3298"/>
      <c r="D4473" s="3298"/>
      <c r="E4473" s="3298"/>
      <c r="F4473" s="3298"/>
      <c r="G4473" s="3298"/>
    </row>
    <row r="4474" spans="1:7" x14ac:dyDescent="0.3">
      <c r="A4474" s="11" t="s">
        <v>995</v>
      </c>
      <c r="B4474" s="11" t="s">
        <v>6047</v>
      </c>
      <c r="C4474" s="2700">
        <v>5</v>
      </c>
      <c r="D4474" s="2700">
        <v>1301493.7171560701</v>
      </c>
      <c r="E4474" s="2701">
        <v>765405.05178807501</v>
      </c>
      <c r="F4474" s="2702">
        <v>100</v>
      </c>
      <c r="G4474" s="2703">
        <v>0</v>
      </c>
    </row>
    <row r="4475" spans="1:7" x14ac:dyDescent="0.3">
      <c r="A4475" s="6" t="s">
        <v>960</v>
      </c>
      <c r="B4475" s="6" t="s">
        <v>961</v>
      </c>
      <c r="C4475" s="2696">
        <v>59862</v>
      </c>
      <c r="D4475" s="2696">
        <v>8019040808.4781103</v>
      </c>
      <c r="E4475" s="2697">
        <v>109459594.55598</v>
      </c>
      <c r="F4475" s="2698">
        <v>99.965782938038402</v>
      </c>
      <c r="G4475" s="2699">
        <v>1.11285589980429E-2</v>
      </c>
    </row>
    <row r="4476" spans="1:7" x14ac:dyDescent="0.3">
      <c r="A4476" s="11" t="s">
        <v>974</v>
      </c>
      <c r="B4476" s="11" t="s">
        <v>975</v>
      </c>
      <c r="C4476" s="2700">
        <v>9</v>
      </c>
      <c r="D4476" s="2700">
        <v>2744819.35870256</v>
      </c>
      <c r="E4476" s="2701">
        <v>893204.72061744204</v>
      </c>
      <c r="F4476" s="2702">
        <v>3.4217061961586498E-2</v>
      </c>
      <c r="G4476" s="2703">
        <v>1.1128558998038199E-2</v>
      </c>
    </row>
    <row r="4477" spans="1:7" x14ac:dyDescent="0.3">
      <c r="A4477" s="6" t="s">
        <v>6269</v>
      </c>
      <c r="B4477" s="6" t="s">
        <v>6270</v>
      </c>
      <c r="C4477" s="2696">
        <v>5</v>
      </c>
      <c r="D4477" s="2696">
        <v>1301493.7171560701</v>
      </c>
      <c r="E4477" s="2697">
        <v>765405.05178807501</v>
      </c>
      <c r="F4477" s="2698">
        <v>1.62218569664987E-2</v>
      </c>
      <c r="G4477" s="2699">
        <v>9.5905802361941593E-3</v>
      </c>
    </row>
    <row r="4478" spans="1:7" x14ac:dyDescent="0.3">
      <c r="A4478" s="11" t="s">
        <v>6269</v>
      </c>
      <c r="B4478" s="11" t="s">
        <v>6271</v>
      </c>
      <c r="C4478" s="2700">
        <v>59876</v>
      </c>
      <c r="D4478" s="2700">
        <v>8023087121.5539703</v>
      </c>
      <c r="E4478" s="2701">
        <v>0</v>
      </c>
      <c r="F4478" s="2702">
        <v>100</v>
      </c>
      <c r="G4478" s="2703">
        <v>0</v>
      </c>
    </row>
    <row r="4479" spans="1:7" x14ac:dyDescent="0.3">
      <c r="A4479" s="3299" t="s">
        <v>618</v>
      </c>
      <c r="B4479" s="3298"/>
      <c r="C4479" s="3298"/>
      <c r="D4479" s="3298"/>
      <c r="E4479" s="3298"/>
      <c r="F4479" s="3298"/>
      <c r="G4479" s="3298"/>
    </row>
    <row r="4480" spans="1:7" x14ac:dyDescent="0.3">
      <c r="A4480" s="11" t="s">
        <v>997</v>
      </c>
      <c r="B4480" s="11" t="s">
        <v>6048</v>
      </c>
      <c r="C4480" s="2708">
        <v>48</v>
      </c>
      <c r="D4480" s="2708">
        <v>13041977.9092017</v>
      </c>
      <c r="E4480" s="2709">
        <v>3306657.9977170601</v>
      </c>
      <c r="F4480" s="2710">
        <v>100</v>
      </c>
      <c r="G4480" s="2711">
        <v>0</v>
      </c>
    </row>
    <row r="4481" spans="1:7" x14ac:dyDescent="0.3">
      <c r="A4481" s="6" t="s">
        <v>960</v>
      </c>
      <c r="B4481" s="6" t="s">
        <v>961</v>
      </c>
      <c r="C4481" s="2704">
        <v>59819</v>
      </c>
      <c r="D4481" s="2704">
        <v>8007300324.2860699</v>
      </c>
      <c r="E4481" s="2705">
        <v>108459592.901412</v>
      </c>
      <c r="F4481" s="2706">
        <v>99.965732785402807</v>
      </c>
      <c r="G4481" s="2707">
        <v>1.1152849464526601E-2</v>
      </c>
    </row>
    <row r="4482" spans="1:7" x14ac:dyDescent="0.3">
      <c r="A4482" s="11" t="s">
        <v>974</v>
      </c>
      <c r="B4482" s="11" t="s">
        <v>975</v>
      </c>
      <c r="C4482" s="2708">
        <v>9</v>
      </c>
      <c r="D4482" s="2708">
        <v>2744819.35870256</v>
      </c>
      <c r="E4482" s="2709">
        <v>893204.72061744204</v>
      </c>
      <c r="F4482" s="2710">
        <v>3.4267214597165203E-2</v>
      </c>
      <c r="G4482" s="2711">
        <v>1.1152849464526E-2</v>
      </c>
    </row>
    <row r="4483" spans="1:7" x14ac:dyDescent="0.3">
      <c r="A4483" s="6" t="s">
        <v>6269</v>
      </c>
      <c r="B4483" s="6" t="s">
        <v>6270</v>
      </c>
      <c r="C4483" s="2704">
        <v>48</v>
      </c>
      <c r="D4483" s="2704">
        <v>13041977.9092017</v>
      </c>
      <c r="E4483" s="2705">
        <v>3306657.9977170601</v>
      </c>
      <c r="F4483" s="2706">
        <v>0.16255560623496801</v>
      </c>
      <c r="G4483" s="2707">
        <v>4.0726914589895198E-2</v>
      </c>
    </row>
    <row r="4484" spans="1:7" x14ac:dyDescent="0.3">
      <c r="A4484" s="11" t="s">
        <v>6269</v>
      </c>
      <c r="B4484" s="11" t="s">
        <v>6271</v>
      </c>
      <c r="C4484" s="2708">
        <v>59876</v>
      </c>
      <c r="D4484" s="2708">
        <v>8023087121.5539799</v>
      </c>
      <c r="E4484" s="2709">
        <v>0</v>
      </c>
      <c r="F4484" s="2710">
        <v>100</v>
      </c>
      <c r="G4484" s="2711">
        <v>0</v>
      </c>
    </row>
    <row r="4485" spans="1:7" x14ac:dyDescent="0.3">
      <c r="A4485" s="3299" t="s">
        <v>620</v>
      </c>
      <c r="B4485" s="3298"/>
      <c r="C4485" s="3298"/>
      <c r="D4485" s="3298"/>
      <c r="E4485" s="3298"/>
      <c r="F4485" s="3298"/>
      <c r="G4485" s="3298"/>
    </row>
    <row r="4486" spans="1:7" x14ac:dyDescent="0.3">
      <c r="A4486" s="11" t="s">
        <v>999</v>
      </c>
      <c r="B4486" s="11" t="s">
        <v>6028</v>
      </c>
      <c r="C4486" s="2716">
        <v>2</v>
      </c>
      <c r="D4486" s="2716">
        <v>367972.24584473798</v>
      </c>
      <c r="E4486" s="2717">
        <v>307945.90580260003</v>
      </c>
      <c r="F4486" s="2718">
        <v>100</v>
      </c>
      <c r="G4486" s="2719">
        <v>0</v>
      </c>
    </row>
    <row r="4487" spans="1:7" x14ac:dyDescent="0.3">
      <c r="A4487" s="6" t="s">
        <v>960</v>
      </c>
      <c r="B4487" s="6" t="s">
        <v>961</v>
      </c>
      <c r="C4487" s="2712">
        <v>59865</v>
      </c>
      <c r="D4487" s="2712">
        <v>8019974329.94942</v>
      </c>
      <c r="E4487" s="2713">
        <v>109135633.95907</v>
      </c>
      <c r="F4487" s="2714">
        <v>99.965786919526707</v>
      </c>
      <c r="G4487" s="2715">
        <v>1.1127970492699301E-2</v>
      </c>
    </row>
    <row r="4488" spans="1:7" x14ac:dyDescent="0.3">
      <c r="A4488" s="11" t="s">
        <v>974</v>
      </c>
      <c r="B4488" s="11" t="s">
        <v>975</v>
      </c>
      <c r="C4488" s="2716">
        <v>9</v>
      </c>
      <c r="D4488" s="2716">
        <v>2744819.35870256</v>
      </c>
      <c r="E4488" s="2717">
        <v>893204.72061744204</v>
      </c>
      <c r="F4488" s="2718">
        <v>3.4213080473336502E-2</v>
      </c>
      <c r="G4488" s="2719">
        <v>1.1127970492697099E-2</v>
      </c>
    </row>
    <row r="4489" spans="1:7" x14ac:dyDescent="0.3">
      <c r="A4489" s="6" t="s">
        <v>6269</v>
      </c>
      <c r="B4489" s="6" t="s">
        <v>6270</v>
      </c>
      <c r="C4489" s="2712">
        <v>2</v>
      </c>
      <c r="D4489" s="2712">
        <v>367972.24584473798</v>
      </c>
      <c r="E4489" s="2713">
        <v>307945.90580260003</v>
      </c>
      <c r="F4489" s="2714">
        <v>4.5864171767022602E-3</v>
      </c>
      <c r="G4489" s="2715">
        <v>3.8394072147195902E-3</v>
      </c>
    </row>
    <row r="4490" spans="1:7" x14ac:dyDescent="0.3">
      <c r="A4490" s="11" t="s">
        <v>6269</v>
      </c>
      <c r="B4490" s="11" t="s">
        <v>6271</v>
      </c>
      <c r="C4490" s="2716">
        <v>59876</v>
      </c>
      <c r="D4490" s="2716">
        <v>8023087121.5539703</v>
      </c>
      <c r="E4490" s="2717">
        <v>0</v>
      </c>
      <c r="F4490" s="2718">
        <v>100</v>
      </c>
      <c r="G4490" s="2719">
        <v>0</v>
      </c>
    </row>
    <row r="4491" spans="1:7" x14ac:dyDescent="0.3">
      <c r="A4491" s="3299" t="s">
        <v>622</v>
      </c>
      <c r="B4491" s="3298"/>
      <c r="C4491" s="3298"/>
      <c r="D4491" s="3298"/>
      <c r="E4491" s="3298"/>
      <c r="F4491" s="3298"/>
      <c r="G4491" s="3298"/>
    </row>
    <row r="4492" spans="1:7" x14ac:dyDescent="0.3">
      <c r="A4492" s="11" t="s">
        <v>1001</v>
      </c>
      <c r="B4492" s="11" t="s">
        <v>6049</v>
      </c>
      <c r="C4492" s="2724">
        <v>9</v>
      </c>
      <c r="D4492" s="2724">
        <v>670906.650048621</v>
      </c>
      <c r="E4492" s="2725">
        <v>369656.15544128697</v>
      </c>
      <c r="F4492" s="2726">
        <v>100</v>
      </c>
      <c r="G4492" s="2727">
        <v>0</v>
      </c>
    </row>
    <row r="4493" spans="1:7" x14ac:dyDescent="0.3">
      <c r="A4493" s="6" t="s">
        <v>960</v>
      </c>
      <c r="B4493" s="6" t="s">
        <v>961</v>
      </c>
      <c r="C4493" s="2720">
        <v>59858</v>
      </c>
      <c r="D4493" s="2720">
        <v>8019671395.5452204</v>
      </c>
      <c r="E4493" s="2721">
        <v>109116849.588917</v>
      </c>
      <c r="F4493" s="2722">
        <v>99.965785627606806</v>
      </c>
      <c r="G4493" s="2723">
        <v>1.11284516877694E-2</v>
      </c>
    </row>
    <row r="4494" spans="1:7" x14ac:dyDescent="0.3">
      <c r="A4494" s="11" t="s">
        <v>974</v>
      </c>
      <c r="B4494" s="11" t="s">
        <v>975</v>
      </c>
      <c r="C4494" s="2724">
        <v>9</v>
      </c>
      <c r="D4494" s="2724">
        <v>2744819.35870256</v>
      </c>
      <c r="E4494" s="2725">
        <v>893204.72061744204</v>
      </c>
      <c r="F4494" s="2726">
        <v>3.4214372393235798E-2</v>
      </c>
      <c r="G4494" s="2727">
        <v>1.11284516877674E-2</v>
      </c>
    </row>
    <row r="4495" spans="1:7" x14ac:dyDescent="0.3">
      <c r="A4495" s="6" t="s">
        <v>6269</v>
      </c>
      <c r="B4495" s="6" t="s">
        <v>6270</v>
      </c>
      <c r="C4495" s="2720">
        <v>9</v>
      </c>
      <c r="D4495" s="2720">
        <v>670906.650048621</v>
      </c>
      <c r="E4495" s="2721">
        <v>369656.15544128697</v>
      </c>
      <c r="F4495" s="2722">
        <v>8.3622007325114892E-3</v>
      </c>
      <c r="G4495" s="2723">
        <v>4.5992833978171299E-3</v>
      </c>
    </row>
    <row r="4496" spans="1:7" x14ac:dyDescent="0.3">
      <c r="A4496" s="11" t="s">
        <v>6269</v>
      </c>
      <c r="B4496" s="11" t="s">
        <v>6271</v>
      </c>
      <c r="C4496" s="2724">
        <v>59876</v>
      </c>
      <c r="D4496" s="2724">
        <v>8023087121.5539703</v>
      </c>
      <c r="E4496" s="2725">
        <v>0</v>
      </c>
      <c r="F4496" s="2726">
        <v>100</v>
      </c>
      <c r="G4496" s="2727">
        <v>0</v>
      </c>
    </row>
    <row r="4497" spans="1:7" x14ac:dyDescent="0.3">
      <c r="A4497" s="3299" t="s">
        <v>624</v>
      </c>
      <c r="B4497" s="3298"/>
      <c r="C4497" s="3298"/>
      <c r="D4497" s="3298"/>
      <c r="E4497" s="3298"/>
      <c r="F4497" s="3298"/>
      <c r="G4497" s="3298"/>
    </row>
    <row r="4498" spans="1:7" x14ac:dyDescent="0.3">
      <c r="A4498" s="11" t="s">
        <v>1003</v>
      </c>
      <c r="B4498" s="11" t="s">
        <v>6030</v>
      </c>
      <c r="C4498" s="2732">
        <v>2</v>
      </c>
      <c r="D4498" s="2732">
        <v>305358.40705723199</v>
      </c>
      <c r="E4498" s="2733">
        <v>311475.23279388802</v>
      </c>
      <c r="F4498" s="2734">
        <v>100</v>
      </c>
      <c r="G4498" s="2735" t="e">
        <v>#NUM!</v>
      </c>
    </row>
    <row r="4499" spans="1:7" x14ac:dyDescent="0.3">
      <c r="A4499" s="6" t="s">
        <v>960</v>
      </c>
      <c r="B4499" s="6" t="s">
        <v>961</v>
      </c>
      <c r="C4499" s="2728">
        <v>59865</v>
      </c>
      <c r="D4499" s="2728">
        <v>8020036943.7882099</v>
      </c>
      <c r="E4499" s="2729">
        <v>109080986.571933</v>
      </c>
      <c r="F4499" s="2730">
        <v>99.965787186542798</v>
      </c>
      <c r="G4499" s="2731">
        <v>1.1127699127844301E-2</v>
      </c>
    </row>
    <row r="4500" spans="1:7" x14ac:dyDescent="0.3">
      <c r="A4500" s="11" t="s">
        <v>974</v>
      </c>
      <c r="B4500" s="11" t="s">
        <v>975</v>
      </c>
      <c r="C4500" s="2732">
        <v>9</v>
      </c>
      <c r="D4500" s="2732">
        <v>2744819.35870256</v>
      </c>
      <c r="E4500" s="2733">
        <v>893204.72061744204</v>
      </c>
      <c r="F4500" s="2734">
        <v>3.4212813457185701E-2</v>
      </c>
      <c r="G4500" s="2735">
        <v>1.11276991278428E-2</v>
      </c>
    </row>
    <row r="4501" spans="1:7" x14ac:dyDescent="0.3">
      <c r="A4501" s="6" t="s">
        <v>6269</v>
      </c>
      <c r="B4501" s="6" t="s">
        <v>6270</v>
      </c>
      <c r="C4501" s="2728">
        <v>2</v>
      </c>
      <c r="D4501" s="2728">
        <v>305358.40705723199</v>
      </c>
      <c r="E4501" s="2729">
        <v>311475.23279388802</v>
      </c>
      <c r="F4501" s="2730">
        <v>3.8059964005237902E-3</v>
      </c>
      <c r="G4501" s="2731">
        <v>3.87646795965164E-3</v>
      </c>
    </row>
    <row r="4502" spans="1:7" x14ac:dyDescent="0.3">
      <c r="A4502" s="11" t="s">
        <v>6269</v>
      </c>
      <c r="B4502" s="11" t="s">
        <v>6271</v>
      </c>
      <c r="C4502" s="2732">
        <v>59876</v>
      </c>
      <c r="D4502" s="2732">
        <v>8023087121.5539703</v>
      </c>
      <c r="E4502" s="2733">
        <v>0</v>
      </c>
      <c r="F4502" s="2734">
        <v>100</v>
      </c>
      <c r="G4502" s="2735">
        <v>0</v>
      </c>
    </row>
    <row r="4503" spans="1:7" x14ac:dyDescent="0.3">
      <c r="A4503" s="3299" t="s">
        <v>626</v>
      </c>
      <c r="B4503" s="3298"/>
      <c r="C4503" s="3298"/>
      <c r="D4503" s="3298"/>
      <c r="E4503" s="3298"/>
      <c r="F4503" s="3298"/>
      <c r="G4503" s="3298"/>
    </row>
    <row r="4504" spans="1:7" x14ac:dyDescent="0.3">
      <c r="A4504" s="11" t="s">
        <v>1005</v>
      </c>
      <c r="B4504" s="11" t="s">
        <v>6031</v>
      </c>
      <c r="C4504" s="2740">
        <v>7</v>
      </c>
      <c r="D4504" s="2740">
        <v>3880543.3076922302</v>
      </c>
      <c r="E4504" s="2741">
        <v>1408363.522816</v>
      </c>
      <c r="F4504" s="2742">
        <v>100</v>
      </c>
      <c r="G4504" s="2743">
        <v>0</v>
      </c>
    </row>
    <row r="4505" spans="1:7" x14ac:dyDescent="0.3">
      <c r="A4505" s="6" t="s">
        <v>960</v>
      </c>
      <c r="B4505" s="6" t="s">
        <v>961</v>
      </c>
      <c r="C4505" s="2736">
        <v>59860</v>
      </c>
      <c r="D4505" s="2736">
        <v>8016461758.8875799</v>
      </c>
      <c r="E4505" s="2737">
        <v>108365233.968797</v>
      </c>
      <c r="F4505" s="2738">
        <v>99.965771933520898</v>
      </c>
      <c r="G4505" s="2739">
        <v>1.11316937314513E-2</v>
      </c>
    </row>
    <row r="4506" spans="1:7" x14ac:dyDescent="0.3">
      <c r="A4506" s="11" t="s">
        <v>974</v>
      </c>
      <c r="B4506" s="11" t="s">
        <v>975</v>
      </c>
      <c r="C4506" s="2740">
        <v>9</v>
      </c>
      <c r="D4506" s="2740">
        <v>2744819.35870256</v>
      </c>
      <c r="E4506" s="2741">
        <v>893204.72061744204</v>
      </c>
      <c r="F4506" s="2742">
        <v>3.42280664791507E-2</v>
      </c>
      <c r="G4506" s="2743">
        <v>1.11316937314484E-2</v>
      </c>
    </row>
    <row r="4507" spans="1:7" x14ac:dyDescent="0.3">
      <c r="A4507" s="6" t="s">
        <v>6269</v>
      </c>
      <c r="B4507" s="6" t="s">
        <v>6270</v>
      </c>
      <c r="C4507" s="2736">
        <v>7</v>
      </c>
      <c r="D4507" s="2736">
        <v>3880543.3076922302</v>
      </c>
      <c r="E4507" s="2737">
        <v>1408363.522816</v>
      </c>
      <c r="F4507" s="2738">
        <v>4.83672088922876E-2</v>
      </c>
      <c r="G4507" s="2739">
        <v>1.7244230458031799E-2</v>
      </c>
    </row>
    <row r="4508" spans="1:7" x14ac:dyDescent="0.3">
      <c r="A4508" s="11" t="s">
        <v>6269</v>
      </c>
      <c r="B4508" s="11" t="s">
        <v>6271</v>
      </c>
      <c r="C4508" s="2740">
        <v>59876</v>
      </c>
      <c r="D4508" s="2740">
        <v>8023087121.5539703</v>
      </c>
      <c r="E4508" s="2741">
        <v>0</v>
      </c>
      <c r="F4508" s="2742">
        <v>100</v>
      </c>
      <c r="G4508" s="2743">
        <v>0</v>
      </c>
    </row>
    <row r="4509" spans="1:7" x14ac:dyDescent="0.3">
      <c r="A4509" s="3299" t="s">
        <v>628</v>
      </c>
      <c r="B4509" s="3298"/>
      <c r="C4509" s="3298"/>
      <c r="D4509" s="3298"/>
      <c r="E4509" s="3298"/>
      <c r="F4509" s="3298"/>
      <c r="G4509" s="3298"/>
    </row>
    <row r="4510" spans="1:7" x14ac:dyDescent="0.3">
      <c r="A4510" s="11" t="s">
        <v>1007</v>
      </c>
      <c r="B4510" s="11" t="s">
        <v>6050</v>
      </c>
      <c r="C4510" s="2748">
        <v>23</v>
      </c>
      <c r="D4510" s="2748">
        <v>6421646.6430895803</v>
      </c>
      <c r="E4510" s="2749">
        <v>3021547.0496784099</v>
      </c>
      <c r="F4510" s="2750">
        <v>100</v>
      </c>
      <c r="G4510" s="2751">
        <v>0</v>
      </c>
    </row>
    <row r="4511" spans="1:7" x14ac:dyDescent="0.3">
      <c r="A4511" s="6" t="s">
        <v>960</v>
      </c>
      <c r="B4511" s="6" t="s">
        <v>961</v>
      </c>
      <c r="C4511" s="2744">
        <v>59844</v>
      </c>
      <c r="D4511" s="2744">
        <v>8013920655.5521803</v>
      </c>
      <c r="E4511" s="2745">
        <v>108250569.739833</v>
      </c>
      <c r="F4511" s="2746">
        <v>99.965761083990699</v>
      </c>
      <c r="G4511" s="2747">
        <v>1.1137594733219699E-2</v>
      </c>
    </row>
    <row r="4512" spans="1:7" x14ac:dyDescent="0.3">
      <c r="A4512" s="11" t="s">
        <v>974</v>
      </c>
      <c r="B4512" s="11" t="s">
        <v>975</v>
      </c>
      <c r="C4512" s="2748">
        <v>9</v>
      </c>
      <c r="D4512" s="2748">
        <v>2744819.35870256</v>
      </c>
      <c r="E4512" s="2749">
        <v>893204.72061744204</v>
      </c>
      <c r="F4512" s="2750">
        <v>3.4238916009315903E-2</v>
      </c>
      <c r="G4512" s="2751">
        <v>1.1137594733220299E-2</v>
      </c>
    </row>
    <row r="4513" spans="1:7" x14ac:dyDescent="0.3">
      <c r="A4513" s="6" t="s">
        <v>6269</v>
      </c>
      <c r="B4513" s="6" t="s">
        <v>6270</v>
      </c>
      <c r="C4513" s="2744">
        <v>23</v>
      </c>
      <c r="D4513" s="2744">
        <v>6421646.6430895803</v>
      </c>
      <c r="E4513" s="2745">
        <v>3021547.0496784099</v>
      </c>
      <c r="F4513" s="2746">
        <v>8.0039597548901997E-2</v>
      </c>
      <c r="G4513" s="2747">
        <v>3.7329874211678299E-2</v>
      </c>
    </row>
    <row r="4514" spans="1:7" x14ac:dyDescent="0.3">
      <c r="A4514" s="11" t="s">
        <v>6269</v>
      </c>
      <c r="B4514" s="11" t="s">
        <v>6271</v>
      </c>
      <c r="C4514" s="2748">
        <v>59876</v>
      </c>
      <c r="D4514" s="2748">
        <v>8023087121.5539703</v>
      </c>
      <c r="E4514" s="2749">
        <v>0</v>
      </c>
      <c r="F4514" s="2750">
        <v>100</v>
      </c>
      <c r="G4514" s="2751">
        <v>0</v>
      </c>
    </row>
    <row r="4515" spans="1:7" x14ac:dyDescent="0.3">
      <c r="A4515" s="3299" t="s">
        <v>630</v>
      </c>
      <c r="B4515" s="3298"/>
      <c r="C4515" s="3298"/>
      <c r="D4515" s="3298"/>
      <c r="E4515" s="3298"/>
      <c r="F4515" s="3298"/>
      <c r="G4515" s="3298"/>
    </row>
    <row r="4516" spans="1:7" x14ac:dyDescent="0.3">
      <c r="A4516" s="11" t="s">
        <v>1009</v>
      </c>
      <c r="B4516" s="11" t="s">
        <v>6051</v>
      </c>
      <c r="C4516" s="2756">
        <v>3</v>
      </c>
      <c r="D4516" s="2756">
        <v>1390799.0681662699</v>
      </c>
      <c r="E4516" s="2757">
        <v>1218469.0271862301</v>
      </c>
      <c r="F4516" s="2758">
        <v>100</v>
      </c>
      <c r="G4516" s="2759">
        <v>0</v>
      </c>
    </row>
    <row r="4517" spans="1:7" x14ac:dyDescent="0.3">
      <c r="A4517" s="6" t="s">
        <v>960</v>
      </c>
      <c r="B4517" s="6" t="s">
        <v>961</v>
      </c>
      <c r="C4517" s="2752">
        <v>59864</v>
      </c>
      <c r="D4517" s="2752">
        <v>8018951503.1271</v>
      </c>
      <c r="E4517" s="2753">
        <v>108315442.594587</v>
      </c>
      <c r="F4517" s="2754">
        <v>99.965782557100695</v>
      </c>
      <c r="G4517" s="2755">
        <v>1.1126670723747E-2</v>
      </c>
    </row>
    <row r="4518" spans="1:7" x14ac:dyDescent="0.3">
      <c r="A4518" s="11" t="s">
        <v>974</v>
      </c>
      <c r="B4518" s="11" t="s">
        <v>975</v>
      </c>
      <c r="C4518" s="2756">
        <v>9</v>
      </c>
      <c r="D4518" s="2756">
        <v>2744819.35870256</v>
      </c>
      <c r="E4518" s="2757">
        <v>893204.72061744204</v>
      </c>
      <c r="F4518" s="2758">
        <v>3.4217442899309197E-2</v>
      </c>
      <c r="G4518" s="2759">
        <v>1.1126670723743201E-2</v>
      </c>
    </row>
    <row r="4519" spans="1:7" x14ac:dyDescent="0.3">
      <c r="A4519" s="6" t="s">
        <v>6269</v>
      </c>
      <c r="B4519" s="6" t="s">
        <v>6270</v>
      </c>
      <c r="C4519" s="2752">
        <v>3</v>
      </c>
      <c r="D4519" s="2752">
        <v>1390799.0681662699</v>
      </c>
      <c r="E4519" s="2753">
        <v>1218469.0271862301</v>
      </c>
      <c r="F4519" s="2754">
        <v>1.73349615565048E-2</v>
      </c>
      <c r="G4519" s="2755">
        <v>1.51191865839072E-2</v>
      </c>
    </row>
    <row r="4520" spans="1:7" x14ac:dyDescent="0.3">
      <c r="A4520" s="11" t="s">
        <v>6269</v>
      </c>
      <c r="B4520" s="11" t="s">
        <v>6271</v>
      </c>
      <c r="C4520" s="2756">
        <v>59876</v>
      </c>
      <c r="D4520" s="2756">
        <v>8023087121.5539703</v>
      </c>
      <c r="E4520" s="2757">
        <v>0</v>
      </c>
      <c r="F4520" s="2758">
        <v>100</v>
      </c>
      <c r="G4520" s="2759">
        <v>0</v>
      </c>
    </row>
    <row r="4521" spans="1:7" x14ac:dyDescent="0.3">
      <c r="A4521" s="3299" t="s">
        <v>632</v>
      </c>
      <c r="B4521" s="3298"/>
      <c r="C4521" s="3298"/>
      <c r="D4521" s="3298"/>
      <c r="E4521" s="3298"/>
      <c r="F4521" s="3298"/>
      <c r="G4521" s="3298"/>
    </row>
    <row r="4522" spans="1:7" x14ac:dyDescent="0.3">
      <c r="A4522" s="11" t="s">
        <v>1011</v>
      </c>
      <c r="B4522" s="11" t="s">
        <v>978</v>
      </c>
      <c r="C4522" s="2764">
        <v>1</v>
      </c>
      <c r="D4522" s="2764">
        <v>509163.43078777101</v>
      </c>
      <c r="E4522" s="2765">
        <v>511637.27587521297</v>
      </c>
      <c r="F4522" s="2766">
        <v>100</v>
      </c>
      <c r="G4522" s="2767" t="e">
        <v>#NUM!</v>
      </c>
    </row>
    <row r="4523" spans="1:7" x14ac:dyDescent="0.3">
      <c r="A4523" s="6" t="s">
        <v>960</v>
      </c>
      <c r="B4523" s="6" t="s">
        <v>961</v>
      </c>
      <c r="C4523" s="2760">
        <v>59866</v>
      </c>
      <c r="D4523" s="2760">
        <v>8019833138.7644796</v>
      </c>
      <c r="E4523" s="2761">
        <v>109092100.805457</v>
      </c>
      <c r="F4523" s="2762">
        <v>99.965786317402802</v>
      </c>
      <c r="G4523" s="2763">
        <v>1.1128503193270601E-2</v>
      </c>
    </row>
    <row r="4524" spans="1:7" x14ac:dyDescent="0.3">
      <c r="A4524" s="11" t="s">
        <v>974</v>
      </c>
      <c r="B4524" s="11" t="s">
        <v>975</v>
      </c>
      <c r="C4524" s="2764">
        <v>9</v>
      </c>
      <c r="D4524" s="2764">
        <v>2744819.35870256</v>
      </c>
      <c r="E4524" s="2765">
        <v>893204.72061744204</v>
      </c>
      <c r="F4524" s="2766">
        <v>3.42136825971672E-2</v>
      </c>
      <c r="G4524" s="2767">
        <v>1.11285031932719E-2</v>
      </c>
    </row>
    <row r="4525" spans="1:7" x14ac:dyDescent="0.3">
      <c r="A4525" s="6" t="s">
        <v>6269</v>
      </c>
      <c r="B4525" s="6" t="s">
        <v>6270</v>
      </c>
      <c r="C4525" s="2760">
        <v>1</v>
      </c>
      <c r="D4525" s="2760">
        <v>509163.43078777101</v>
      </c>
      <c r="E4525" s="2761">
        <v>511637.27587521297</v>
      </c>
      <c r="F4525" s="2762">
        <v>6.3462283666334196E-3</v>
      </c>
      <c r="G4525" s="2763">
        <v>6.3765542253613897E-3</v>
      </c>
    </row>
    <row r="4526" spans="1:7" x14ac:dyDescent="0.3">
      <c r="A4526" s="11" t="s">
        <v>6269</v>
      </c>
      <c r="B4526" s="11" t="s">
        <v>6271</v>
      </c>
      <c r="C4526" s="2764">
        <v>59876</v>
      </c>
      <c r="D4526" s="2764">
        <v>8023087121.5539703</v>
      </c>
      <c r="E4526" s="2765">
        <v>0</v>
      </c>
      <c r="F4526" s="2766">
        <v>100</v>
      </c>
      <c r="G4526" s="2767">
        <v>0</v>
      </c>
    </row>
    <row r="4527" spans="1:7" x14ac:dyDescent="0.3">
      <c r="A4527" s="3299" t="s">
        <v>634</v>
      </c>
      <c r="B4527" s="3298"/>
      <c r="C4527" s="3298"/>
      <c r="D4527" s="3298"/>
      <c r="E4527" s="3298"/>
      <c r="F4527" s="3298"/>
      <c r="G4527" s="3298"/>
    </row>
    <row r="4528" spans="1:7" x14ac:dyDescent="0.3">
      <c r="A4528" s="11" t="s">
        <v>1013</v>
      </c>
      <c r="B4528" s="11" t="s">
        <v>6052</v>
      </c>
      <c r="C4528" s="2772">
        <v>14</v>
      </c>
      <c r="D4528" s="2772">
        <v>1366447.3359769699</v>
      </c>
      <c r="E4528" s="2773">
        <v>696325.80994870397</v>
      </c>
      <c r="F4528" s="2774">
        <v>100</v>
      </c>
      <c r="G4528" s="2775">
        <v>0</v>
      </c>
    </row>
    <row r="4529" spans="1:7" x14ac:dyDescent="0.3">
      <c r="A4529" s="6" t="s">
        <v>960</v>
      </c>
      <c r="B4529" s="6" t="s">
        <v>961</v>
      </c>
      <c r="C4529" s="2768">
        <v>59853</v>
      </c>
      <c r="D4529" s="2768">
        <v>8018975854.8592901</v>
      </c>
      <c r="E4529" s="2769">
        <v>108974563.296427</v>
      </c>
      <c r="F4529" s="2770">
        <v>99.965782660975407</v>
      </c>
      <c r="G4529" s="2771">
        <v>1.1129913924114301E-2</v>
      </c>
    </row>
    <row r="4530" spans="1:7" x14ac:dyDescent="0.3">
      <c r="A4530" s="11" t="s">
        <v>974</v>
      </c>
      <c r="B4530" s="11" t="s">
        <v>975</v>
      </c>
      <c r="C4530" s="2772">
        <v>9</v>
      </c>
      <c r="D4530" s="2772">
        <v>2744819.35870256</v>
      </c>
      <c r="E4530" s="2773">
        <v>893204.72061744204</v>
      </c>
      <c r="F4530" s="2774">
        <v>3.4217339024587103E-2</v>
      </c>
      <c r="G4530" s="2775">
        <v>1.1129913924114099E-2</v>
      </c>
    </row>
    <row r="4531" spans="1:7" x14ac:dyDescent="0.3">
      <c r="A4531" s="6" t="s">
        <v>6269</v>
      </c>
      <c r="B4531" s="6" t="s">
        <v>6270</v>
      </c>
      <c r="C4531" s="2768">
        <v>14</v>
      </c>
      <c r="D4531" s="2768">
        <v>1366447.3359769699</v>
      </c>
      <c r="E4531" s="2769">
        <v>696325.80994870397</v>
      </c>
      <c r="F4531" s="2770">
        <v>1.7031440831622301E-2</v>
      </c>
      <c r="G4531" s="2771">
        <v>8.6304841010022594E-3</v>
      </c>
    </row>
    <row r="4532" spans="1:7" x14ac:dyDescent="0.3">
      <c r="A4532" s="11" t="s">
        <v>6269</v>
      </c>
      <c r="B4532" s="11" t="s">
        <v>6271</v>
      </c>
      <c r="C4532" s="2772">
        <v>59876</v>
      </c>
      <c r="D4532" s="2772">
        <v>8023087121.5539703</v>
      </c>
      <c r="E4532" s="2773">
        <v>0</v>
      </c>
      <c r="F4532" s="2774">
        <v>100</v>
      </c>
      <c r="G4532" s="2775">
        <v>0</v>
      </c>
    </row>
    <row r="4533" spans="1:7" x14ac:dyDescent="0.3">
      <c r="A4533" s="3299" t="s">
        <v>638</v>
      </c>
      <c r="B4533" s="3298"/>
      <c r="C4533" s="3298"/>
      <c r="D4533" s="3298"/>
      <c r="E4533" s="3298"/>
      <c r="F4533" s="3298"/>
      <c r="G4533" s="3298"/>
    </row>
    <row r="4534" spans="1:7" x14ac:dyDescent="0.3">
      <c r="A4534" s="11" t="s">
        <v>1155</v>
      </c>
      <c r="B4534" s="11" t="s">
        <v>6036</v>
      </c>
      <c r="C4534" s="2780">
        <v>2</v>
      </c>
      <c r="D4534" s="2780">
        <v>189388.021743291</v>
      </c>
      <c r="E4534" s="2781">
        <v>162458.53924157901</v>
      </c>
      <c r="F4534" s="2782">
        <v>100</v>
      </c>
      <c r="G4534" s="2783">
        <v>0</v>
      </c>
    </row>
    <row r="4535" spans="1:7" x14ac:dyDescent="0.3">
      <c r="A4535" s="6" t="s">
        <v>960</v>
      </c>
      <c r="B4535" s="6" t="s">
        <v>961</v>
      </c>
      <c r="C4535" s="2776">
        <v>59865</v>
      </c>
      <c r="D4535" s="2776">
        <v>8020152914.1735201</v>
      </c>
      <c r="E4535" s="2777">
        <v>109096831.716511</v>
      </c>
      <c r="F4535" s="2778">
        <v>99.965787681086496</v>
      </c>
      <c r="G4535" s="2779">
        <v>1.11274948961919E-2</v>
      </c>
    </row>
    <row r="4536" spans="1:7" x14ac:dyDescent="0.3">
      <c r="A4536" s="11" t="s">
        <v>974</v>
      </c>
      <c r="B4536" s="11" t="s">
        <v>975</v>
      </c>
      <c r="C4536" s="2780">
        <v>9</v>
      </c>
      <c r="D4536" s="2780">
        <v>2744819.35870256</v>
      </c>
      <c r="E4536" s="2781">
        <v>893204.72061744204</v>
      </c>
      <c r="F4536" s="2782">
        <v>3.4212318913531797E-2</v>
      </c>
      <c r="G4536" s="2783">
        <v>1.1127494896188E-2</v>
      </c>
    </row>
    <row r="4537" spans="1:7" x14ac:dyDescent="0.3">
      <c r="A4537" s="6" t="s">
        <v>6269</v>
      </c>
      <c r="B4537" s="6" t="s">
        <v>6270</v>
      </c>
      <c r="C4537" s="2776">
        <v>2</v>
      </c>
      <c r="D4537" s="2776">
        <v>189388.021743291</v>
      </c>
      <c r="E4537" s="2777">
        <v>162458.53924157901</v>
      </c>
      <c r="F4537" s="2778">
        <v>2.3605380182710701E-3</v>
      </c>
      <c r="G4537" s="2779">
        <v>2.0166380743489201E-3</v>
      </c>
    </row>
    <row r="4538" spans="1:7" x14ac:dyDescent="0.3">
      <c r="A4538" s="11" t="s">
        <v>6269</v>
      </c>
      <c r="B4538" s="11" t="s">
        <v>6271</v>
      </c>
      <c r="C4538" s="2780">
        <v>59876</v>
      </c>
      <c r="D4538" s="2780">
        <v>8023087121.5539703</v>
      </c>
      <c r="E4538" s="2781">
        <v>0</v>
      </c>
      <c r="F4538" s="2782">
        <v>100</v>
      </c>
      <c r="G4538" s="2783">
        <v>0</v>
      </c>
    </row>
    <row r="4539" spans="1:7" x14ac:dyDescent="0.3">
      <c r="A4539" s="3299" t="s">
        <v>656</v>
      </c>
      <c r="B4539" s="3298"/>
      <c r="C4539" s="3298"/>
      <c r="D4539" s="3298"/>
      <c r="E4539" s="3298"/>
      <c r="F4539" s="3298"/>
      <c r="G4539" s="3298"/>
    </row>
    <row r="4540" spans="1:7" x14ac:dyDescent="0.3">
      <c r="A4540" s="11" t="s">
        <v>983</v>
      </c>
      <c r="B4540" s="11" t="s">
        <v>6053</v>
      </c>
      <c r="C4540" s="2788">
        <v>47</v>
      </c>
      <c r="D4540" s="2788">
        <v>9272716.6190637592</v>
      </c>
      <c r="E4540" s="2789">
        <v>3039837.3721004999</v>
      </c>
      <c r="F4540" s="2790">
        <v>100</v>
      </c>
      <c r="G4540" s="2791">
        <v>0</v>
      </c>
    </row>
    <row r="4541" spans="1:7" x14ac:dyDescent="0.3">
      <c r="A4541" s="6" t="s">
        <v>960</v>
      </c>
      <c r="B4541" s="6" t="s">
        <v>961</v>
      </c>
      <c r="C4541" s="2784">
        <v>59820</v>
      </c>
      <c r="D4541" s="2784">
        <v>8011069585.57621</v>
      </c>
      <c r="E4541" s="2785">
        <v>107704412.196146</v>
      </c>
      <c r="F4541" s="2786">
        <v>99.965748902831905</v>
      </c>
      <c r="G4541" s="2787">
        <v>1.1136903724455E-2</v>
      </c>
    </row>
    <row r="4542" spans="1:7" x14ac:dyDescent="0.3">
      <c r="A4542" s="11" t="s">
        <v>974</v>
      </c>
      <c r="B4542" s="11" t="s">
        <v>975</v>
      </c>
      <c r="C4542" s="2788">
        <v>9</v>
      </c>
      <c r="D4542" s="2788">
        <v>2744819.35870256</v>
      </c>
      <c r="E4542" s="2789">
        <v>893204.72061744204</v>
      </c>
      <c r="F4542" s="2790">
        <v>3.4251097168064001E-2</v>
      </c>
      <c r="G4542" s="2791">
        <v>1.1136903724454699E-2</v>
      </c>
    </row>
    <row r="4543" spans="1:7" x14ac:dyDescent="0.3">
      <c r="A4543" s="6" t="s">
        <v>6269</v>
      </c>
      <c r="B4543" s="6" t="s">
        <v>6270</v>
      </c>
      <c r="C4543" s="2784">
        <v>47</v>
      </c>
      <c r="D4543" s="2784">
        <v>9272716.6190637592</v>
      </c>
      <c r="E4543" s="2785">
        <v>3039837.3721004999</v>
      </c>
      <c r="F4543" s="2786">
        <v>0.11557541976769301</v>
      </c>
      <c r="G4543" s="2787">
        <v>3.7144629239829502E-2</v>
      </c>
    </row>
    <row r="4544" spans="1:7" x14ac:dyDescent="0.3">
      <c r="A4544" s="11" t="s">
        <v>6269</v>
      </c>
      <c r="B4544" s="11" t="s">
        <v>6271</v>
      </c>
      <c r="C4544" s="2788">
        <v>59876</v>
      </c>
      <c r="D4544" s="2788">
        <v>8023087121.5539799</v>
      </c>
      <c r="E4544" s="2789">
        <v>0</v>
      </c>
      <c r="F4544" s="2790">
        <v>100</v>
      </c>
      <c r="G4544" s="2791">
        <v>0</v>
      </c>
    </row>
    <row r="4545" spans="1:7" x14ac:dyDescent="0.3">
      <c r="A4545" s="3299" t="s">
        <v>654</v>
      </c>
      <c r="B4545" s="3298"/>
      <c r="C4545" s="3298"/>
      <c r="D4545" s="3298"/>
      <c r="E4545" s="3298"/>
      <c r="F4545" s="3298"/>
      <c r="G4545" s="3298"/>
    </row>
    <row r="4546" spans="1:7" x14ac:dyDescent="0.3">
      <c r="A4546" s="11" t="s">
        <v>960</v>
      </c>
      <c r="B4546" s="11" t="s">
        <v>961</v>
      </c>
      <c r="C4546" s="2796">
        <v>59867</v>
      </c>
      <c r="D4546" s="2796">
        <v>8020342302.1952696</v>
      </c>
      <c r="E4546" s="2797">
        <v>109163900.070805</v>
      </c>
      <c r="F4546" s="2798">
        <v>99.965788488681298</v>
      </c>
      <c r="G4546" s="2799">
        <v>1.11273401568212E-2</v>
      </c>
    </row>
    <row r="4547" spans="1:7" x14ac:dyDescent="0.3">
      <c r="A4547" s="6" t="s">
        <v>974</v>
      </c>
      <c r="B4547" s="6" t="s">
        <v>975</v>
      </c>
      <c r="C4547" s="2792">
        <v>9</v>
      </c>
      <c r="D4547" s="2792">
        <v>2744819.35870256</v>
      </c>
      <c r="E4547" s="2793">
        <v>893204.72061744204</v>
      </c>
      <c r="F4547" s="2794">
        <v>3.4211511318737002E-2</v>
      </c>
      <c r="G4547" s="2795">
        <v>1.11273401568167E-2</v>
      </c>
    </row>
    <row r="4548" spans="1:7" x14ac:dyDescent="0.3">
      <c r="A4548" s="11" t="s">
        <v>6269</v>
      </c>
      <c r="B4548" s="11" t="s">
        <v>6270</v>
      </c>
      <c r="C4548" s="2796">
        <v>0</v>
      </c>
      <c r="D4548" s="2796">
        <v>0</v>
      </c>
      <c r="E4548" s="2797">
        <v>0</v>
      </c>
      <c r="F4548" s="2798">
        <v>0</v>
      </c>
      <c r="G4548" s="2799">
        <v>0</v>
      </c>
    </row>
    <row r="4549" spans="1:7" x14ac:dyDescent="0.3">
      <c r="A4549" s="6" t="s">
        <v>6269</v>
      </c>
      <c r="B4549" s="6" t="s">
        <v>6271</v>
      </c>
      <c r="C4549" s="2792">
        <v>59876</v>
      </c>
      <c r="D4549" s="2792">
        <v>8023087121.5539703</v>
      </c>
      <c r="E4549" s="2793">
        <v>0</v>
      </c>
      <c r="F4549" s="2794">
        <v>100</v>
      </c>
      <c r="G4549" s="2795">
        <v>0</v>
      </c>
    </row>
    <row r="4550" spans="1:7" x14ac:dyDescent="0.3">
      <c r="A4550" s="3299" t="s">
        <v>658</v>
      </c>
      <c r="B4550" s="3298"/>
      <c r="C4550" s="3298"/>
      <c r="D4550" s="3298"/>
      <c r="E4550" s="3298"/>
      <c r="F4550" s="3298"/>
      <c r="G4550" s="3298"/>
    </row>
    <row r="4551" spans="1:7" x14ac:dyDescent="0.3">
      <c r="A4551" s="11" t="s">
        <v>960</v>
      </c>
      <c r="B4551" s="11" t="s">
        <v>961</v>
      </c>
      <c r="C4551" s="2804">
        <v>59867</v>
      </c>
      <c r="D4551" s="2804">
        <v>8020342302.1952696</v>
      </c>
      <c r="E4551" s="2805">
        <v>109163900.070805</v>
      </c>
      <c r="F4551" s="2806">
        <v>99.965788488681298</v>
      </c>
      <c r="G4551" s="2807">
        <v>1.11273401568212E-2</v>
      </c>
    </row>
    <row r="4552" spans="1:7" x14ac:dyDescent="0.3">
      <c r="A4552" s="6" t="s">
        <v>974</v>
      </c>
      <c r="B4552" s="6" t="s">
        <v>975</v>
      </c>
      <c r="C4552" s="2800">
        <v>9</v>
      </c>
      <c r="D4552" s="2800">
        <v>2744819.35870256</v>
      </c>
      <c r="E4552" s="2801">
        <v>893204.72061744204</v>
      </c>
      <c r="F4552" s="2802">
        <v>3.4211511318737002E-2</v>
      </c>
      <c r="G4552" s="2803">
        <v>1.11273401568167E-2</v>
      </c>
    </row>
    <row r="4553" spans="1:7" x14ac:dyDescent="0.3">
      <c r="A4553" s="11" t="s">
        <v>6269</v>
      </c>
      <c r="B4553" s="11" t="s">
        <v>6270</v>
      </c>
      <c r="C4553" s="2804">
        <v>0</v>
      </c>
      <c r="D4553" s="2804">
        <v>0</v>
      </c>
      <c r="E4553" s="2805">
        <v>0</v>
      </c>
      <c r="F4553" s="2806">
        <v>0</v>
      </c>
      <c r="G4553" s="2807">
        <v>0</v>
      </c>
    </row>
    <row r="4554" spans="1:7" x14ac:dyDescent="0.3">
      <c r="A4554" s="6" t="s">
        <v>6269</v>
      </c>
      <c r="B4554" s="6" t="s">
        <v>6271</v>
      </c>
      <c r="C4554" s="2800">
        <v>59876</v>
      </c>
      <c r="D4554" s="2800">
        <v>8023087121.5539703</v>
      </c>
      <c r="E4554" s="2801">
        <v>0</v>
      </c>
      <c r="F4554" s="2802">
        <v>100</v>
      </c>
      <c r="G4554" s="2803">
        <v>0</v>
      </c>
    </row>
    <row r="4555" spans="1:7" x14ac:dyDescent="0.3">
      <c r="A4555" s="3299" t="s">
        <v>278</v>
      </c>
      <c r="B4555" s="3298"/>
      <c r="C4555" s="3298"/>
      <c r="D4555" s="3298"/>
      <c r="E4555" s="3298"/>
      <c r="F4555" s="3298"/>
      <c r="G4555" s="3298"/>
    </row>
    <row r="4556" spans="1:7" x14ac:dyDescent="0.3">
      <c r="A4556" s="11" t="s">
        <v>6717</v>
      </c>
      <c r="B4556" s="11"/>
      <c r="C4556" s="2812">
        <v>38</v>
      </c>
      <c r="D4556" s="2812">
        <v>6465634.5617825901</v>
      </c>
      <c r="E4556" s="2813">
        <v>2793019.55838037</v>
      </c>
      <c r="F4556" s="2814">
        <v>69.727511660282005</v>
      </c>
      <c r="G4556" s="2815">
        <v>18.693846167387999</v>
      </c>
    </row>
    <row r="4557" spans="1:7" x14ac:dyDescent="0.3">
      <c r="A4557" s="6" t="s">
        <v>6718</v>
      </c>
      <c r="B4557" s="6"/>
      <c r="C4557" s="2808">
        <v>4</v>
      </c>
      <c r="D4557" s="2808">
        <v>1632507.3548272999</v>
      </c>
      <c r="E4557" s="2809">
        <v>1400209.1625798501</v>
      </c>
      <c r="F4557" s="2810">
        <v>17.6054917010085</v>
      </c>
      <c r="G4557" s="2811">
        <v>16.4958330857988</v>
      </c>
    </row>
    <row r="4558" spans="1:7" x14ac:dyDescent="0.3">
      <c r="A4558" s="11" t="s">
        <v>6578</v>
      </c>
      <c r="B4558" s="11"/>
      <c r="C4558" s="2812">
        <v>2</v>
      </c>
      <c r="D4558" s="2812">
        <v>611972.58238979103</v>
      </c>
      <c r="E4558" s="2813">
        <v>611128.28469777305</v>
      </c>
      <c r="F4558" s="2814">
        <v>6.5997119024605801</v>
      </c>
      <c r="G4558" s="2815">
        <v>7.2528951295070003</v>
      </c>
    </row>
    <row r="4559" spans="1:7" x14ac:dyDescent="0.3">
      <c r="A4559" s="6" t="s">
        <v>6719</v>
      </c>
      <c r="B4559" s="6"/>
      <c r="C4559" s="2808">
        <v>3</v>
      </c>
      <c r="D4559" s="2808">
        <v>562602.12006407103</v>
      </c>
      <c r="E4559" s="2809">
        <v>345266.49528844497</v>
      </c>
      <c r="F4559" s="2810">
        <v>6.0672847362489097</v>
      </c>
      <c r="G4559" s="2811">
        <v>2.5664841578865798</v>
      </c>
    </row>
    <row r="4560" spans="1:7" x14ac:dyDescent="0.3">
      <c r="A4560" s="11" t="s">
        <v>960</v>
      </c>
      <c r="B4560" s="11" t="s">
        <v>961</v>
      </c>
      <c r="C4560" s="2812">
        <v>59829</v>
      </c>
      <c r="D4560" s="2812">
        <v>8013814404.9349098</v>
      </c>
      <c r="E4560" s="2813">
        <v>107732312.992948</v>
      </c>
      <c r="F4560" s="2814">
        <v>100</v>
      </c>
      <c r="G4560" s="2815">
        <v>0</v>
      </c>
    </row>
    <row r="4561" spans="1:7" x14ac:dyDescent="0.3">
      <c r="A4561" s="6" t="s">
        <v>6269</v>
      </c>
      <c r="B4561" s="6" t="s">
        <v>6270</v>
      </c>
      <c r="C4561" s="2808">
        <v>47</v>
      </c>
      <c r="D4561" s="2808">
        <v>9272716.6190637592</v>
      </c>
      <c r="E4561" s="2809">
        <v>3039837.3721005102</v>
      </c>
      <c r="F4561" s="2810">
        <v>0.11557541976769301</v>
      </c>
      <c r="G4561" s="2811">
        <v>3.7144629239829502E-2</v>
      </c>
    </row>
    <row r="4562" spans="1:7" x14ac:dyDescent="0.3">
      <c r="A4562" s="11" t="s">
        <v>6269</v>
      </c>
      <c r="B4562" s="11" t="s">
        <v>6271</v>
      </c>
      <c r="C4562" s="2812">
        <v>59876</v>
      </c>
      <c r="D4562" s="2812">
        <v>8023087121.5539799</v>
      </c>
      <c r="E4562" s="2813">
        <v>0</v>
      </c>
      <c r="F4562" s="2814">
        <v>100</v>
      </c>
      <c r="G4562" s="2815">
        <v>0</v>
      </c>
    </row>
    <row r="4563" spans="1:7" x14ac:dyDescent="0.3">
      <c r="A4563" s="3299" t="s">
        <v>693</v>
      </c>
      <c r="B4563" s="3298"/>
      <c r="C4563" s="3298"/>
      <c r="D4563" s="3298"/>
      <c r="E4563" s="3298"/>
      <c r="F4563" s="3298"/>
      <c r="G4563" s="3298"/>
    </row>
    <row r="4564" spans="1:7" x14ac:dyDescent="0.3">
      <c r="A4564" s="11" t="s">
        <v>962</v>
      </c>
      <c r="B4564" s="11" t="s">
        <v>827</v>
      </c>
      <c r="C4564" s="2820">
        <v>451</v>
      </c>
      <c r="D4564" s="2820">
        <v>103269604.364519</v>
      </c>
      <c r="E4564" s="2821">
        <v>11258659.499709999</v>
      </c>
      <c r="F4564" s="2822">
        <v>100</v>
      </c>
      <c r="G4564" s="2823">
        <v>0</v>
      </c>
    </row>
    <row r="4565" spans="1:7" x14ac:dyDescent="0.3">
      <c r="A4565" s="6" t="s">
        <v>960</v>
      </c>
      <c r="B4565" s="6" t="s">
        <v>961</v>
      </c>
      <c r="C4565" s="2816">
        <v>59416</v>
      </c>
      <c r="D4565" s="2816">
        <v>7917072697.8307695</v>
      </c>
      <c r="E4565" s="2817">
        <v>108447620.957808</v>
      </c>
      <c r="F4565" s="2818">
        <v>99.965342391377803</v>
      </c>
      <c r="G4565" s="2819">
        <v>1.1291790221294401E-2</v>
      </c>
    </row>
    <row r="4566" spans="1:7" x14ac:dyDescent="0.3">
      <c r="A4566" s="11" t="s">
        <v>974</v>
      </c>
      <c r="B4566" s="11" t="s">
        <v>975</v>
      </c>
      <c r="C4566" s="2820">
        <v>9</v>
      </c>
      <c r="D4566" s="2820">
        <v>2744819.35870256</v>
      </c>
      <c r="E4566" s="2821">
        <v>893204.72061744204</v>
      </c>
      <c r="F4566" s="2822">
        <v>3.4657608622232799E-2</v>
      </c>
      <c r="G4566" s="2823">
        <v>1.12917902212928E-2</v>
      </c>
    </row>
    <row r="4567" spans="1:7" x14ac:dyDescent="0.3">
      <c r="A4567" s="6" t="s">
        <v>6269</v>
      </c>
      <c r="B4567" s="6" t="s">
        <v>6270</v>
      </c>
      <c r="C4567" s="2816">
        <v>451</v>
      </c>
      <c r="D4567" s="2816">
        <v>103269604.364519</v>
      </c>
      <c r="E4567" s="2817">
        <v>11258659.499709999</v>
      </c>
      <c r="F4567" s="2818">
        <v>1.28715546522094</v>
      </c>
      <c r="G4567" s="2819">
        <v>0.13879332053444701</v>
      </c>
    </row>
    <row r="4568" spans="1:7" x14ac:dyDescent="0.3">
      <c r="A4568" s="11" t="s">
        <v>6269</v>
      </c>
      <c r="B4568" s="11" t="s">
        <v>6271</v>
      </c>
      <c r="C4568" s="2820">
        <v>59876</v>
      </c>
      <c r="D4568" s="2820">
        <v>8023087121.5539904</v>
      </c>
      <c r="E4568" s="2821">
        <v>0</v>
      </c>
      <c r="F4568" s="2822">
        <v>100</v>
      </c>
      <c r="G4568" s="2823">
        <v>0</v>
      </c>
    </row>
    <row r="4569" spans="1:7" x14ac:dyDescent="0.3">
      <c r="A4569" s="3299" t="s">
        <v>716</v>
      </c>
      <c r="B4569" s="3298"/>
      <c r="C4569" s="3298"/>
      <c r="D4569" s="3298"/>
      <c r="E4569" s="3298"/>
      <c r="F4569" s="3298"/>
      <c r="G4569" s="3298"/>
    </row>
    <row r="4570" spans="1:7" x14ac:dyDescent="0.3">
      <c r="A4570" s="11" t="s">
        <v>964</v>
      </c>
      <c r="B4570" s="11" t="s">
        <v>6041</v>
      </c>
      <c r="C4570" s="2828">
        <v>14</v>
      </c>
      <c r="D4570" s="2828">
        <v>1862867.3586890399</v>
      </c>
      <c r="E4570" s="2829">
        <v>671656.13622675894</v>
      </c>
      <c r="F4570" s="2830">
        <v>100</v>
      </c>
      <c r="G4570" s="2831">
        <v>0</v>
      </c>
    </row>
    <row r="4571" spans="1:7" x14ac:dyDescent="0.3">
      <c r="A4571" s="6" t="s">
        <v>960</v>
      </c>
      <c r="B4571" s="6" t="s">
        <v>961</v>
      </c>
      <c r="C4571" s="2824">
        <v>59853</v>
      </c>
      <c r="D4571" s="2824">
        <v>8018479434.8365803</v>
      </c>
      <c r="E4571" s="2825">
        <v>109650002.791338</v>
      </c>
      <c r="F4571" s="2826">
        <v>99.965780543322097</v>
      </c>
      <c r="G4571" s="2827">
        <v>1.11294698964562E-2</v>
      </c>
    </row>
    <row r="4572" spans="1:7" x14ac:dyDescent="0.3">
      <c r="A4572" s="11" t="s">
        <v>974</v>
      </c>
      <c r="B4572" s="11" t="s">
        <v>975</v>
      </c>
      <c r="C4572" s="2828">
        <v>9</v>
      </c>
      <c r="D4572" s="2828">
        <v>2744819.35870256</v>
      </c>
      <c r="E4572" s="2829">
        <v>893204.72061744204</v>
      </c>
      <c r="F4572" s="2830">
        <v>3.4219456677912499E-2</v>
      </c>
      <c r="G4572" s="2831">
        <v>1.11294698964569E-2</v>
      </c>
    </row>
    <row r="4573" spans="1:7" x14ac:dyDescent="0.3">
      <c r="A4573" s="6" t="s">
        <v>6269</v>
      </c>
      <c r="B4573" s="6" t="s">
        <v>6270</v>
      </c>
      <c r="C4573" s="2824">
        <v>14</v>
      </c>
      <c r="D4573" s="2824">
        <v>1862867.3586890399</v>
      </c>
      <c r="E4573" s="2825">
        <v>671656.13622675894</v>
      </c>
      <c r="F4573" s="2826">
        <v>2.3218834975435601E-2</v>
      </c>
      <c r="G4573" s="2827">
        <v>8.6028378998992908E-3</v>
      </c>
    </row>
    <row r="4574" spans="1:7" x14ac:dyDescent="0.3">
      <c r="A4574" s="11" t="s">
        <v>6269</v>
      </c>
      <c r="B4574" s="11" t="s">
        <v>6271</v>
      </c>
      <c r="C4574" s="2828">
        <v>59876</v>
      </c>
      <c r="D4574" s="2828">
        <v>8023087121.5539703</v>
      </c>
      <c r="E4574" s="2829">
        <v>0</v>
      </c>
      <c r="F4574" s="2830">
        <v>100</v>
      </c>
      <c r="G4574" s="2831">
        <v>0</v>
      </c>
    </row>
    <row r="4575" spans="1:7" x14ac:dyDescent="0.3">
      <c r="A4575" s="3299" t="s">
        <v>720</v>
      </c>
      <c r="B4575" s="3298"/>
      <c r="C4575" s="3298"/>
      <c r="D4575" s="3298"/>
      <c r="E4575" s="3298"/>
      <c r="F4575" s="3298"/>
      <c r="G4575" s="3298"/>
    </row>
    <row r="4576" spans="1:7" x14ac:dyDescent="0.3">
      <c r="A4576" s="11" t="s">
        <v>966</v>
      </c>
      <c r="B4576" s="11" t="s">
        <v>6069</v>
      </c>
      <c r="C4576" s="2836">
        <v>23</v>
      </c>
      <c r="D4576" s="2836">
        <v>4018743.1649279501</v>
      </c>
      <c r="E4576" s="2837">
        <v>1005761.23448173</v>
      </c>
      <c r="F4576" s="2838">
        <v>100</v>
      </c>
      <c r="G4576" s="2839">
        <v>0</v>
      </c>
    </row>
    <row r="4577" spans="1:7" x14ac:dyDescent="0.3">
      <c r="A4577" s="6" t="s">
        <v>960</v>
      </c>
      <c r="B4577" s="6" t="s">
        <v>961</v>
      </c>
      <c r="C4577" s="2832">
        <v>59844</v>
      </c>
      <c r="D4577" s="2832">
        <v>8016323559.0303402</v>
      </c>
      <c r="E4577" s="2833">
        <v>109607214.53551801</v>
      </c>
      <c r="F4577" s="2834">
        <v>99.965771343637599</v>
      </c>
      <c r="G4577" s="2835">
        <v>1.11339976644464E-2</v>
      </c>
    </row>
    <row r="4578" spans="1:7" x14ac:dyDescent="0.3">
      <c r="A4578" s="11" t="s">
        <v>974</v>
      </c>
      <c r="B4578" s="11" t="s">
        <v>975</v>
      </c>
      <c r="C4578" s="2836">
        <v>9</v>
      </c>
      <c r="D4578" s="2836">
        <v>2744819.35870256</v>
      </c>
      <c r="E4578" s="2837">
        <v>893204.72061744204</v>
      </c>
      <c r="F4578" s="2838">
        <v>3.4228656362373801E-2</v>
      </c>
      <c r="G4578" s="2839">
        <v>1.11339976644398E-2</v>
      </c>
    </row>
    <row r="4579" spans="1:7" x14ac:dyDescent="0.3">
      <c r="A4579" s="6" t="s">
        <v>6269</v>
      </c>
      <c r="B4579" s="6" t="s">
        <v>6270</v>
      </c>
      <c r="C4579" s="2832">
        <v>23</v>
      </c>
      <c r="D4579" s="2832">
        <v>4018743.1649279501</v>
      </c>
      <c r="E4579" s="2833">
        <v>1005761.23448173</v>
      </c>
      <c r="F4579" s="2834">
        <v>5.0089736083403898E-2</v>
      </c>
      <c r="G4579" s="2835">
        <v>1.2891741660482301E-2</v>
      </c>
    </row>
    <row r="4580" spans="1:7" x14ac:dyDescent="0.3">
      <c r="A4580" s="11" t="s">
        <v>6269</v>
      </c>
      <c r="B4580" s="11" t="s">
        <v>6271</v>
      </c>
      <c r="C4580" s="2836">
        <v>59876</v>
      </c>
      <c r="D4580" s="2836">
        <v>8023087121.5539703</v>
      </c>
      <c r="E4580" s="2837">
        <v>0</v>
      </c>
      <c r="F4580" s="2838">
        <v>100</v>
      </c>
      <c r="G4580" s="2839">
        <v>0</v>
      </c>
    </row>
    <row r="4581" spans="1:7" x14ac:dyDescent="0.3">
      <c r="A4581" s="3299" t="s">
        <v>722</v>
      </c>
      <c r="B4581" s="3298"/>
      <c r="C4581" s="3298"/>
      <c r="D4581" s="3298"/>
      <c r="E4581" s="3298"/>
      <c r="F4581" s="3298"/>
      <c r="G4581" s="3298"/>
    </row>
    <row r="4582" spans="1:7" x14ac:dyDescent="0.3">
      <c r="A4582" s="11" t="s">
        <v>968</v>
      </c>
      <c r="B4582" s="11" t="s">
        <v>6021</v>
      </c>
      <c r="C4582" s="2844">
        <v>4</v>
      </c>
      <c r="D4582" s="2844">
        <v>448311.81736527802</v>
      </c>
      <c r="E4582" s="2845">
        <v>325748.703670697</v>
      </c>
      <c r="F4582" s="2846">
        <v>100</v>
      </c>
      <c r="G4582" s="2847">
        <v>0</v>
      </c>
    </row>
    <row r="4583" spans="1:7" x14ac:dyDescent="0.3">
      <c r="A4583" s="6" t="s">
        <v>960</v>
      </c>
      <c r="B4583" s="6" t="s">
        <v>961</v>
      </c>
      <c r="C4583" s="2840">
        <v>59863</v>
      </c>
      <c r="D4583" s="2840">
        <v>8019893990.3779001</v>
      </c>
      <c r="E4583" s="2841">
        <v>108981599.72848301</v>
      </c>
      <c r="F4583" s="2842">
        <v>99.965786576913203</v>
      </c>
      <c r="G4583" s="2843">
        <v>1.1127562313126499E-2</v>
      </c>
    </row>
    <row r="4584" spans="1:7" x14ac:dyDescent="0.3">
      <c r="A4584" s="11" t="s">
        <v>974</v>
      </c>
      <c r="B4584" s="11" t="s">
        <v>975</v>
      </c>
      <c r="C4584" s="2844">
        <v>9</v>
      </c>
      <c r="D4584" s="2844">
        <v>2744819.35870256</v>
      </c>
      <c r="E4584" s="2845">
        <v>893204.72061744204</v>
      </c>
      <c r="F4584" s="2846">
        <v>3.4213423086819503E-2</v>
      </c>
      <c r="G4584" s="2847">
        <v>1.1127562313125399E-2</v>
      </c>
    </row>
    <row r="4585" spans="1:7" x14ac:dyDescent="0.3">
      <c r="A4585" s="6" t="s">
        <v>6269</v>
      </c>
      <c r="B4585" s="6" t="s">
        <v>6270</v>
      </c>
      <c r="C4585" s="2840">
        <v>4</v>
      </c>
      <c r="D4585" s="2840">
        <v>448311.81736527802</v>
      </c>
      <c r="E4585" s="2841">
        <v>325748.703670697</v>
      </c>
      <c r="F4585" s="2842">
        <v>5.5877720205840904E-3</v>
      </c>
      <c r="G4585" s="2843">
        <v>4.0398054638884403E-3</v>
      </c>
    </row>
    <row r="4586" spans="1:7" x14ac:dyDescent="0.3">
      <c r="A4586" s="11" t="s">
        <v>6269</v>
      </c>
      <c r="B4586" s="11" t="s">
        <v>6271</v>
      </c>
      <c r="C4586" s="2844">
        <v>59876</v>
      </c>
      <c r="D4586" s="2844">
        <v>8023087121.5539703</v>
      </c>
      <c r="E4586" s="2845">
        <v>0</v>
      </c>
      <c r="F4586" s="2846">
        <v>100</v>
      </c>
      <c r="G4586" s="2847">
        <v>0</v>
      </c>
    </row>
    <row r="4587" spans="1:7" x14ac:dyDescent="0.3">
      <c r="A4587" s="3299" t="s">
        <v>724</v>
      </c>
      <c r="B4587" s="3298"/>
      <c r="C4587" s="3298"/>
      <c r="D4587" s="3298"/>
      <c r="E4587" s="3298"/>
      <c r="F4587" s="3298"/>
      <c r="G4587" s="3298"/>
    </row>
    <row r="4588" spans="1:7" x14ac:dyDescent="0.3">
      <c r="A4588" s="11" t="s">
        <v>970</v>
      </c>
      <c r="B4588" s="11" t="s">
        <v>6042</v>
      </c>
      <c r="C4588" s="2852">
        <v>7</v>
      </c>
      <c r="D4588" s="2852">
        <v>2354829.6631228901</v>
      </c>
      <c r="E4588" s="2853">
        <v>1578224.7414704999</v>
      </c>
      <c r="F4588" s="2854">
        <v>100</v>
      </c>
      <c r="G4588" s="2855">
        <v>0</v>
      </c>
    </row>
    <row r="4589" spans="1:7" x14ac:dyDescent="0.3">
      <c r="A4589" s="6" t="s">
        <v>960</v>
      </c>
      <c r="B4589" s="6" t="s">
        <v>961</v>
      </c>
      <c r="C4589" s="2848">
        <v>59860</v>
      </c>
      <c r="D4589" s="2848">
        <v>8017987472.5321503</v>
      </c>
      <c r="E4589" s="2849">
        <v>109585366.308386</v>
      </c>
      <c r="F4589" s="2850">
        <v>99.965778444426107</v>
      </c>
      <c r="G4589" s="2851">
        <v>1.1127463345169701E-2</v>
      </c>
    </row>
    <row r="4590" spans="1:7" x14ac:dyDescent="0.3">
      <c r="A4590" s="11" t="s">
        <v>974</v>
      </c>
      <c r="B4590" s="11" t="s">
        <v>975</v>
      </c>
      <c r="C4590" s="2852">
        <v>9</v>
      </c>
      <c r="D4590" s="2852">
        <v>2744819.35870256</v>
      </c>
      <c r="E4590" s="2853">
        <v>893204.72061744204</v>
      </c>
      <c r="F4590" s="2854">
        <v>3.42215555738924E-2</v>
      </c>
      <c r="G4590" s="2855">
        <v>1.1127463345173E-2</v>
      </c>
    </row>
    <row r="4591" spans="1:7" x14ac:dyDescent="0.3">
      <c r="A4591" s="6" t="s">
        <v>6269</v>
      </c>
      <c r="B4591" s="6" t="s">
        <v>6270</v>
      </c>
      <c r="C4591" s="2848">
        <v>7</v>
      </c>
      <c r="D4591" s="2848">
        <v>2354829.6631228901</v>
      </c>
      <c r="E4591" s="2849">
        <v>1578224.7414704999</v>
      </c>
      <c r="F4591" s="2850">
        <v>2.93506679841062E-2</v>
      </c>
      <c r="G4591" s="2851">
        <v>1.9693509377115101E-2</v>
      </c>
    </row>
    <row r="4592" spans="1:7" x14ac:dyDescent="0.3">
      <c r="A4592" s="11" t="s">
        <v>6269</v>
      </c>
      <c r="B4592" s="11" t="s">
        <v>6271</v>
      </c>
      <c r="C4592" s="2852">
        <v>59876</v>
      </c>
      <c r="D4592" s="2852">
        <v>8023087121.5539703</v>
      </c>
      <c r="E4592" s="2853">
        <v>0</v>
      </c>
      <c r="F4592" s="2854">
        <v>100</v>
      </c>
      <c r="G4592" s="2855">
        <v>0</v>
      </c>
    </row>
    <row r="4593" spans="1:7" x14ac:dyDescent="0.3">
      <c r="A4593" s="3299" t="s">
        <v>726</v>
      </c>
      <c r="B4593" s="3298"/>
      <c r="C4593" s="3298"/>
      <c r="D4593" s="3298"/>
      <c r="E4593" s="3298"/>
      <c r="F4593" s="3298"/>
      <c r="G4593" s="3298"/>
    </row>
    <row r="4594" spans="1:7" x14ac:dyDescent="0.3">
      <c r="A4594" s="11" t="s">
        <v>960</v>
      </c>
      <c r="B4594" s="11" t="s">
        <v>961</v>
      </c>
      <c r="C4594" s="2860">
        <v>59867</v>
      </c>
      <c r="D4594" s="2860">
        <v>8020342302.1952696</v>
      </c>
      <c r="E4594" s="2861">
        <v>109163900.070805</v>
      </c>
      <c r="F4594" s="2862">
        <v>99.965788488681298</v>
      </c>
      <c r="G4594" s="2863">
        <v>1.11273401568212E-2</v>
      </c>
    </row>
    <row r="4595" spans="1:7" x14ac:dyDescent="0.3">
      <c r="A4595" s="6" t="s">
        <v>974</v>
      </c>
      <c r="B4595" s="6" t="s">
        <v>975</v>
      </c>
      <c r="C4595" s="2856">
        <v>9</v>
      </c>
      <c r="D4595" s="2856">
        <v>2744819.35870256</v>
      </c>
      <c r="E4595" s="2857">
        <v>893204.72061744204</v>
      </c>
      <c r="F4595" s="2858">
        <v>3.4211511318737002E-2</v>
      </c>
      <c r="G4595" s="2859">
        <v>1.11273401568167E-2</v>
      </c>
    </row>
    <row r="4596" spans="1:7" x14ac:dyDescent="0.3">
      <c r="A4596" s="11" t="s">
        <v>6269</v>
      </c>
      <c r="B4596" s="11" t="s">
        <v>6270</v>
      </c>
      <c r="C4596" s="2860">
        <v>0</v>
      </c>
      <c r="D4596" s="2860">
        <v>0</v>
      </c>
      <c r="E4596" s="2861">
        <v>0</v>
      </c>
      <c r="F4596" s="2862">
        <v>0</v>
      </c>
      <c r="G4596" s="2863">
        <v>0</v>
      </c>
    </row>
    <row r="4597" spans="1:7" x14ac:dyDescent="0.3">
      <c r="A4597" s="6" t="s">
        <v>6269</v>
      </c>
      <c r="B4597" s="6" t="s">
        <v>6271</v>
      </c>
      <c r="C4597" s="2856">
        <v>59876</v>
      </c>
      <c r="D4597" s="2856">
        <v>8023087121.5539703</v>
      </c>
      <c r="E4597" s="2857">
        <v>0</v>
      </c>
      <c r="F4597" s="2858">
        <v>100</v>
      </c>
      <c r="G4597" s="2859">
        <v>0</v>
      </c>
    </row>
    <row r="4598" spans="1:7" x14ac:dyDescent="0.3">
      <c r="A4598" s="3299" t="s">
        <v>728</v>
      </c>
      <c r="B4598" s="3298"/>
      <c r="C4598" s="3298"/>
      <c r="D4598" s="3298"/>
      <c r="E4598" s="3298"/>
      <c r="F4598" s="3298"/>
      <c r="G4598" s="3298"/>
    </row>
    <row r="4599" spans="1:7" x14ac:dyDescent="0.3">
      <c r="A4599" s="11" t="s">
        <v>960</v>
      </c>
      <c r="B4599" s="11" t="s">
        <v>961</v>
      </c>
      <c r="C4599" s="2868">
        <v>59867</v>
      </c>
      <c r="D4599" s="2868">
        <v>8020342302.1952696</v>
      </c>
      <c r="E4599" s="2869">
        <v>109163900.070805</v>
      </c>
      <c r="F4599" s="2870">
        <v>99.965788488681298</v>
      </c>
      <c r="G4599" s="2871">
        <v>1.11273401568212E-2</v>
      </c>
    </row>
    <row r="4600" spans="1:7" x14ac:dyDescent="0.3">
      <c r="A4600" s="6" t="s">
        <v>974</v>
      </c>
      <c r="B4600" s="6" t="s">
        <v>975</v>
      </c>
      <c r="C4600" s="2864">
        <v>9</v>
      </c>
      <c r="D4600" s="2864">
        <v>2744819.35870256</v>
      </c>
      <c r="E4600" s="2865">
        <v>893204.72061744204</v>
      </c>
      <c r="F4600" s="2866">
        <v>3.4211511318737002E-2</v>
      </c>
      <c r="G4600" s="2867">
        <v>1.11273401568167E-2</v>
      </c>
    </row>
    <row r="4601" spans="1:7" x14ac:dyDescent="0.3">
      <c r="A4601" s="11" t="s">
        <v>6269</v>
      </c>
      <c r="B4601" s="11" t="s">
        <v>6270</v>
      </c>
      <c r="C4601" s="2868">
        <v>0</v>
      </c>
      <c r="D4601" s="2868">
        <v>0</v>
      </c>
      <c r="E4601" s="2869">
        <v>0</v>
      </c>
      <c r="F4601" s="2870">
        <v>0</v>
      </c>
      <c r="G4601" s="2871">
        <v>0</v>
      </c>
    </row>
    <row r="4602" spans="1:7" x14ac:dyDescent="0.3">
      <c r="A4602" s="6" t="s">
        <v>6269</v>
      </c>
      <c r="B4602" s="6" t="s">
        <v>6271</v>
      </c>
      <c r="C4602" s="2864">
        <v>59876</v>
      </c>
      <c r="D4602" s="2864">
        <v>8023087121.5539703</v>
      </c>
      <c r="E4602" s="2865">
        <v>0</v>
      </c>
      <c r="F4602" s="2866">
        <v>100</v>
      </c>
      <c r="G4602" s="2867">
        <v>0</v>
      </c>
    </row>
    <row r="4603" spans="1:7" x14ac:dyDescent="0.3">
      <c r="A4603" s="3299" t="s">
        <v>730</v>
      </c>
      <c r="B4603" s="3298"/>
      <c r="C4603" s="3298"/>
      <c r="D4603" s="3298"/>
      <c r="E4603" s="3298"/>
      <c r="F4603" s="3298"/>
      <c r="G4603" s="3298"/>
    </row>
    <row r="4604" spans="1:7" x14ac:dyDescent="0.3">
      <c r="A4604" s="11" t="s">
        <v>960</v>
      </c>
      <c r="B4604" s="11" t="s">
        <v>961</v>
      </c>
      <c r="C4604" s="2876">
        <v>59867</v>
      </c>
      <c r="D4604" s="2876">
        <v>8020342302.1952696</v>
      </c>
      <c r="E4604" s="2877">
        <v>109163900.070805</v>
      </c>
      <c r="F4604" s="2878">
        <v>99.965788488681298</v>
      </c>
      <c r="G4604" s="2879">
        <v>1.11273401568212E-2</v>
      </c>
    </row>
    <row r="4605" spans="1:7" x14ac:dyDescent="0.3">
      <c r="A4605" s="6" t="s">
        <v>974</v>
      </c>
      <c r="B4605" s="6" t="s">
        <v>975</v>
      </c>
      <c r="C4605" s="2872">
        <v>9</v>
      </c>
      <c r="D4605" s="2872">
        <v>2744819.35870256</v>
      </c>
      <c r="E4605" s="2873">
        <v>893204.72061744204</v>
      </c>
      <c r="F4605" s="2874">
        <v>3.4211511318737002E-2</v>
      </c>
      <c r="G4605" s="2875">
        <v>1.11273401568167E-2</v>
      </c>
    </row>
    <row r="4606" spans="1:7" x14ac:dyDescent="0.3">
      <c r="A4606" s="11" t="s">
        <v>6269</v>
      </c>
      <c r="B4606" s="11" t="s">
        <v>6270</v>
      </c>
      <c r="C4606" s="2876">
        <v>0</v>
      </c>
      <c r="D4606" s="2876">
        <v>0</v>
      </c>
      <c r="E4606" s="2877">
        <v>0</v>
      </c>
      <c r="F4606" s="2878">
        <v>0</v>
      </c>
      <c r="G4606" s="2879">
        <v>0</v>
      </c>
    </row>
    <row r="4607" spans="1:7" x14ac:dyDescent="0.3">
      <c r="A4607" s="6" t="s">
        <v>6269</v>
      </c>
      <c r="B4607" s="6" t="s">
        <v>6271</v>
      </c>
      <c r="C4607" s="2872">
        <v>59876</v>
      </c>
      <c r="D4607" s="2872">
        <v>8023087121.5539703</v>
      </c>
      <c r="E4607" s="2873">
        <v>0</v>
      </c>
      <c r="F4607" s="2874">
        <v>100</v>
      </c>
      <c r="G4607" s="2875">
        <v>0</v>
      </c>
    </row>
    <row r="4608" spans="1:7" x14ac:dyDescent="0.3">
      <c r="A4608" s="3299" t="s">
        <v>732</v>
      </c>
      <c r="B4608" s="3298"/>
      <c r="C4608" s="3298"/>
      <c r="D4608" s="3298"/>
      <c r="E4608" s="3298"/>
      <c r="F4608" s="3298"/>
      <c r="G4608" s="3298"/>
    </row>
    <row r="4609" spans="1:7" x14ac:dyDescent="0.3">
      <c r="A4609" s="11" t="s">
        <v>960</v>
      </c>
      <c r="B4609" s="11" t="s">
        <v>961</v>
      </c>
      <c r="C4609" s="2884">
        <v>59867</v>
      </c>
      <c r="D4609" s="2884">
        <v>8020342302.1952696</v>
      </c>
      <c r="E4609" s="2885">
        <v>109163900.070805</v>
      </c>
      <c r="F4609" s="2886">
        <v>99.965788488681298</v>
      </c>
      <c r="G4609" s="2887">
        <v>1.11273401568212E-2</v>
      </c>
    </row>
    <row r="4610" spans="1:7" x14ac:dyDescent="0.3">
      <c r="A4610" s="6" t="s">
        <v>974</v>
      </c>
      <c r="B4610" s="6" t="s">
        <v>975</v>
      </c>
      <c r="C4610" s="2880">
        <v>9</v>
      </c>
      <c r="D4610" s="2880">
        <v>2744819.35870256</v>
      </c>
      <c r="E4610" s="2881">
        <v>893204.72061744204</v>
      </c>
      <c r="F4610" s="2882">
        <v>3.4211511318737002E-2</v>
      </c>
      <c r="G4610" s="2883">
        <v>1.11273401568167E-2</v>
      </c>
    </row>
    <row r="4611" spans="1:7" x14ac:dyDescent="0.3">
      <c r="A4611" s="11" t="s">
        <v>6269</v>
      </c>
      <c r="B4611" s="11" t="s">
        <v>6270</v>
      </c>
      <c r="C4611" s="2884">
        <v>0</v>
      </c>
      <c r="D4611" s="2884">
        <v>0</v>
      </c>
      <c r="E4611" s="2885">
        <v>0</v>
      </c>
      <c r="F4611" s="2886">
        <v>0</v>
      </c>
      <c r="G4611" s="2887">
        <v>0</v>
      </c>
    </row>
    <row r="4612" spans="1:7" x14ac:dyDescent="0.3">
      <c r="A4612" s="6" t="s">
        <v>6269</v>
      </c>
      <c r="B4612" s="6" t="s">
        <v>6271</v>
      </c>
      <c r="C4612" s="2880">
        <v>59876</v>
      </c>
      <c r="D4612" s="2880">
        <v>8023087121.5539703</v>
      </c>
      <c r="E4612" s="2881">
        <v>0</v>
      </c>
      <c r="F4612" s="2882">
        <v>100</v>
      </c>
      <c r="G4612" s="2883">
        <v>0</v>
      </c>
    </row>
    <row r="4613" spans="1:7" x14ac:dyDescent="0.3">
      <c r="A4613" s="3299" t="s">
        <v>696</v>
      </c>
      <c r="B4613" s="3298"/>
      <c r="C4613" s="3298"/>
      <c r="D4613" s="3298"/>
      <c r="E4613" s="3298"/>
      <c r="F4613" s="3298"/>
      <c r="G4613" s="3298"/>
    </row>
    <row r="4614" spans="1:7" x14ac:dyDescent="0.3">
      <c r="A4614" s="11" t="s">
        <v>995</v>
      </c>
      <c r="B4614" s="11" t="s">
        <v>6047</v>
      </c>
      <c r="C4614" s="2892">
        <v>5</v>
      </c>
      <c r="D4614" s="2892">
        <v>964620.378787664</v>
      </c>
      <c r="E4614" s="2893">
        <v>487849.132273575</v>
      </c>
      <c r="F4614" s="2894">
        <v>100</v>
      </c>
      <c r="G4614" s="2895">
        <v>0</v>
      </c>
    </row>
    <row r="4615" spans="1:7" x14ac:dyDescent="0.3">
      <c r="A4615" s="6" t="s">
        <v>960</v>
      </c>
      <c r="B4615" s="6" t="s">
        <v>961</v>
      </c>
      <c r="C4615" s="2888">
        <v>59862</v>
      </c>
      <c r="D4615" s="2888">
        <v>8019377681.8164797</v>
      </c>
      <c r="E4615" s="2889">
        <v>109289843.42528</v>
      </c>
      <c r="F4615" s="2890">
        <v>99.965784374917007</v>
      </c>
      <c r="G4615" s="2891">
        <v>1.11285586167494E-2</v>
      </c>
    </row>
    <row r="4616" spans="1:7" x14ac:dyDescent="0.3">
      <c r="A4616" s="11" t="s">
        <v>974</v>
      </c>
      <c r="B4616" s="11" t="s">
        <v>975</v>
      </c>
      <c r="C4616" s="2892">
        <v>9</v>
      </c>
      <c r="D4616" s="2892">
        <v>2744819.35870256</v>
      </c>
      <c r="E4616" s="2893">
        <v>893204.72061744204</v>
      </c>
      <c r="F4616" s="2894">
        <v>3.4215625083018501E-2</v>
      </c>
      <c r="G4616" s="2895">
        <v>1.1128558616746401E-2</v>
      </c>
    </row>
    <row r="4617" spans="1:7" x14ac:dyDescent="0.3">
      <c r="A4617" s="6" t="s">
        <v>6269</v>
      </c>
      <c r="B4617" s="6" t="s">
        <v>6270</v>
      </c>
      <c r="C4617" s="2888">
        <v>5</v>
      </c>
      <c r="D4617" s="2888">
        <v>964620.378787664</v>
      </c>
      <c r="E4617" s="2889">
        <v>487849.132273575</v>
      </c>
      <c r="F4617" s="2890">
        <v>1.2023057511069701E-2</v>
      </c>
      <c r="G4617" s="2891">
        <v>6.11222556842363E-3</v>
      </c>
    </row>
    <row r="4618" spans="1:7" x14ac:dyDescent="0.3">
      <c r="A4618" s="11" t="s">
        <v>6269</v>
      </c>
      <c r="B4618" s="11" t="s">
        <v>6271</v>
      </c>
      <c r="C4618" s="2892">
        <v>59876</v>
      </c>
      <c r="D4618" s="2892">
        <v>8023087121.5539703</v>
      </c>
      <c r="E4618" s="2893">
        <v>0</v>
      </c>
      <c r="F4618" s="2894">
        <v>100</v>
      </c>
      <c r="G4618" s="2895">
        <v>0</v>
      </c>
    </row>
    <row r="4619" spans="1:7" x14ac:dyDescent="0.3">
      <c r="A4619" s="3299" t="s">
        <v>698</v>
      </c>
      <c r="B4619" s="3298"/>
      <c r="C4619" s="3298"/>
      <c r="D4619" s="3298"/>
      <c r="E4619" s="3298"/>
      <c r="F4619" s="3298"/>
      <c r="G4619" s="3298"/>
    </row>
    <row r="4620" spans="1:7" x14ac:dyDescent="0.3">
      <c r="A4620" s="11" t="s">
        <v>997</v>
      </c>
      <c r="B4620" s="11" t="s">
        <v>6048</v>
      </c>
      <c r="C4620" s="2900">
        <v>58</v>
      </c>
      <c r="D4620" s="2900">
        <v>16245807.540038001</v>
      </c>
      <c r="E4620" s="2901">
        <v>3951233.2354012602</v>
      </c>
      <c r="F4620" s="2902">
        <v>100</v>
      </c>
      <c r="G4620" s="2903">
        <v>0</v>
      </c>
    </row>
    <row r="4621" spans="1:7" x14ac:dyDescent="0.3">
      <c r="A4621" s="6" t="s">
        <v>960</v>
      </c>
      <c r="B4621" s="6" t="s">
        <v>961</v>
      </c>
      <c r="C4621" s="2896">
        <v>59809</v>
      </c>
      <c r="D4621" s="2896">
        <v>8004096494.6552401</v>
      </c>
      <c r="E4621" s="2897">
        <v>108869910.71867301</v>
      </c>
      <c r="F4621" s="2898">
        <v>99.965719073838798</v>
      </c>
      <c r="G4621" s="2899">
        <v>1.1163200537258E-2</v>
      </c>
    </row>
    <row r="4622" spans="1:7" x14ac:dyDescent="0.3">
      <c r="A4622" s="11" t="s">
        <v>974</v>
      </c>
      <c r="B4622" s="11" t="s">
        <v>975</v>
      </c>
      <c r="C4622" s="2900">
        <v>9</v>
      </c>
      <c r="D4622" s="2900">
        <v>2744819.35870256</v>
      </c>
      <c r="E4622" s="2901">
        <v>893204.72061744204</v>
      </c>
      <c r="F4622" s="2902">
        <v>3.4280926161212401E-2</v>
      </c>
      <c r="G4622" s="2903">
        <v>1.11632005372568E-2</v>
      </c>
    </row>
    <row r="4623" spans="1:7" x14ac:dyDescent="0.3">
      <c r="A4623" s="6" t="s">
        <v>6269</v>
      </c>
      <c r="B4623" s="6" t="s">
        <v>6270</v>
      </c>
      <c r="C4623" s="2896">
        <v>58</v>
      </c>
      <c r="D4623" s="2896">
        <v>16245807.540038001</v>
      </c>
      <c r="E4623" s="2897">
        <v>3951233.2354012602</v>
      </c>
      <c r="F4623" s="2898">
        <v>0.20248823543737601</v>
      </c>
      <c r="G4623" s="2899">
        <v>4.9006090774025603E-2</v>
      </c>
    </row>
    <row r="4624" spans="1:7" x14ac:dyDescent="0.3">
      <c r="A4624" s="11" t="s">
        <v>6269</v>
      </c>
      <c r="B4624" s="11" t="s">
        <v>6271</v>
      </c>
      <c r="C4624" s="2900">
        <v>59876</v>
      </c>
      <c r="D4624" s="2900">
        <v>8023087121.5539799</v>
      </c>
      <c r="E4624" s="2901">
        <v>0</v>
      </c>
      <c r="F4624" s="2902">
        <v>100</v>
      </c>
      <c r="G4624" s="2903">
        <v>0</v>
      </c>
    </row>
    <row r="4625" spans="1:7" x14ac:dyDescent="0.3">
      <c r="A4625" s="3299" t="s">
        <v>700</v>
      </c>
      <c r="B4625" s="3298"/>
      <c r="C4625" s="3298"/>
      <c r="D4625" s="3298"/>
      <c r="E4625" s="3298"/>
      <c r="F4625" s="3298"/>
      <c r="G4625" s="3298"/>
    </row>
    <row r="4626" spans="1:7" x14ac:dyDescent="0.3">
      <c r="A4626" s="11" t="s">
        <v>999</v>
      </c>
      <c r="B4626" s="11" t="s">
        <v>6028</v>
      </c>
      <c r="C4626" s="2908">
        <v>7</v>
      </c>
      <c r="D4626" s="2908">
        <v>1937670.88790205</v>
      </c>
      <c r="E4626" s="2909">
        <v>1000167.1355454</v>
      </c>
      <c r="F4626" s="2910">
        <v>100</v>
      </c>
      <c r="G4626" s="2911">
        <v>0</v>
      </c>
    </row>
    <row r="4627" spans="1:7" x14ac:dyDescent="0.3">
      <c r="A4627" s="6" t="s">
        <v>960</v>
      </c>
      <c r="B4627" s="6" t="s">
        <v>961</v>
      </c>
      <c r="C4627" s="2904">
        <v>59860</v>
      </c>
      <c r="D4627" s="2904">
        <v>8018404631.3073597</v>
      </c>
      <c r="E4627" s="2905">
        <v>109124641.532609</v>
      </c>
      <c r="F4627" s="2906">
        <v>99.965780224198696</v>
      </c>
      <c r="G4627" s="2907">
        <v>1.11312534500133E-2</v>
      </c>
    </row>
    <row r="4628" spans="1:7" x14ac:dyDescent="0.3">
      <c r="A4628" s="11" t="s">
        <v>974</v>
      </c>
      <c r="B4628" s="11" t="s">
        <v>975</v>
      </c>
      <c r="C4628" s="2908">
        <v>9</v>
      </c>
      <c r="D4628" s="2908">
        <v>2744819.35870256</v>
      </c>
      <c r="E4628" s="2909">
        <v>893204.72061744204</v>
      </c>
      <c r="F4628" s="2910">
        <v>3.42197758012679E-2</v>
      </c>
      <c r="G4628" s="2911">
        <v>1.11312534500127E-2</v>
      </c>
    </row>
    <row r="4629" spans="1:7" x14ac:dyDescent="0.3">
      <c r="A4629" s="6" t="s">
        <v>6269</v>
      </c>
      <c r="B4629" s="6" t="s">
        <v>6270</v>
      </c>
      <c r="C4629" s="2904">
        <v>7</v>
      </c>
      <c r="D4629" s="2904">
        <v>1937670.88790205</v>
      </c>
      <c r="E4629" s="2905">
        <v>1000167.1355454</v>
      </c>
      <c r="F4629" s="2906">
        <v>2.4151188420932199E-2</v>
      </c>
      <c r="G4629" s="2907">
        <v>1.24552526039108E-2</v>
      </c>
    </row>
    <row r="4630" spans="1:7" x14ac:dyDescent="0.3">
      <c r="A4630" s="11" t="s">
        <v>6269</v>
      </c>
      <c r="B4630" s="11" t="s">
        <v>6271</v>
      </c>
      <c r="C4630" s="2908">
        <v>59876</v>
      </c>
      <c r="D4630" s="2908">
        <v>8023087121.5539703</v>
      </c>
      <c r="E4630" s="2909">
        <v>0</v>
      </c>
      <c r="F4630" s="2910">
        <v>100</v>
      </c>
      <c r="G4630" s="2911">
        <v>0</v>
      </c>
    </row>
    <row r="4631" spans="1:7" x14ac:dyDescent="0.3">
      <c r="A4631" s="3299" t="s">
        <v>702</v>
      </c>
      <c r="B4631" s="3298"/>
      <c r="C4631" s="3298"/>
      <c r="D4631" s="3298"/>
      <c r="E4631" s="3298"/>
      <c r="F4631" s="3298"/>
      <c r="G4631" s="3298"/>
    </row>
    <row r="4632" spans="1:7" x14ac:dyDescent="0.3">
      <c r="A4632" s="11" t="s">
        <v>1001</v>
      </c>
      <c r="B4632" s="11" t="s">
        <v>6049</v>
      </c>
      <c r="C4632" s="2916">
        <v>10</v>
      </c>
      <c r="D4632" s="2916">
        <v>1519899.6794429701</v>
      </c>
      <c r="E4632" s="2917">
        <v>979532.01570906804</v>
      </c>
      <c r="F4632" s="2918">
        <v>100</v>
      </c>
      <c r="G4632" s="2919">
        <v>0</v>
      </c>
    </row>
    <row r="4633" spans="1:7" x14ac:dyDescent="0.3">
      <c r="A4633" s="6" t="s">
        <v>960</v>
      </c>
      <c r="B4633" s="6" t="s">
        <v>961</v>
      </c>
      <c r="C4633" s="2912">
        <v>59857</v>
      </c>
      <c r="D4633" s="2912">
        <v>8018822402.5158195</v>
      </c>
      <c r="E4633" s="2913">
        <v>109195061.222771</v>
      </c>
      <c r="F4633" s="2914">
        <v>99.965782006398697</v>
      </c>
      <c r="G4633" s="2915">
        <v>1.1129427039299899E-2</v>
      </c>
    </row>
    <row r="4634" spans="1:7" x14ac:dyDescent="0.3">
      <c r="A4634" s="11" t="s">
        <v>974</v>
      </c>
      <c r="B4634" s="11" t="s">
        <v>975</v>
      </c>
      <c r="C4634" s="2916">
        <v>9</v>
      </c>
      <c r="D4634" s="2916">
        <v>2744819.35870256</v>
      </c>
      <c r="E4634" s="2917">
        <v>893204.72061744204</v>
      </c>
      <c r="F4634" s="2918">
        <v>3.4217993601269599E-2</v>
      </c>
      <c r="G4634" s="2919">
        <v>1.1129427039296501E-2</v>
      </c>
    </row>
    <row r="4635" spans="1:7" x14ac:dyDescent="0.3">
      <c r="A4635" s="6" t="s">
        <v>6269</v>
      </c>
      <c r="B4635" s="6" t="s">
        <v>6270</v>
      </c>
      <c r="C4635" s="2912">
        <v>10</v>
      </c>
      <c r="D4635" s="2912">
        <v>1519899.6794429701</v>
      </c>
      <c r="E4635" s="2913">
        <v>979532.01570906804</v>
      </c>
      <c r="F4635" s="2914">
        <v>1.8944075471395101E-2</v>
      </c>
      <c r="G4635" s="2915">
        <v>1.22441260025639E-2</v>
      </c>
    </row>
    <row r="4636" spans="1:7" x14ac:dyDescent="0.3">
      <c r="A4636" s="11" t="s">
        <v>6269</v>
      </c>
      <c r="B4636" s="11" t="s">
        <v>6271</v>
      </c>
      <c r="C4636" s="2916">
        <v>59876</v>
      </c>
      <c r="D4636" s="2916">
        <v>8023087121.5539703</v>
      </c>
      <c r="E4636" s="2917">
        <v>0</v>
      </c>
      <c r="F4636" s="2918">
        <v>100</v>
      </c>
      <c r="G4636" s="2919">
        <v>0</v>
      </c>
    </row>
    <row r="4637" spans="1:7" x14ac:dyDescent="0.3">
      <c r="A4637" s="3299" t="s">
        <v>704</v>
      </c>
      <c r="B4637" s="3298"/>
      <c r="C4637" s="3298"/>
      <c r="D4637" s="3298"/>
      <c r="E4637" s="3298"/>
      <c r="F4637" s="3298"/>
      <c r="G4637" s="3298"/>
    </row>
    <row r="4638" spans="1:7" x14ac:dyDescent="0.3">
      <c r="A4638" s="11" t="s">
        <v>1003</v>
      </c>
      <c r="B4638" s="11" t="s">
        <v>6030</v>
      </c>
      <c r="C4638" s="2924">
        <v>1</v>
      </c>
      <c r="D4638" s="2924">
        <v>152679.203528616</v>
      </c>
      <c r="E4638" s="2925">
        <v>155737.61639694401</v>
      </c>
      <c r="F4638" s="2926">
        <v>100</v>
      </c>
      <c r="G4638" s="2927" t="e">
        <v>#NUM!</v>
      </c>
    </row>
    <row r="4639" spans="1:7" x14ac:dyDescent="0.3">
      <c r="A4639" s="6" t="s">
        <v>960</v>
      </c>
      <c r="B4639" s="6" t="s">
        <v>961</v>
      </c>
      <c r="C4639" s="2920">
        <v>59866</v>
      </c>
      <c r="D4639" s="2920">
        <v>8020189622.9917402</v>
      </c>
      <c r="E4639" s="2921">
        <v>109122340.063263</v>
      </c>
      <c r="F4639" s="2922">
        <v>99.965787837624404</v>
      </c>
      <c r="G4639" s="2923">
        <v>1.11275196189342E-2</v>
      </c>
    </row>
    <row r="4640" spans="1:7" x14ac:dyDescent="0.3">
      <c r="A4640" s="11" t="s">
        <v>974</v>
      </c>
      <c r="B4640" s="11" t="s">
        <v>975</v>
      </c>
      <c r="C4640" s="2924">
        <v>9</v>
      </c>
      <c r="D4640" s="2924">
        <v>2744819.35870256</v>
      </c>
      <c r="E4640" s="2925">
        <v>893204.72061744204</v>
      </c>
      <c r="F4640" s="2926">
        <v>3.4212162375571203E-2</v>
      </c>
      <c r="G4640" s="2927">
        <v>1.1127519618929301E-2</v>
      </c>
    </row>
    <row r="4641" spans="1:7" x14ac:dyDescent="0.3">
      <c r="A4641" s="6" t="s">
        <v>6269</v>
      </c>
      <c r="B4641" s="6" t="s">
        <v>6270</v>
      </c>
      <c r="C4641" s="2920">
        <v>1</v>
      </c>
      <c r="D4641" s="2920">
        <v>152679.203528616</v>
      </c>
      <c r="E4641" s="2921">
        <v>155737.61639694401</v>
      </c>
      <c r="F4641" s="2922">
        <v>1.9029982002619001E-3</v>
      </c>
      <c r="G4641" s="2923">
        <v>1.93823397982582E-3</v>
      </c>
    </row>
    <row r="4642" spans="1:7" x14ac:dyDescent="0.3">
      <c r="A4642" s="11" t="s">
        <v>6269</v>
      </c>
      <c r="B4642" s="11" t="s">
        <v>6271</v>
      </c>
      <c r="C4642" s="2924">
        <v>59876</v>
      </c>
      <c r="D4642" s="2924">
        <v>8023087121.5539703</v>
      </c>
      <c r="E4642" s="2925">
        <v>0</v>
      </c>
      <c r="F4642" s="2926">
        <v>100</v>
      </c>
      <c r="G4642" s="2927">
        <v>0</v>
      </c>
    </row>
    <row r="4643" spans="1:7" x14ac:dyDescent="0.3">
      <c r="A4643" s="3299" t="s">
        <v>706</v>
      </c>
      <c r="B4643" s="3298"/>
      <c r="C4643" s="3298"/>
      <c r="D4643" s="3298"/>
      <c r="E4643" s="3298"/>
      <c r="F4643" s="3298"/>
      <c r="G4643" s="3298"/>
    </row>
    <row r="4644" spans="1:7" x14ac:dyDescent="0.3">
      <c r="A4644" s="11" t="s">
        <v>1005</v>
      </c>
      <c r="B4644" s="11" t="s">
        <v>6031</v>
      </c>
      <c r="C4644" s="2932">
        <v>9</v>
      </c>
      <c r="D4644" s="2932">
        <v>3668554.1970940498</v>
      </c>
      <c r="E4644" s="2933">
        <v>1457719.7547804799</v>
      </c>
      <c r="F4644" s="2934">
        <v>100</v>
      </c>
      <c r="G4644" s="2935">
        <v>0</v>
      </c>
    </row>
    <row r="4645" spans="1:7" x14ac:dyDescent="0.3">
      <c r="A4645" s="6" t="s">
        <v>960</v>
      </c>
      <c r="B4645" s="6" t="s">
        <v>961</v>
      </c>
      <c r="C4645" s="2928">
        <v>59858</v>
      </c>
      <c r="D4645" s="2928">
        <v>8016673747.9981699</v>
      </c>
      <c r="E4645" s="2929">
        <v>109025112.36820699</v>
      </c>
      <c r="F4645" s="2930">
        <v>99.965772838321797</v>
      </c>
      <c r="G4645" s="2931">
        <v>1.11367780644552E-2</v>
      </c>
    </row>
    <row r="4646" spans="1:7" x14ac:dyDescent="0.3">
      <c r="A4646" s="11" t="s">
        <v>974</v>
      </c>
      <c r="B4646" s="11" t="s">
        <v>975</v>
      </c>
      <c r="C4646" s="2932">
        <v>9</v>
      </c>
      <c r="D4646" s="2932">
        <v>2744819.35870256</v>
      </c>
      <c r="E4646" s="2933">
        <v>893204.72061744204</v>
      </c>
      <c r="F4646" s="2934">
        <v>3.4227161678221603E-2</v>
      </c>
      <c r="G4646" s="2935">
        <v>1.11367780644606E-2</v>
      </c>
    </row>
    <row r="4647" spans="1:7" x14ac:dyDescent="0.3">
      <c r="A4647" s="6" t="s">
        <v>6269</v>
      </c>
      <c r="B4647" s="6" t="s">
        <v>6270</v>
      </c>
      <c r="C4647" s="2928">
        <v>9</v>
      </c>
      <c r="D4647" s="2928">
        <v>3668554.1970940498</v>
      </c>
      <c r="E4647" s="2929">
        <v>1457719.7547804799</v>
      </c>
      <c r="F4647" s="2930">
        <v>4.5724970220484197E-2</v>
      </c>
      <c r="G4647" s="2931">
        <v>1.8122685717246099E-2</v>
      </c>
    </row>
    <row r="4648" spans="1:7" x14ac:dyDescent="0.3">
      <c r="A4648" s="11" t="s">
        <v>6269</v>
      </c>
      <c r="B4648" s="11" t="s">
        <v>6271</v>
      </c>
      <c r="C4648" s="2932">
        <v>59876</v>
      </c>
      <c r="D4648" s="2932">
        <v>8023087121.5539703</v>
      </c>
      <c r="E4648" s="2933">
        <v>0</v>
      </c>
      <c r="F4648" s="2934">
        <v>100</v>
      </c>
      <c r="G4648" s="2935">
        <v>0</v>
      </c>
    </row>
    <row r="4649" spans="1:7" x14ac:dyDescent="0.3">
      <c r="A4649" s="3299" t="s">
        <v>708</v>
      </c>
      <c r="B4649" s="3298"/>
      <c r="C4649" s="3298"/>
      <c r="D4649" s="3298"/>
      <c r="E4649" s="3298"/>
      <c r="F4649" s="3298"/>
      <c r="G4649" s="3298"/>
    </row>
    <row r="4650" spans="1:7" x14ac:dyDescent="0.3">
      <c r="A4650" s="11" t="s">
        <v>1007</v>
      </c>
      <c r="B4650" s="11" t="s">
        <v>6032</v>
      </c>
      <c r="C4650" s="2940">
        <v>40</v>
      </c>
      <c r="D4650" s="2940">
        <v>10785728.892986899</v>
      </c>
      <c r="E4650" s="2941">
        <v>2594104.26825119</v>
      </c>
      <c r="F4650" s="2942">
        <v>100</v>
      </c>
      <c r="G4650" s="2943">
        <v>0</v>
      </c>
    </row>
    <row r="4651" spans="1:7" x14ac:dyDescent="0.3">
      <c r="A4651" s="6" t="s">
        <v>960</v>
      </c>
      <c r="B4651" s="6" t="s">
        <v>961</v>
      </c>
      <c r="C4651" s="2936">
        <v>59827</v>
      </c>
      <c r="D4651" s="2936">
        <v>8009556573.30229</v>
      </c>
      <c r="E4651" s="2937">
        <v>108908281.31787799</v>
      </c>
      <c r="F4651" s="2938">
        <v>99.965742434986097</v>
      </c>
      <c r="G4651" s="2939">
        <v>1.1145780811469099E-2</v>
      </c>
    </row>
    <row r="4652" spans="1:7" x14ac:dyDescent="0.3">
      <c r="A4652" s="11" t="s">
        <v>974</v>
      </c>
      <c r="B4652" s="11" t="s">
        <v>975</v>
      </c>
      <c r="C4652" s="2940">
        <v>9</v>
      </c>
      <c r="D4652" s="2940">
        <v>2744819.35870256</v>
      </c>
      <c r="E4652" s="2941">
        <v>893204.72061744204</v>
      </c>
      <c r="F4652" s="2942">
        <v>3.4257565013926301E-2</v>
      </c>
      <c r="G4652" s="2943">
        <v>1.1145780811460801E-2</v>
      </c>
    </row>
    <row r="4653" spans="1:7" x14ac:dyDescent="0.3">
      <c r="A4653" s="6" t="s">
        <v>6269</v>
      </c>
      <c r="B4653" s="6" t="s">
        <v>6270</v>
      </c>
      <c r="C4653" s="2936">
        <v>40</v>
      </c>
      <c r="D4653" s="2936">
        <v>10785728.892986899</v>
      </c>
      <c r="E4653" s="2937">
        <v>2594104.26825119</v>
      </c>
      <c r="F4653" s="2938">
        <v>0.134433650408845</v>
      </c>
      <c r="G4653" s="2939">
        <v>3.2085957330108002E-2</v>
      </c>
    </row>
    <row r="4654" spans="1:7" x14ac:dyDescent="0.3">
      <c r="A4654" s="11" t="s">
        <v>6269</v>
      </c>
      <c r="B4654" s="11" t="s">
        <v>6271</v>
      </c>
      <c r="C4654" s="2940">
        <v>59876</v>
      </c>
      <c r="D4654" s="2940">
        <v>8023087121.5539799</v>
      </c>
      <c r="E4654" s="2941">
        <v>0</v>
      </c>
      <c r="F4654" s="2942">
        <v>100</v>
      </c>
      <c r="G4654" s="2943">
        <v>0</v>
      </c>
    </row>
    <row r="4655" spans="1:7" x14ac:dyDescent="0.3">
      <c r="A4655" s="3299" t="s">
        <v>710</v>
      </c>
      <c r="B4655" s="3298"/>
      <c r="C4655" s="3298"/>
      <c r="D4655" s="3298"/>
      <c r="E4655" s="3298"/>
      <c r="F4655" s="3298"/>
      <c r="G4655" s="3298"/>
    </row>
    <row r="4656" spans="1:7" x14ac:dyDescent="0.3">
      <c r="A4656" s="11" t="s">
        <v>1009</v>
      </c>
      <c r="B4656" s="11" t="s">
        <v>6033</v>
      </c>
      <c r="C4656" s="2948">
        <v>2</v>
      </c>
      <c r="D4656" s="2948">
        <v>940464.67173863901</v>
      </c>
      <c r="E4656" s="2949">
        <v>685661.02412361803</v>
      </c>
      <c r="F4656" s="2950">
        <v>100</v>
      </c>
      <c r="G4656" s="2951">
        <v>0</v>
      </c>
    </row>
    <row r="4657" spans="1:7" x14ac:dyDescent="0.3">
      <c r="A4657" s="6" t="s">
        <v>960</v>
      </c>
      <c r="B4657" s="6" t="s">
        <v>961</v>
      </c>
      <c r="C4657" s="2944">
        <v>59865</v>
      </c>
      <c r="D4657" s="2944">
        <v>8019401837.52353</v>
      </c>
      <c r="E4657" s="2945">
        <v>109164303.595889</v>
      </c>
      <c r="F4657" s="2946">
        <v>99.965784477944595</v>
      </c>
      <c r="G4657" s="2947">
        <v>1.1128979128764E-2</v>
      </c>
    </row>
    <row r="4658" spans="1:7" x14ac:dyDescent="0.3">
      <c r="A4658" s="11" t="s">
        <v>974</v>
      </c>
      <c r="B4658" s="11" t="s">
        <v>975</v>
      </c>
      <c r="C4658" s="2948">
        <v>9</v>
      </c>
      <c r="D4658" s="2948">
        <v>2744819.35870256</v>
      </c>
      <c r="E4658" s="2949">
        <v>893204.72061744204</v>
      </c>
      <c r="F4658" s="2950">
        <v>3.4215522055406102E-2</v>
      </c>
      <c r="G4658" s="2951">
        <v>1.1128979128759899E-2</v>
      </c>
    </row>
    <row r="4659" spans="1:7" x14ac:dyDescent="0.3">
      <c r="A4659" s="6" t="s">
        <v>6269</v>
      </c>
      <c r="B4659" s="6" t="s">
        <v>6270</v>
      </c>
      <c r="C4659" s="2944">
        <v>2</v>
      </c>
      <c r="D4659" s="2944">
        <v>940464.67173863901</v>
      </c>
      <c r="E4659" s="2945">
        <v>685661.02412361803</v>
      </c>
      <c r="F4659" s="2946">
        <v>1.1721980049451099E-2</v>
      </c>
      <c r="G4659" s="2947">
        <v>8.5606659628636901E-3</v>
      </c>
    </row>
    <row r="4660" spans="1:7" x14ac:dyDescent="0.3">
      <c r="A4660" s="11" t="s">
        <v>6269</v>
      </c>
      <c r="B4660" s="11" t="s">
        <v>6271</v>
      </c>
      <c r="C4660" s="2948">
        <v>59876</v>
      </c>
      <c r="D4660" s="2948">
        <v>8023087121.5539703</v>
      </c>
      <c r="E4660" s="2949">
        <v>0</v>
      </c>
      <c r="F4660" s="2950">
        <v>100</v>
      </c>
      <c r="G4660" s="2951">
        <v>0</v>
      </c>
    </row>
    <row r="4661" spans="1:7" x14ac:dyDescent="0.3">
      <c r="A4661" s="3299" t="s">
        <v>712</v>
      </c>
      <c r="B4661" s="3298"/>
      <c r="C4661" s="3298"/>
      <c r="D4661" s="3298"/>
      <c r="E4661" s="3298"/>
      <c r="F4661" s="3298"/>
      <c r="G4661" s="3298"/>
    </row>
    <row r="4662" spans="1:7" x14ac:dyDescent="0.3">
      <c r="A4662" s="11" t="s">
        <v>1011</v>
      </c>
      <c r="B4662" s="11" t="s">
        <v>6034</v>
      </c>
      <c r="C4662" s="2956">
        <v>1</v>
      </c>
      <c r="D4662" s="2956">
        <v>85090.195436556998</v>
      </c>
      <c r="E4662" s="2957">
        <v>85046.203847628305</v>
      </c>
      <c r="F4662" s="2958">
        <v>100</v>
      </c>
      <c r="G4662" s="2959" t="e">
        <v>#NUM!</v>
      </c>
    </row>
    <row r="4663" spans="1:7" x14ac:dyDescent="0.3">
      <c r="A4663" s="6" t="s">
        <v>960</v>
      </c>
      <c r="B4663" s="6" t="s">
        <v>961</v>
      </c>
      <c r="C4663" s="2952">
        <v>59866</v>
      </c>
      <c r="D4663" s="2952">
        <v>8020257211.9998302</v>
      </c>
      <c r="E4663" s="2953">
        <v>109199135.069425</v>
      </c>
      <c r="F4663" s="2954">
        <v>99.965788125841499</v>
      </c>
      <c r="G4663" s="2955">
        <v>1.1127264638101901E-2</v>
      </c>
    </row>
    <row r="4664" spans="1:7" x14ac:dyDescent="0.3">
      <c r="A4664" s="11" t="s">
        <v>974</v>
      </c>
      <c r="B4664" s="11" t="s">
        <v>975</v>
      </c>
      <c r="C4664" s="2956">
        <v>9</v>
      </c>
      <c r="D4664" s="2956">
        <v>2744819.35870256</v>
      </c>
      <c r="E4664" s="2957">
        <v>893204.72061744204</v>
      </c>
      <c r="F4664" s="2958">
        <v>3.4211874158503498E-2</v>
      </c>
      <c r="G4664" s="2959">
        <v>1.1127264638103301E-2</v>
      </c>
    </row>
    <row r="4665" spans="1:7" x14ac:dyDescent="0.3">
      <c r="A4665" s="6" t="s">
        <v>6269</v>
      </c>
      <c r="B4665" s="6" t="s">
        <v>6270</v>
      </c>
      <c r="C4665" s="2952">
        <v>1</v>
      </c>
      <c r="D4665" s="2952">
        <v>85090.195436556998</v>
      </c>
      <c r="E4665" s="2953">
        <v>85046.203847628305</v>
      </c>
      <c r="F4665" s="2954">
        <v>1.06056676373316E-3</v>
      </c>
      <c r="G4665" s="2955">
        <v>1.0610040144600401E-3</v>
      </c>
    </row>
    <row r="4666" spans="1:7" x14ac:dyDescent="0.3">
      <c r="A4666" s="11" t="s">
        <v>6269</v>
      </c>
      <c r="B4666" s="11" t="s">
        <v>6271</v>
      </c>
      <c r="C4666" s="2956">
        <v>59876</v>
      </c>
      <c r="D4666" s="2956">
        <v>8023087121.5539703</v>
      </c>
      <c r="E4666" s="2957">
        <v>0</v>
      </c>
      <c r="F4666" s="2958">
        <v>100</v>
      </c>
      <c r="G4666" s="2959">
        <v>0</v>
      </c>
    </row>
    <row r="4667" spans="1:7" x14ac:dyDescent="0.3">
      <c r="A4667" s="3299" t="s">
        <v>714</v>
      </c>
      <c r="B4667" s="3298"/>
      <c r="C4667" s="3298"/>
      <c r="D4667" s="3298"/>
      <c r="E4667" s="3298"/>
      <c r="F4667" s="3298"/>
      <c r="G4667" s="3298"/>
    </row>
    <row r="4668" spans="1:7" x14ac:dyDescent="0.3">
      <c r="A4668" s="11" t="s">
        <v>1013</v>
      </c>
      <c r="B4668" s="11" t="s">
        <v>6035</v>
      </c>
      <c r="C4668" s="2964">
        <v>18</v>
      </c>
      <c r="D4668" s="2964">
        <v>1877692.0699235799</v>
      </c>
      <c r="E4668" s="2965">
        <v>584092.09168612806</v>
      </c>
      <c r="F4668" s="2966">
        <v>100</v>
      </c>
      <c r="G4668" s="2967">
        <v>0</v>
      </c>
    </row>
    <row r="4669" spans="1:7" x14ac:dyDescent="0.3">
      <c r="A4669" s="6" t="s">
        <v>960</v>
      </c>
      <c r="B4669" s="6" t="s">
        <v>961</v>
      </c>
      <c r="C4669" s="2960">
        <v>59849</v>
      </c>
      <c r="D4669" s="2960">
        <v>8018464610.1253405</v>
      </c>
      <c r="E4669" s="2961">
        <v>109030508.77097601</v>
      </c>
      <c r="F4669" s="2962">
        <v>99.965780480078095</v>
      </c>
      <c r="G4669" s="2963">
        <v>1.11298007683188E-2</v>
      </c>
    </row>
    <row r="4670" spans="1:7" x14ac:dyDescent="0.3">
      <c r="A4670" s="11" t="s">
        <v>974</v>
      </c>
      <c r="B4670" s="11" t="s">
        <v>975</v>
      </c>
      <c r="C4670" s="2964">
        <v>9</v>
      </c>
      <c r="D4670" s="2964">
        <v>2744819.35870256</v>
      </c>
      <c r="E4670" s="2965">
        <v>893204.72061744204</v>
      </c>
      <c r="F4670" s="2966">
        <v>3.4219519921936802E-2</v>
      </c>
      <c r="G4670" s="2967">
        <v>1.11298007683188E-2</v>
      </c>
    </row>
    <row r="4671" spans="1:7" x14ac:dyDescent="0.3">
      <c r="A4671" s="6" t="s">
        <v>6269</v>
      </c>
      <c r="B4671" s="6" t="s">
        <v>6270</v>
      </c>
      <c r="C4671" s="2960">
        <v>18</v>
      </c>
      <c r="D4671" s="2960">
        <v>1877692.0699235799</v>
      </c>
      <c r="E4671" s="2961">
        <v>584092.09168612806</v>
      </c>
      <c r="F4671" s="2962">
        <v>2.3403610623636099E-2</v>
      </c>
      <c r="G4671" s="2963">
        <v>7.2005837775640001E-3</v>
      </c>
    </row>
    <row r="4672" spans="1:7" x14ac:dyDescent="0.3">
      <c r="A4672" s="11" t="s">
        <v>6269</v>
      </c>
      <c r="B4672" s="11" t="s">
        <v>6271</v>
      </c>
      <c r="C4672" s="2964">
        <v>59876</v>
      </c>
      <c r="D4672" s="2964">
        <v>8023087121.5539703</v>
      </c>
      <c r="E4672" s="2965">
        <v>0</v>
      </c>
      <c r="F4672" s="2966">
        <v>100</v>
      </c>
      <c r="G4672" s="2967">
        <v>0</v>
      </c>
    </row>
    <row r="4673" spans="1:7" x14ac:dyDescent="0.3">
      <c r="A4673" s="3299" t="s">
        <v>718</v>
      </c>
      <c r="B4673" s="3298"/>
      <c r="C4673" s="3298"/>
      <c r="D4673" s="3298"/>
      <c r="E4673" s="3298"/>
      <c r="F4673" s="3298"/>
      <c r="G4673" s="3298"/>
    </row>
    <row r="4674" spans="1:7" x14ac:dyDescent="0.3">
      <c r="A4674" s="11" t="s">
        <v>1155</v>
      </c>
      <c r="B4674" s="11" t="s">
        <v>6036</v>
      </c>
      <c r="C4674" s="2972">
        <v>3</v>
      </c>
      <c r="D4674" s="2972">
        <v>216079.58507560901</v>
      </c>
      <c r="E4674" s="2973">
        <v>171174.183150875</v>
      </c>
      <c r="F4674" s="2974">
        <v>100</v>
      </c>
      <c r="G4674" s="2975">
        <v>0</v>
      </c>
    </row>
    <row r="4675" spans="1:7" x14ac:dyDescent="0.3">
      <c r="A4675" s="6" t="s">
        <v>960</v>
      </c>
      <c r="B4675" s="6" t="s">
        <v>961</v>
      </c>
      <c r="C4675" s="2968">
        <v>59864</v>
      </c>
      <c r="D4675" s="2968">
        <v>8020126222.6101904</v>
      </c>
      <c r="E4675" s="2969">
        <v>109078257.185442</v>
      </c>
      <c r="F4675" s="2970">
        <v>99.9657875672643</v>
      </c>
      <c r="G4675" s="2971">
        <v>1.11274707055798E-2</v>
      </c>
    </row>
    <row r="4676" spans="1:7" x14ac:dyDescent="0.3">
      <c r="A4676" s="11" t="s">
        <v>974</v>
      </c>
      <c r="B4676" s="11" t="s">
        <v>975</v>
      </c>
      <c r="C4676" s="2972">
        <v>9</v>
      </c>
      <c r="D4676" s="2972">
        <v>2744819.35870256</v>
      </c>
      <c r="E4676" s="2973">
        <v>893204.72061744204</v>
      </c>
      <c r="F4676" s="2974">
        <v>3.4212432735662601E-2</v>
      </c>
      <c r="G4676" s="2975">
        <v>1.1127470705575701E-2</v>
      </c>
    </row>
    <row r="4677" spans="1:7" x14ac:dyDescent="0.3">
      <c r="A4677" s="6" t="s">
        <v>6269</v>
      </c>
      <c r="B4677" s="6" t="s">
        <v>6270</v>
      </c>
      <c r="C4677" s="2968">
        <v>3</v>
      </c>
      <c r="D4677" s="2968">
        <v>216079.58507560901</v>
      </c>
      <c r="E4677" s="2969">
        <v>171174.183150875</v>
      </c>
      <c r="F4677" s="2970">
        <v>2.6932224691305299E-3</v>
      </c>
      <c r="G4677" s="2971">
        <v>2.1215197457924899E-3</v>
      </c>
    </row>
    <row r="4678" spans="1:7" x14ac:dyDescent="0.3">
      <c r="A4678" s="11" t="s">
        <v>6269</v>
      </c>
      <c r="B4678" s="11" t="s">
        <v>6271</v>
      </c>
      <c r="C4678" s="2972">
        <v>59876</v>
      </c>
      <c r="D4678" s="2972">
        <v>8023087121.5539703</v>
      </c>
      <c r="E4678" s="2973">
        <v>0</v>
      </c>
      <c r="F4678" s="2974">
        <v>100</v>
      </c>
      <c r="G4678" s="2975">
        <v>0</v>
      </c>
    </row>
    <row r="4679" spans="1:7" x14ac:dyDescent="0.3">
      <c r="A4679" s="3299" t="s">
        <v>736</v>
      </c>
      <c r="B4679" s="3298"/>
      <c r="C4679" s="3298"/>
      <c r="D4679" s="3298"/>
      <c r="E4679" s="3298"/>
      <c r="F4679" s="3298"/>
      <c r="G4679" s="3298"/>
    </row>
    <row r="4680" spans="1:7" x14ac:dyDescent="0.3">
      <c r="A4680" s="11" t="s">
        <v>983</v>
      </c>
      <c r="B4680" s="11" t="s">
        <v>984</v>
      </c>
      <c r="C4680" s="2980">
        <v>25</v>
      </c>
      <c r="D4680" s="2980">
        <v>3144490.0624604002</v>
      </c>
      <c r="E4680" s="2981">
        <v>1206684.2706225901</v>
      </c>
      <c r="F4680" s="2982">
        <v>100</v>
      </c>
      <c r="G4680" s="2983">
        <v>0</v>
      </c>
    </row>
    <row r="4681" spans="1:7" x14ac:dyDescent="0.3">
      <c r="A4681" s="6" t="s">
        <v>960</v>
      </c>
      <c r="B4681" s="6" t="s">
        <v>961</v>
      </c>
      <c r="C4681" s="2976">
        <v>59842</v>
      </c>
      <c r="D4681" s="2976">
        <v>8017197812.1328096</v>
      </c>
      <c r="E4681" s="2977">
        <v>108448600.088304</v>
      </c>
      <c r="F4681" s="2978">
        <v>99.965775074899895</v>
      </c>
      <c r="G4681" s="2979">
        <v>1.11297760573154E-2</v>
      </c>
    </row>
    <row r="4682" spans="1:7" x14ac:dyDescent="0.3">
      <c r="A4682" s="11" t="s">
        <v>974</v>
      </c>
      <c r="B4682" s="11" t="s">
        <v>975</v>
      </c>
      <c r="C4682" s="2980">
        <v>9</v>
      </c>
      <c r="D4682" s="2980">
        <v>2744819.35870256</v>
      </c>
      <c r="E4682" s="2981">
        <v>893204.72061744204</v>
      </c>
      <c r="F4682" s="2982">
        <v>3.4224925100145E-2</v>
      </c>
      <c r="G4682" s="2983">
        <v>1.1129776057317501E-2</v>
      </c>
    </row>
    <row r="4683" spans="1:7" x14ac:dyDescent="0.3">
      <c r="A4683" s="6" t="s">
        <v>6269</v>
      </c>
      <c r="B4683" s="6" t="s">
        <v>6270</v>
      </c>
      <c r="C4683" s="2976">
        <v>25</v>
      </c>
      <c r="D4683" s="2976">
        <v>3144490.0624604002</v>
      </c>
      <c r="E4683" s="2977">
        <v>1206684.2706225901</v>
      </c>
      <c r="F4683" s="2978">
        <v>3.91930190314492E-2</v>
      </c>
      <c r="G4683" s="2979">
        <v>1.4778159009755701E-2</v>
      </c>
    </row>
    <row r="4684" spans="1:7" x14ac:dyDescent="0.3">
      <c r="A4684" s="11" t="s">
        <v>6269</v>
      </c>
      <c r="B4684" s="11" t="s">
        <v>6271</v>
      </c>
      <c r="C4684" s="2980">
        <v>59876</v>
      </c>
      <c r="D4684" s="2980">
        <v>8023087121.5539703</v>
      </c>
      <c r="E4684" s="2981">
        <v>0</v>
      </c>
      <c r="F4684" s="2982">
        <v>100</v>
      </c>
      <c r="G4684" s="2983">
        <v>0</v>
      </c>
    </row>
    <row r="4685" spans="1:7" x14ac:dyDescent="0.3">
      <c r="A4685" s="3299" t="s">
        <v>734</v>
      </c>
      <c r="B4685" s="3298"/>
      <c r="C4685" s="3298"/>
      <c r="D4685" s="3298"/>
      <c r="E4685" s="3298"/>
      <c r="F4685" s="3298"/>
      <c r="G4685" s="3298"/>
    </row>
    <row r="4686" spans="1:7" x14ac:dyDescent="0.3">
      <c r="A4686" s="11" t="s">
        <v>960</v>
      </c>
      <c r="B4686" s="11" t="s">
        <v>961</v>
      </c>
      <c r="C4686" s="2988">
        <v>59867</v>
      </c>
      <c r="D4686" s="2988">
        <v>8020342302.1952696</v>
      </c>
      <c r="E4686" s="2989">
        <v>109163900.070805</v>
      </c>
      <c r="F4686" s="2990">
        <v>99.965788488681298</v>
      </c>
      <c r="G4686" s="2991">
        <v>1.11273401568212E-2</v>
      </c>
    </row>
    <row r="4687" spans="1:7" x14ac:dyDescent="0.3">
      <c r="A4687" s="6" t="s">
        <v>974</v>
      </c>
      <c r="B4687" s="6" t="s">
        <v>975</v>
      </c>
      <c r="C4687" s="2984">
        <v>9</v>
      </c>
      <c r="D4687" s="2984">
        <v>2744819.35870256</v>
      </c>
      <c r="E4687" s="2985">
        <v>893204.72061744204</v>
      </c>
      <c r="F4687" s="2986">
        <v>3.4211511318737002E-2</v>
      </c>
      <c r="G4687" s="2987">
        <v>1.11273401568167E-2</v>
      </c>
    </row>
    <row r="4688" spans="1:7" x14ac:dyDescent="0.3">
      <c r="A4688" s="11" t="s">
        <v>6269</v>
      </c>
      <c r="B4688" s="11" t="s">
        <v>6270</v>
      </c>
      <c r="C4688" s="2988">
        <v>0</v>
      </c>
      <c r="D4688" s="2988">
        <v>0</v>
      </c>
      <c r="E4688" s="2989">
        <v>0</v>
      </c>
      <c r="F4688" s="2990">
        <v>0</v>
      </c>
      <c r="G4688" s="2991">
        <v>0</v>
      </c>
    </row>
    <row r="4689" spans="1:7" x14ac:dyDescent="0.3">
      <c r="A4689" s="6" t="s">
        <v>6269</v>
      </c>
      <c r="B4689" s="6" t="s">
        <v>6271</v>
      </c>
      <c r="C4689" s="2984">
        <v>59876</v>
      </c>
      <c r="D4689" s="2984">
        <v>8023087121.5539703</v>
      </c>
      <c r="E4689" s="2985">
        <v>0</v>
      </c>
      <c r="F4689" s="2986">
        <v>100</v>
      </c>
      <c r="G4689" s="2987">
        <v>0</v>
      </c>
    </row>
    <row r="4690" spans="1:7" x14ac:dyDescent="0.3">
      <c r="A4690" s="3299" t="s">
        <v>738</v>
      </c>
      <c r="B4690" s="3298"/>
      <c r="C4690" s="3298"/>
      <c r="D4690" s="3298"/>
      <c r="E4690" s="3298"/>
      <c r="F4690" s="3298"/>
      <c r="G4690" s="3298"/>
    </row>
    <row r="4691" spans="1:7" x14ac:dyDescent="0.3">
      <c r="A4691" s="11" t="s">
        <v>960</v>
      </c>
      <c r="B4691" s="11" t="s">
        <v>961</v>
      </c>
      <c r="C4691" s="2996">
        <v>59867</v>
      </c>
      <c r="D4691" s="2996">
        <v>8020342302.1952696</v>
      </c>
      <c r="E4691" s="2997">
        <v>109163900.070805</v>
      </c>
      <c r="F4691" s="2998">
        <v>99.965788488681298</v>
      </c>
      <c r="G4691" s="2999">
        <v>1.11273401568212E-2</v>
      </c>
    </row>
    <row r="4692" spans="1:7" x14ac:dyDescent="0.3">
      <c r="A4692" s="6" t="s">
        <v>974</v>
      </c>
      <c r="B4692" s="6" t="s">
        <v>975</v>
      </c>
      <c r="C4692" s="2992">
        <v>9</v>
      </c>
      <c r="D4692" s="2992">
        <v>2744819.35870256</v>
      </c>
      <c r="E4692" s="2993">
        <v>893204.72061744204</v>
      </c>
      <c r="F4692" s="2994">
        <v>3.4211511318737002E-2</v>
      </c>
      <c r="G4692" s="2995">
        <v>1.11273401568167E-2</v>
      </c>
    </row>
    <row r="4693" spans="1:7" x14ac:dyDescent="0.3">
      <c r="A4693" s="11" t="s">
        <v>6269</v>
      </c>
      <c r="B4693" s="11" t="s">
        <v>6270</v>
      </c>
      <c r="C4693" s="2996">
        <v>0</v>
      </c>
      <c r="D4693" s="2996">
        <v>0</v>
      </c>
      <c r="E4693" s="2997">
        <v>0</v>
      </c>
      <c r="F4693" s="2998">
        <v>0</v>
      </c>
      <c r="G4693" s="2999">
        <v>0</v>
      </c>
    </row>
    <row r="4694" spans="1:7" x14ac:dyDescent="0.3">
      <c r="A4694" s="6" t="s">
        <v>6269</v>
      </c>
      <c r="B4694" s="6" t="s">
        <v>6271</v>
      </c>
      <c r="C4694" s="2992">
        <v>59876</v>
      </c>
      <c r="D4694" s="2992">
        <v>8023087121.5539703</v>
      </c>
      <c r="E4694" s="2993">
        <v>0</v>
      </c>
      <c r="F4694" s="2994">
        <v>100</v>
      </c>
      <c r="G4694" s="2995">
        <v>0</v>
      </c>
    </row>
    <row r="4695" spans="1:7" x14ac:dyDescent="0.3">
      <c r="A4695" s="3299" t="s">
        <v>275</v>
      </c>
      <c r="B4695" s="3298"/>
      <c r="C4695" s="3298"/>
      <c r="D4695" s="3298"/>
      <c r="E4695" s="3298"/>
      <c r="F4695" s="3298"/>
      <c r="G4695" s="3298"/>
    </row>
    <row r="4696" spans="1:7" x14ac:dyDescent="0.3">
      <c r="A4696" s="11" t="s">
        <v>6720</v>
      </c>
      <c r="B4696" s="11"/>
      <c r="C4696" s="3004">
        <v>20</v>
      </c>
      <c r="D4696" s="3004">
        <v>1985340.5075349701</v>
      </c>
      <c r="E4696" s="3005">
        <v>1020829.89649989</v>
      </c>
      <c r="F4696" s="3006">
        <v>63.137121380550496</v>
      </c>
      <c r="G4696" s="3007">
        <v>27.662611532236301</v>
      </c>
    </row>
    <row r="4697" spans="1:7" x14ac:dyDescent="0.3">
      <c r="A4697" s="6" t="s">
        <v>6718</v>
      </c>
      <c r="B4697" s="6"/>
      <c r="C4697" s="3000">
        <v>3</v>
      </c>
      <c r="D4697" s="3000">
        <v>927880.98619969701</v>
      </c>
      <c r="E4697" s="3001">
        <v>709727.938763457</v>
      </c>
      <c r="F4697" s="3002">
        <v>29.508154510549801</v>
      </c>
      <c r="G4697" s="3003">
        <v>23.753498730456599</v>
      </c>
    </row>
    <row r="4698" spans="1:7" x14ac:dyDescent="0.3">
      <c r="A4698" s="11" t="s">
        <v>6721</v>
      </c>
      <c r="B4698" s="11"/>
      <c r="C4698" s="3004">
        <v>1</v>
      </c>
      <c r="D4698" s="3004">
        <v>127404.151631293</v>
      </c>
      <c r="E4698" s="3005">
        <v>128714.222526827</v>
      </c>
      <c r="F4698" s="3006">
        <v>4.0516633571933101</v>
      </c>
      <c r="G4698" s="3007">
        <v>4.5134942821808499</v>
      </c>
    </row>
    <row r="4699" spans="1:7" x14ac:dyDescent="0.3">
      <c r="A4699" s="6" t="s">
        <v>6578</v>
      </c>
      <c r="B4699" s="6"/>
      <c r="C4699" s="3000">
        <v>1</v>
      </c>
      <c r="D4699" s="3000">
        <v>103864.41709443901</v>
      </c>
      <c r="E4699" s="3001">
        <v>103951.27267384301</v>
      </c>
      <c r="F4699" s="3002">
        <v>3.3030607517064499</v>
      </c>
      <c r="G4699" s="3003">
        <v>3.8070048203415201</v>
      </c>
    </row>
    <row r="4700" spans="1:7" x14ac:dyDescent="0.3">
      <c r="A4700" s="11" t="s">
        <v>960</v>
      </c>
      <c r="B4700" s="11" t="s">
        <v>961</v>
      </c>
      <c r="C4700" s="3004">
        <v>59851</v>
      </c>
      <c r="D4700" s="3004">
        <v>8019942631.4915104</v>
      </c>
      <c r="E4700" s="3005">
        <v>108472940.43922</v>
      </c>
      <c r="F4700" s="3006">
        <v>100</v>
      </c>
      <c r="G4700" s="3007">
        <v>0</v>
      </c>
    </row>
    <row r="4701" spans="1:7" x14ac:dyDescent="0.3">
      <c r="A4701" s="6" t="s">
        <v>6269</v>
      </c>
      <c r="B4701" s="6" t="s">
        <v>6270</v>
      </c>
      <c r="C4701" s="3000">
        <v>25</v>
      </c>
      <c r="D4701" s="3000">
        <v>3144490.0624604002</v>
      </c>
      <c r="E4701" s="3001">
        <v>1206684.2706225901</v>
      </c>
      <c r="F4701" s="3002">
        <v>3.91930190314492E-2</v>
      </c>
      <c r="G4701" s="3003">
        <v>1.4778159009755701E-2</v>
      </c>
    </row>
    <row r="4702" spans="1:7" x14ac:dyDescent="0.3">
      <c r="A4702" s="11" t="s">
        <v>6269</v>
      </c>
      <c r="B4702" s="11" t="s">
        <v>6271</v>
      </c>
      <c r="C4702" s="3004">
        <v>59876</v>
      </c>
      <c r="D4702" s="3004">
        <v>8023087121.5539703</v>
      </c>
      <c r="E4702" s="3005">
        <v>0</v>
      </c>
      <c r="F4702" s="3006">
        <v>100</v>
      </c>
      <c r="G4702" s="3007">
        <v>0</v>
      </c>
    </row>
    <row r="4703" spans="1:7" x14ac:dyDescent="0.3">
      <c r="A4703" s="3299" t="s">
        <v>402</v>
      </c>
      <c r="B4703" s="3298"/>
      <c r="C4703" s="3298"/>
      <c r="D4703" s="3298"/>
      <c r="E4703" s="3298"/>
      <c r="F4703" s="3298"/>
      <c r="G4703" s="3298"/>
    </row>
    <row r="4704" spans="1:7" x14ac:dyDescent="0.3">
      <c r="A4704" s="11" t="s">
        <v>962</v>
      </c>
      <c r="B4704" s="11" t="s">
        <v>1039</v>
      </c>
      <c r="C4704" s="3012">
        <v>43063</v>
      </c>
      <c r="D4704" s="3012">
        <v>5142748921.4245996</v>
      </c>
      <c r="E4704" s="3013">
        <v>88474953.602880403</v>
      </c>
      <c r="F4704" s="3014">
        <v>64.099377752097098</v>
      </c>
      <c r="G4704" s="3015">
        <v>0.60716096272110298</v>
      </c>
    </row>
    <row r="4705" spans="1:7" x14ac:dyDescent="0.3">
      <c r="A4705" s="6" t="s">
        <v>964</v>
      </c>
      <c r="B4705" s="6" t="s">
        <v>1040</v>
      </c>
      <c r="C4705" s="3008">
        <v>16813</v>
      </c>
      <c r="D4705" s="3008">
        <v>2880338200.1291699</v>
      </c>
      <c r="E4705" s="3009">
        <v>59950845.264265299</v>
      </c>
      <c r="F4705" s="3010">
        <v>35.900622247902902</v>
      </c>
      <c r="G4705" s="3011">
        <v>0.60716096272109799</v>
      </c>
    </row>
    <row r="4706" spans="1:7" x14ac:dyDescent="0.3">
      <c r="A4706" s="11" t="s">
        <v>6269</v>
      </c>
      <c r="B4706" s="11" t="s">
        <v>6270</v>
      </c>
      <c r="C4706" s="3012">
        <v>59876</v>
      </c>
      <c r="D4706" s="3012">
        <v>8023087121.5537701</v>
      </c>
      <c r="E4706" s="3013">
        <v>109184500.79502299</v>
      </c>
      <c r="F4706" s="3014">
        <v>100</v>
      </c>
      <c r="G4706" s="3015">
        <v>1.02786679142825E-14</v>
      </c>
    </row>
    <row r="4707" spans="1:7" x14ac:dyDescent="0.3">
      <c r="A4707" s="6" t="s">
        <v>6269</v>
      </c>
      <c r="B4707" s="6" t="s">
        <v>6271</v>
      </c>
      <c r="C4707" s="3008">
        <v>59876</v>
      </c>
      <c r="D4707" s="3008">
        <v>8023087121.5537701</v>
      </c>
      <c r="E4707" s="3009">
        <v>0</v>
      </c>
      <c r="F4707" s="3010">
        <v>100</v>
      </c>
      <c r="G4707" s="3011">
        <v>0</v>
      </c>
    </row>
    <row r="4708" spans="1:7" x14ac:dyDescent="0.3">
      <c r="A4708" s="3299" t="s">
        <v>416</v>
      </c>
      <c r="B4708" s="3298"/>
      <c r="C4708" s="3298"/>
      <c r="D4708" s="3298"/>
      <c r="E4708" s="3298"/>
      <c r="F4708" s="3298"/>
      <c r="G4708" s="3298"/>
    </row>
    <row r="4709" spans="1:7" x14ac:dyDescent="0.3">
      <c r="A4709" s="11" t="s">
        <v>964</v>
      </c>
      <c r="B4709" s="11" t="s">
        <v>1040</v>
      </c>
      <c r="C4709" s="3020">
        <v>22572</v>
      </c>
      <c r="D4709" s="3020">
        <v>3669262365.3375702</v>
      </c>
      <c r="E4709" s="3021">
        <v>47391623.4898673</v>
      </c>
      <c r="F4709" s="3022">
        <v>52.364648898013698</v>
      </c>
      <c r="G4709" s="3023">
        <v>0.56803897562795502</v>
      </c>
    </row>
    <row r="4710" spans="1:7" x14ac:dyDescent="0.3">
      <c r="A4710" s="6" t="s">
        <v>962</v>
      </c>
      <c r="B4710" s="6" t="s">
        <v>1039</v>
      </c>
      <c r="C4710" s="3016">
        <v>26648</v>
      </c>
      <c r="D4710" s="3016">
        <v>3337874018.75982</v>
      </c>
      <c r="E4710" s="3017">
        <v>78785893.941934004</v>
      </c>
      <c r="F4710" s="3018">
        <v>47.635351101986302</v>
      </c>
      <c r="G4710" s="3019">
        <v>0.56803897562795402</v>
      </c>
    </row>
    <row r="4711" spans="1:7" x14ac:dyDescent="0.3">
      <c r="A4711" s="11" t="s">
        <v>960</v>
      </c>
      <c r="B4711" s="11" t="s">
        <v>961</v>
      </c>
      <c r="C4711" s="3020">
        <v>10656</v>
      </c>
      <c r="D4711" s="3020">
        <v>1015950737.45637</v>
      </c>
      <c r="E4711" s="3021">
        <v>34415127.808448903</v>
      </c>
      <c r="F4711" s="3022">
        <v>100</v>
      </c>
      <c r="G4711" s="3023">
        <v>0</v>
      </c>
    </row>
    <row r="4712" spans="1:7" x14ac:dyDescent="0.3">
      <c r="A4712" s="6" t="s">
        <v>6269</v>
      </c>
      <c r="B4712" s="6" t="s">
        <v>6270</v>
      </c>
      <c r="C4712" s="3016">
        <v>49220</v>
      </c>
      <c r="D4712" s="3016">
        <v>7007136384.0973902</v>
      </c>
      <c r="E4712" s="3017">
        <v>104611308.622168</v>
      </c>
      <c r="F4712" s="3018">
        <v>87.337159349459796</v>
      </c>
      <c r="G4712" s="3019">
        <v>0.41400141822786402</v>
      </c>
    </row>
    <row r="4713" spans="1:7" x14ac:dyDescent="0.3">
      <c r="A4713" s="11" t="s">
        <v>6269</v>
      </c>
      <c r="B4713" s="11" t="s">
        <v>6271</v>
      </c>
      <c r="C4713" s="3020">
        <v>59876</v>
      </c>
      <c r="D4713" s="3020">
        <v>8023087121.5537596</v>
      </c>
      <c r="E4713" s="3021">
        <v>0</v>
      </c>
      <c r="F4713" s="3022">
        <v>100</v>
      </c>
      <c r="G4713" s="3023">
        <v>0</v>
      </c>
    </row>
    <row r="4714" spans="1:7" x14ac:dyDescent="0.3">
      <c r="A4714" s="3299" t="s">
        <v>418</v>
      </c>
      <c r="B4714" s="3298"/>
      <c r="C4714" s="3298"/>
      <c r="D4714" s="3298"/>
      <c r="E4714" s="3298"/>
      <c r="F4714" s="3298"/>
      <c r="G4714" s="3298"/>
    </row>
    <row r="4715" spans="1:7" x14ac:dyDescent="0.3">
      <c r="A4715" s="11" t="s">
        <v>964</v>
      </c>
      <c r="B4715" s="11" t="s">
        <v>1040</v>
      </c>
      <c r="C4715" s="3028">
        <v>14179</v>
      </c>
      <c r="D4715" s="3028">
        <v>2828551566.5015101</v>
      </c>
      <c r="E4715" s="3029">
        <v>68378118.356055006</v>
      </c>
      <c r="F4715" s="3030">
        <v>58.608066245305203</v>
      </c>
      <c r="G4715" s="3031">
        <v>1.01803830842691</v>
      </c>
    </row>
    <row r="4716" spans="1:7" x14ac:dyDescent="0.3">
      <c r="A4716" s="6" t="s">
        <v>962</v>
      </c>
      <c r="B4716" s="6" t="s">
        <v>1039</v>
      </c>
      <c r="C4716" s="3024">
        <v>10796</v>
      </c>
      <c r="D4716" s="3024">
        <v>1997663914.93504</v>
      </c>
      <c r="E4716" s="3025">
        <v>70546962.916629106</v>
      </c>
      <c r="F4716" s="3026">
        <v>41.391933754694797</v>
      </c>
      <c r="G4716" s="3027">
        <v>1.01803830842692</v>
      </c>
    </row>
    <row r="4717" spans="1:7" x14ac:dyDescent="0.3">
      <c r="A4717" s="11" t="s">
        <v>960</v>
      </c>
      <c r="B4717" s="11" t="s">
        <v>961</v>
      </c>
      <c r="C4717" s="3028">
        <v>34901</v>
      </c>
      <c r="D4717" s="3028">
        <v>3196871640.1171799</v>
      </c>
      <c r="E4717" s="3029">
        <v>62941637.1233209</v>
      </c>
      <c r="F4717" s="3030">
        <v>100</v>
      </c>
      <c r="G4717" s="3031">
        <v>0</v>
      </c>
    </row>
    <row r="4718" spans="1:7" x14ac:dyDescent="0.3">
      <c r="A4718" s="6" t="s">
        <v>6269</v>
      </c>
      <c r="B4718" s="6" t="s">
        <v>6270</v>
      </c>
      <c r="C4718" s="3024">
        <v>24975</v>
      </c>
      <c r="D4718" s="3024">
        <v>4826215481.4365501</v>
      </c>
      <c r="E4718" s="3025">
        <v>99931959.272624403</v>
      </c>
      <c r="F4718" s="3026">
        <v>60.154095403888803</v>
      </c>
      <c r="G4718" s="3027">
        <v>0.739680264445438</v>
      </c>
    </row>
    <row r="4719" spans="1:7" x14ac:dyDescent="0.3">
      <c r="A4719" s="11" t="s">
        <v>6269</v>
      </c>
      <c r="B4719" s="11" t="s">
        <v>6271</v>
      </c>
      <c r="C4719" s="3028">
        <v>59876</v>
      </c>
      <c r="D4719" s="3028">
        <v>8023087121.55373</v>
      </c>
      <c r="E4719" s="3029">
        <v>0</v>
      </c>
      <c r="F4719" s="3030">
        <v>100</v>
      </c>
      <c r="G4719" s="3031">
        <v>0</v>
      </c>
    </row>
    <row r="4720" spans="1:7" x14ac:dyDescent="0.3">
      <c r="A4720" s="3299" t="s">
        <v>420</v>
      </c>
      <c r="B4720" s="3298"/>
      <c r="C4720" s="3298"/>
      <c r="D4720" s="3298"/>
      <c r="E4720" s="3298"/>
      <c r="F4720" s="3298"/>
      <c r="G4720" s="3298"/>
    </row>
    <row r="4721" spans="1:7" x14ac:dyDescent="0.3">
      <c r="A4721" s="11" t="s">
        <v>964</v>
      </c>
      <c r="B4721" s="11" t="s">
        <v>1040</v>
      </c>
      <c r="C4721" s="3036">
        <v>8653</v>
      </c>
      <c r="D4721" s="3036">
        <v>1931618034.12518</v>
      </c>
      <c r="E4721" s="3037">
        <v>56378382.446934298</v>
      </c>
      <c r="F4721" s="3038">
        <v>62.197824194395302</v>
      </c>
      <c r="G4721" s="3039">
        <v>1.06049638959071</v>
      </c>
    </row>
    <row r="4722" spans="1:7" x14ac:dyDescent="0.3">
      <c r="A4722" s="6" t="s">
        <v>962</v>
      </c>
      <c r="B4722" s="6" t="s">
        <v>1039</v>
      </c>
      <c r="C4722" s="3032">
        <v>6359</v>
      </c>
      <c r="D4722" s="3032">
        <v>1173985834.0873599</v>
      </c>
      <c r="E4722" s="3033">
        <v>38330517.744400501</v>
      </c>
      <c r="F4722" s="3034">
        <v>37.802175805604698</v>
      </c>
      <c r="G4722" s="3035">
        <v>1.06049638959071</v>
      </c>
    </row>
    <row r="4723" spans="1:7" x14ac:dyDescent="0.3">
      <c r="A4723" s="11" t="s">
        <v>960</v>
      </c>
      <c r="B4723" s="11" t="s">
        <v>961</v>
      </c>
      <c r="C4723" s="3036">
        <v>44864</v>
      </c>
      <c r="D4723" s="3036">
        <v>4917483253.3412399</v>
      </c>
      <c r="E4723" s="3037">
        <v>115386616.52772599</v>
      </c>
      <c r="F4723" s="3038">
        <v>100</v>
      </c>
      <c r="G4723" s="3039">
        <v>0</v>
      </c>
    </row>
    <row r="4724" spans="1:7" x14ac:dyDescent="0.3">
      <c r="A4724" s="6" t="s">
        <v>6269</v>
      </c>
      <c r="B4724" s="6" t="s">
        <v>6270</v>
      </c>
      <c r="C4724" s="3032">
        <v>15012</v>
      </c>
      <c r="D4724" s="3032">
        <v>3105603868.2125401</v>
      </c>
      <c r="E4724" s="3033">
        <v>66301092.502710499</v>
      </c>
      <c r="F4724" s="3034">
        <v>38.708340332855499</v>
      </c>
      <c r="G4724" s="3035">
        <v>0.88081715087338097</v>
      </c>
    </row>
    <row r="4725" spans="1:7" x14ac:dyDescent="0.3">
      <c r="A4725" s="11" t="s">
        <v>6269</v>
      </c>
      <c r="B4725" s="11" t="s">
        <v>6271</v>
      </c>
      <c r="C4725" s="3036">
        <v>59876</v>
      </c>
      <c r="D4725" s="3036">
        <v>8023087121.5537796</v>
      </c>
      <c r="E4725" s="3037">
        <v>0</v>
      </c>
      <c r="F4725" s="3038">
        <v>100</v>
      </c>
      <c r="G4725" s="3039">
        <v>0</v>
      </c>
    </row>
    <row r="4726" spans="1:7" x14ac:dyDescent="0.3">
      <c r="A4726" s="3299" t="s">
        <v>422</v>
      </c>
      <c r="B4726" s="3298"/>
      <c r="C4726" s="3298"/>
      <c r="D4726" s="3298"/>
      <c r="E4726" s="3298"/>
      <c r="F4726" s="3298"/>
      <c r="G4726" s="3298"/>
    </row>
    <row r="4727" spans="1:7" x14ac:dyDescent="0.3">
      <c r="A4727" s="11" t="s">
        <v>964</v>
      </c>
      <c r="B4727" s="11" t="s">
        <v>1040</v>
      </c>
      <c r="C4727" s="3044">
        <v>3524</v>
      </c>
      <c r="D4727" s="3044">
        <v>799406086.81502497</v>
      </c>
      <c r="E4727" s="3045">
        <v>63624273.269001201</v>
      </c>
      <c r="F4727" s="3046">
        <v>62.471176900275303</v>
      </c>
      <c r="G4727" s="3047">
        <v>0.94635903479610195</v>
      </c>
    </row>
    <row r="4728" spans="1:7" x14ac:dyDescent="0.3">
      <c r="A4728" s="6" t="s">
        <v>962</v>
      </c>
      <c r="B4728" s="6" t="s">
        <v>1039</v>
      </c>
      <c r="C4728" s="3040">
        <v>2468</v>
      </c>
      <c r="D4728" s="3040">
        <v>480233783.09032702</v>
      </c>
      <c r="E4728" s="3041">
        <v>33424157.761750299</v>
      </c>
      <c r="F4728" s="3042">
        <v>37.528823099724697</v>
      </c>
      <c r="G4728" s="3043">
        <v>0.94635903479609895</v>
      </c>
    </row>
    <row r="4729" spans="1:7" x14ac:dyDescent="0.3">
      <c r="A4729" s="11" t="s">
        <v>960</v>
      </c>
      <c r="B4729" s="11" t="s">
        <v>961</v>
      </c>
      <c r="C4729" s="3044">
        <v>53884</v>
      </c>
      <c r="D4729" s="3044">
        <v>6743447251.64851</v>
      </c>
      <c r="E4729" s="3045">
        <v>137992578.21573001</v>
      </c>
      <c r="F4729" s="3046">
        <v>100</v>
      </c>
      <c r="G4729" s="3047">
        <v>0</v>
      </c>
    </row>
    <row r="4730" spans="1:7" x14ac:dyDescent="0.3">
      <c r="A4730" s="6" t="s">
        <v>6269</v>
      </c>
      <c r="B4730" s="6" t="s">
        <v>6270</v>
      </c>
      <c r="C4730" s="3040">
        <v>5992</v>
      </c>
      <c r="D4730" s="3040">
        <v>1279639869.90535</v>
      </c>
      <c r="E4730" s="3041">
        <v>93978911.275383607</v>
      </c>
      <c r="F4730" s="3042">
        <v>15.949469954870899</v>
      </c>
      <c r="G4730" s="3043">
        <v>1.1736096362336199</v>
      </c>
    </row>
    <row r="4731" spans="1:7" x14ac:dyDescent="0.3">
      <c r="A4731" s="11" t="s">
        <v>6269</v>
      </c>
      <c r="B4731" s="11" t="s">
        <v>6271</v>
      </c>
      <c r="C4731" s="3044">
        <v>59876</v>
      </c>
      <c r="D4731" s="3044">
        <v>8023087121.5538597</v>
      </c>
      <c r="E4731" s="3045">
        <v>0</v>
      </c>
      <c r="F4731" s="3046">
        <v>100</v>
      </c>
      <c r="G4731" s="3047">
        <v>0</v>
      </c>
    </row>
    <row r="4732" spans="1:7" x14ac:dyDescent="0.3">
      <c r="A4732" s="3299" t="s">
        <v>424</v>
      </c>
      <c r="B4732" s="3298"/>
      <c r="C4732" s="3298"/>
      <c r="D4732" s="3298"/>
      <c r="E4732" s="3298"/>
      <c r="F4732" s="3298"/>
      <c r="G4732" s="3298"/>
    </row>
    <row r="4733" spans="1:7" x14ac:dyDescent="0.3">
      <c r="A4733" s="11" t="s">
        <v>964</v>
      </c>
      <c r="B4733" s="11" t="s">
        <v>1040</v>
      </c>
      <c r="C4733" s="3052">
        <v>1201</v>
      </c>
      <c r="D4733" s="3052">
        <v>333622291.72188503</v>
      </c>
      <c r="E4733" s="3053">
        <v>36702862.1571652</v>
      </c>
      <c r="F4733" s="3054">
        <v>66.775563899549596</v>
      </c>
      <c r="G4733" s="3055">
        <v>3.7237754351325498</v>
      </c>
    </row>
    <row r="4734" spans="1:7" x14ac:dyDescent="0.3">
      <c r="A4734" s="6" t="s">
        <v>962</v>
      </c>
      <c r="B4734" s="6" t="s">
        <v>1039</v>
      </c>
      <c r="C4734" s="3048">
        <v>690</v>
      </c>
      <c r="D4734" s="3048">
        <v>165995041.68431899</v>
      </c>
      <c r="E4734" s="3049">
        <v>31297396.7489838</v>
      </c>
      <c r="F4734" s="3050">
        <v>33.224436100450497</v>
      </c>
      <c r="G4734" s="3051">
        <v>3.7237754351325498</v>
      </c>
    </row>
    <row r="4735" spans="1:7" x14ac:dyDescent="0.3">
      <c r="A4735" s="11" t="s">
        <v>960</v>
      </c>
      <c r="B4735" s="11" t="s">
        <v>961</v>
      </c>
      <c r="C4735" s="3052">
        <v>57985</v>
      </c>
      <c r="D4735" s="3052">
        <v>7523469788.1477404</v>
      </c>
      <c r="E4735" s="3053">
        <v>122830336.907951</v>
      </c>
      <c r="F4735" s="3054">
        <v>100</v>
      </c>
      <c r="G4735" s="3055">
        <v>0</v>
      </c>
    </row>
    <row r="4736" spans="1:7" x14ac:dyDescent="0.3">
      <c r="A4736" s="6" t="s">
        <v>6269</v>
      </c>
      <c r="B4736" s="6" t="s">
        <v>6270</v>
      </c>
      <c r="C4736" s="3048">
        <v>1891</v>
      </c>
      <c r="D4736" s="3048">
        <v>499617333.40620399</v>
      </c>
      <c r="E4736" s="3049">
        <v>59548900.065790102</v>
      </c>
      <c r="F4736" s="3050">
        <v>6.2272455207919499</v>
      </c>
      <c r="G4736" s="3051">
        <v>0.74260140084722204</v>
      </c>
    </row>
    <row r="4737" spans="1:7" x14ac:dyDescent="0.3">
      <c r="A4737" s="11" t="s">
        <v>6269</v>
      </c>
      <c r="B4737" s="11" t="s">
        <v>6271</v>
      </c>
      <c r="C4737" s="3052">
        <v>59876</v>
      </c>
      <c r="D4737" s="3052">
        <v>8023087121.5539398</v>
      </c>
      <c r="E4737" s="3053">
        <v>0</v>
      </c>
      <c r="F4737" s="3054">
        <v>100</v>
      </c>
      <c r="G4737" s="3055">
        <v>0</v>
      </c>
    </row>
    <row r="4738" spans="1:7" x14ac:dyDescent="0.3">
      <c r="A4738" s="3299" t="s">
        <v>426</v>
      </c>
      <c r="B4738" s="3298"/>
      <c r="C4738" s="3298"/>
      <c r="D4738" s="3298"/>
      <c r="E4738" s="3298"/>
      <c r="F4738" s="3298"/>
      <c r="G4738" s="3298"/>
    </row>
    <row r="4739" spans="1:7" x14ac:dyDescent="0.3">
      <c r="A4739" s="11" t="s">
        <v>964</v>
      </c>
      <c r="B4739" s="11" t="s">
        <v>1040</v>
      </c>
      <c r="C4739" s="3060">
        <v>509</v>
      </c>
      <c r="D4739" s="3060">
        <v>141770307.06942999</v>
      </c>
      <c r="E4739" s="3061">
        <v>25523271.484963901</v>
      </c>
      <c r="F4739" s="3062">
        <v>71.052572177838996</v>
      </c>
      <c r="G4739" s="3063">
        <v>5.2830399935905996</v>
      </c>
    </row>
    <row r="4740" spans="1:7" x14ac:dyDescent="0.3">
      <c r="A4740" s="6" t="s">
        <v>962</v>
      </c>
      <c r="B4740" s="6" t="s">
        <v>1039</v>
      </c>
      <c r="C4740" s="3056">
        <v>228</v>
      </c>
      <c r="D4740" s="3056">
        <v>57758440.059653401</v>
      </c>
      <c r="E4740" s="3057">
        <v>13821995.863299999</v>
      </c>
      <c r="F4740" s="3058">
        <v>28.947427822161</v>
      </c>
      <c r="G4740" s="3059">
        <v>5.2830399935905898</v>
      </c>
    </row>
    <row r="4741" spans="1:7" x14ac:dyDescent="0.3">
      <c r="A4741" s="11" t="s">
        <v>960</v>
      </c>
      <c r="B4741" s="11" t="s">
        <v>961</v>
      </c>
      <c r="C4741" s="3060">
        <v>59139</v>
      </c>
      <c r="D4741" s="3060">
        <v>7823558374.4249001</v>
      </c>
      <c r="E4741" s="3061">
        <v>97318295.596801803</v>
      </c>
      <c r="F4741" s="3062">
        <v>100</v>
      </c>
      <c r="G4741" s="3063">
        <v>0</v>
      </c>
    </row>
    <row r="4742" spans="1:7" x14ac:dyDescent="0.3">
      <c r="A4742" s="6" t="s">
        <v>6269</v>
      </c>
      <c r="B4742" s="6" t="s">
        <v>6270</v>
      </c>
      <c r="C4742" s="3056">
        <v>737</v>
      </c>
      <c r="D4742" s="3056">
        <v>199528747.12908301</v>
      </c>
      <c r="E4742" s="3057">
        <v>33043407.615662102</v>
      </c>
      <c r="F4742" s="3058">
        <v>2.4869323255016198</v>
      </c>
      <c r="G4742" s="3059">
        <v>0.39697522078425501</v>
      </c>
    </row>
    <row r="4743" spans="1:7" x14ac:dyDescent="0.3">
      <c r="A4743" s="11" t="s">
        <v>6269</v>
      </c>
      <c r="B4743" s="11" t="s">
        <v>6271</v>
      </c>
      <c r="C4743" s="3060">
        <v>59876</v>
      </c>
      <c r="D4743" s="3060">
        <v>8023087121.5539799</v>
      </c>
      <c r="E4743" s="3061">
        <v>0</v>
      </c>
      <c r="F4743" s="3062">
        <v>100</v>
      </c>
      <c r="G4743" s="3063">
        <v>0</v>
      </c>
    </row>
    <row r="4744" spans="1:7" x14ac:dyDescent="0.3">
      <c r="A4744" s="3299" t="s">
        <v>428</v>
      </c>
      <c r="B4744" s="3298"/>
      <c r="C4744" s="3298"/>
      <c r="D4744" s="3298"/>
      <c r="E4744" s="3298"/>
      <c r="F4744" s="3298"/>
      <c r="G4744" s="3298"/>
    </row>
    <row r="4745" spans="1:7" x14ac:dyDescent="0.3">
      <c r="A4745" s="11" t="s">
        <v>964</v>
      </c>
      <c r="B4745" s="11" t="s">
        <v>1040</v>
      </c>
      <c r="C4745" s="3068">
        <v>239</v>
      </c>
      <c r="D4745" s="3068">
        <v>45938424.2430503</v>
      </c>
      <c r="E4745" s="3069">
        <v>12147777.966855399</v>
      </c>
      <c r="F4745" s="3070">
        <v>72.3711729303091</v>
      </c>
      <c r="G4745" s="3071">
        <v>12.025326573877001</v>
      </c>
    </row>
    <row r="4746" spans="1:7" x14ac:dyDescent="0.3">
      <c r="A4746" s="6" t="s">
        <v>962</v>
      </c>
      <c r="B4746" s="6" t="s">
        <v>1039</v>
      </c>
      <c r="C4746" s="3064">
        <v>59</v>
      </c>
      <c r="D4746" s="3064">
        <v>17537711.879943501</v>
      </c>
      <c r="E4746" s="3065">
        <v>10115171.918201201</v>
      </c>
      <c r="F4746" s="3066">
        <v>27.6288270696909</v>
      </c>
      <c r="G4746" s="3067">
        <v>12.025326573877001</v>
      </c>
    </row>
    <row r="4747" spans="1:7" x14ac:dyDescent="0.3">
      <c r="A4747" s="11" t="s">
        <v>960</v>
      </c>
      <c r="B4747" s="11" t="s">
        <v>961</v>
      </c>
      <c r="C4747" s="3068">
        <v>59578</v>
      </c>
      <c r="D4747" s="3068">
        <v>7959610985.4309902</v>
      </c>
      <c r="E4747" s="3069">
        <v>102374784.753664</v>
      </c>
      <c r="F4747" s="3070">
        <v>100</v>
      </c>
      <c r="G4747" s="3071">
        <v>0</v>
      </c>
    </row>
    <row r="4748" spans="1:7" x14ac:dyDescent="0.3">
      <c r="A4748" s="6" t="s">
        <v>6269</v>
      </c>
      <c r="B4748" s="6" t="s">
        <v>6270</v>
      </c>
      <c r="C4748" s="3064">
        <v>298</v>
      </c>
      <c r="D4748" s="3064">
        <v>63476136.122993797</v>
      </c>
      <c r="E4748" s="3065">
        <v>20149242.723137099</v>
      </c>
      <c r="F4748" s="3066">
        <v>0.79116847618998798</v>
      </c>
      <c r="G4748" s="3067">
        <v>0.247157133899333</v>
      </c>
    </row>
    <row r="4749" spans="1:7" x14ac:dyDescent="0.3">
      <c r="A4749" s="11" t="s">
        <v>6269</v>
      </c>
      <c r="B4749" s="11" t="s">
        <v>6271</v>
      </c>
      <c r="C4749" s="3068">
        <v>59876</v>
      </c>
      <c r="D4749" s="3068">
        <v>8023087121.5539799</v>
      </c>
      <c r="E4749" s="3069">
        <v>0</v>
      </c>
      <c r="F4749" s="3070">
        <v>100</v>
      </c>
      <c r="G4749" s="3071">
        <v>0</v>
      </c>
    </row>
    <row r="4750" spans="1:7" x14ac:dyDescent="0.3">
      <c r="A4750" s="3299" t="s">
        <v>430</v>
      </c>
      <c r="B4750" s="3298"/>
      <c r="C4750" s="3298"/>
      <c r="D4750" s="3298"/>
      <c r="E4750" s="3298"/>
      <c r="F4750" s="3298"/>
      <c r="G4750" s="3298"/>
    </row>
    <row r="4751" spans="1:7" x14ac:dyDescent="0.3">
      <c r="A4751" s="11" t="s">
        <v>962</v>
      </c>
      <c r="B4751" s="11" t="s">
        <v>1039</v>
      </c>
      <c r="C4751" s="3076">
        <v>9</v>
      </c>
      <c r="D4751" s="3076">
        <v>1180658.10556846</v>
      </c>
      <c r="E4751" s="3077">
        <v>1186750.50238682</v>
      </c>
      <c r="F4751" s="3078">
        <v>54.967721910845398</v>
      </c>
      <c r="G4751" s="3079" t="e">
        <v>#NUM!</v>
      </c>
    </row>
    <row r="4752" spans="1:7" x14ac:dyDescent="0.3">
      <c r="A4752" s="6" t="s">
        <v>964</v>
      </c>
      <c r="B4752" s="6" t="s">
        <v>1040</v>
      </c>
      <c r="C4752" s="3072">
        <v>7</v>
      </c>
      <c r="D4752" s="3072">
        <v>967253.54971793003</v>
      </c>
      <c r="E4752" s="3073">
        <v>969400.19129067205</v>
      </c>
      <c r="F4752" s="3074">
        <v>45.032278089154602</v>
      </c>
      <c r="G4752" s="3075" t="e">
        <v>#NUM!</v>
      </c>
    </row>
    <row r="4753" spans="1:7" x14ac:dyDescent="0.3">
      <c r="A4753" s="11" t="s">
        <v>960</v>
      </c>
      <c r="B4753" s="11" t="s">
        <v>961</v>
      </c>
      <c r="C4753" s="3076">
        <v>59860</v>
      </c>
      <c r="D4753" s="3076">
        <v>8020939209.8986902</v>
      </c>
      <c r="E4753" s="3077">
        <v>109833647.238809</v>
      </c>
      <c r="F4753" s="3078">
        <v>100</v>
      </c>
      <c r="G4753" s="3079">
        <v>0</v>
      </c>
    </row>
    <row r="4754" spans="1:7" x14ac:dyDescent="0.3">
      <c r="A4754" s="6" t="s">
        <v>6269</v>
      </c>
      <c r="B4754" s="6" t="s">
        <v>6270</v>
      </c>
      <c r="C4754" s="3072">
        <v>16</v>
      </c>
      <c r="D4754" s="3072">
        <v>2147911.6552863899</v>
      </c>
      <c r="E4754" s="3073">
        <v>2155938.5264082402</v>
      </c>
      <c r="F4754" s="3074">
        <v>2.67716356901577E-2</v>
      </c>
      <c r="G4754" s="3075">
        <v>2.6892610351640801E-2</v>
      </c>
    </row>
    <row r="4755" spans="1:7" x14ac:dyDescent="0.3">
      <c r="A4755" s="11" t="s">
        <v>6269</v>
      </c>
      <c r="B4755" s="11" t="s">
        <v>6271</v>
      </c>
      <c r="C4755" s="3076">
        <v>59876</v>
      </c>
      <c r="D4755" s="3076">
        <v>8023087121.5539703</v>
      </c>
      <c r="E4755" s="3077">
        <v>0</v>
      </c>
      <c r="F4755" s="3078">
        <v>100</v>
      </c>
      <c r="G4755" s="3079">
        <v>0</v>
      </c>
    </row>
    <row r="4756" spans="1:7" x14ac:dyDescent="0.3">
      <c r="A4756" s="3299" t="s">
        <v>404</v>
      </c>
      <c r="B4756" s="3298"/>
      <c r="C4756" s="3298"/>
      <c r="D4756" s="3298"/>
      <c r="E4756" s="3298"/>
      <c r="F4756" s="3298"/>
      <c r="G4756" s="3298"/>
    </row>
    <row r="4757" spans="1:7" x14ac:dyDescent="0.3">
      <c r="A4757" s="11" t="s">
        <v>964</v>
      </c>
      <c r="B4757" s="11" t="s">
        <v>1040</v>
      </c>
      <c r="C4757" s="3084">
        <v>14</v>
      </c>
      <c r="D4757" s="3084">
        <v>1867196.7330205101</v>
      </c>
      <c r="E4757" s="3085">
        <v>1874869.7515364899</v>
      </c>
      <c r="F4757" s="3086">
        <v>86.930797569118297</v>
      </c>
      <c r="G4757" s="3087" t="e">
        <v>#NUM!</v>
      </c>
    </row>
    <row r="4758" spans="1:7" x14ac:dyDescent="0.3">
      <c r="A4758" s="6" t="s">
        <v>962</v>
      </c>
      <c r="B4758" s="6" t="s">
        <v>1039</v>
      </c>
      <c r="C4758" s="3080">
        <v>2</v>
      </c>
      <c r="D4758" s="3080">
        <v>280714.92226587998</v>
      </c>
      <c r="E4758" s="3081">
        <v>281176.36272504798</v>
      </c>
      <c r="F4758" s="3082">
        <v>13.069202430881701</v>
      </c>
      <c r="G4758" s="3083" t="e">
        <v>#NUM!</v>
      </c>
    </row>
    <row r="4759" spans="1:7" x14ac:dyDescent="0.3">
      <c r="A4759" s="11" t="s">
        <v>960</v>
      </c>
      <c r="B4759" s="11" t="s">
        <v>961</v>
      </c>
      <c r="C4759" s="3084">
        <v>59860</v>
      </c>
      <c r="D4759" s="3084">
        <v>8020939209.8986902</v>
      </c>
      <c r="E4759" s="3085">
        <v>109833647.238809</v>
      </c>
      <c r="F4759" s="3086">
        <v>100</v>
      </c>
      <c r="G4759" s="3087">
        <v>0</v>
      </c>
    </row>
    <row r="4760" spans="1:7" x14ac:dyDescent="0.3">
      <c r="A4760" s="6" t="s">
        <v>6269</v>
      </c>
      <c r="B4760" s="6" t="s">
        <v>6270</v>
      </c>
      <c r="C4760" s="3080">
        <v>16</v>
      </c>
      <c r="D4760" s="3080">
        <v>2147911.6552863899</v>
      </c>
      <c r="E4760" s="3081">
        <v>2155938.5264082402</v>
      </c>
      <c r="F4760" s="3082">
        <v>2.67716356901577E-2</v>
      </c>
      <c r="G4760" s="3083">
        <v>2.6892610351640801E-2</v>
      </c>
    </row>
    <row r="4761" spans="1:7" x14ac:dyDescent="0.3">
      <c r="A4761" s="11" t="s">
        <v>6269</v>
      </c>
      <c r="B4761" s="11" t="s">
        <v>6271</v>
      </c>
      <c r="C4761" s="3084">
        <v>59876</v>
      </c>
      <c r="D4761" s="3084">
        <v>8023087121.5539703</v>
      </c>
      <c r="E4761" s="3085">
        <v>0</v>
      </c>
      <c r="F4761" s="3086">
        <v>100</v>
      </c>
      <c r="G4761" s="3087">
        <v>0</v>
      </c>
    </row>
    <row r="4762" spans="1:7" x14ac:dyDescent="0.3">
      <c r="A4762" s="3299" t="s">
        <v>406</v>
      </c>
      <c r="B4762" s="3298"/>
      <c r="C4762" s="3298"/>
      <c r="D4762" s="3298"/>
      <c r="E4762" s="3298"/>
      <c r="F4762" s="3298"/>
      <c r="G4762" s="3298"/>
    </row>
    <row r="4763" spans="1:7" x14ac:dyDescent="0.3">
      <c r="A4763" s="11" t="s">
        <v>960</v>
      </c>
      <c r="B4763" s="11" t="s">
        <v>961</v>
      </c>
      <c r="C4763" s="3092">
        <v>59876</v>
      </c>
      <c r="D4763" s="3092">
        <v>8023087121.5539703</v>
      </c>
      <c r="E4763" s="3093">
        <v>109184500.79505099</v>
      </c>
      <c r="F4763" s="3094">
        <v>100</v>
      </c>
      <c r="G4763" s="3095">
        <v>0</v>
      </c>
    </row>
    <row r="4764" spans="1:7" x14ac:dyDescent="0.3">
      <c r="A4764" s="6" t="s">
        <v>6269</v>
      </c>
      <c r="B4764" s="6" t="s">
        <v>6270</v>
      </c>
      <c r="C4764" s="3088">
        <v>0</v>
      </c>
      <c r="D4764" s="3088">
        <v>0</v>
      </c>
      <c r="E4764" s="3089">
        <v>0</v>
      </c>
      <c r="F4764" s="3090">
        <v>0</v>
      </c>
      <c r="G4764" s="3091">
        <v>0</v>
      </c>
    </row>
    <row r="4765" spans="1:7" x14ac:dyDescent="0.3">
      <c r="A4765" s="11" t="s">
        <v>6269</v>
      </c>
      <c r="B4765" s="11" t="s">
        <v>6271</v>
      </c>
      <c r="C4765" s="3092">
        <v>59876</v>
      </c>
      <c r="D4765" s="3092">
        <v>8023087121.5539703</v>
      </c>
      <c r="E4765" s="3093">
        <v>0</v>
      </c>
      <c r="F4765" s="3094">
        <v>100</v>
      </c>
      <c r="G4765" s="3095">
        <v>0</v>
      </c>
    </row>
    <row r="4766" spans="1:7" x14ac:dyDescent="0.3">
      <c r="A4766" s="3299" t="s">
        <v>408</v>
      </c>
      <c r="B4766" s="3298"/>
      <c r="C4766" s="3298"/>
      <c r="D4766" s="3298"/>
      <c r="E4766" s="3298"/>
      <c r="F4766" s="3298"/>
      <c r="G4766" s="3298"/>
    </row>
    <row r="4767" spans="1:7" x14ac:dyDescent="0.3">
      <c r="A4767" s="11" t="s">
        <v>960</v>
      </c>
      <c r="B4767" s="11" t="s">
        <v>961</v>
      </c>
      <c r="C4767" s="3100">
        <v>59876</v>
      </c>
      <c r="D4767" s="3100">
        <v>8023087121.5539703</v>
      </c>
      <c r="E4767" s="3101">
        <v>109184500.79505099</v>
      </c>
      <c r="F4767" s="3102">
        <v>100</v>
      </c>
      <c r="G4767" s="3103">
        <v>0</v>
      </c>
    </row>
    <row r="4768" spans="1:7" x14ac:dyDescent="0.3">
      <c r="A4768" s="6" t="s">
        <v>6269</v>
      </c>
      <c r="B4768" s="6" t="s">
        <v>6270</v>
      </c>
      <c r="C4768" s="3096">
        <v>0</v>
      </c>
      <c r="D4768" s="3096">
        <v>0</v>
      </c>
      <c r="E4768" s="3097">
        <v>0</v>
      </c>
      <c r="F4768" s="3098">
        <v>0</v>
      </c>
      <c r="G4768" s="3099">
        <v>0</v>
      </c>
    </row>
    <row r="4769" spans="1:7" x14ac:dyDescent="0.3">
      <c r="A4769" s="11" t="s">
        <v>6269</v>
      </c>
      <c r="B4769" s="11" t="s">
        <v>6271</v>
      </c>
      <c r="C4769" s="3100">
        <v>59876</v>
      </c>
      <c r="D4769" s="3100">
        <v>8023087121.5539703</v>
      </c>
      <c r="E4769" s="3101">
        <v>0</v>
      </c>
      <c r="F4769" s="3102">
        <v>100</v>
      </c>
      <c r="G4769" s="3103">
        <v>0</v>
      </c>
    </row>
    <row r="4770" spans="1:7" x14ac:dyDescent="0.3">
      <c r="A4770" s="3299" t="s">
        <v>410</v>
      </c>
      <c r="B4770" s="3298"/>
      <c r="C4770" s="3298"/>
      <c r="D4770" s="3298"/>
      <c r="E4770" s="3298"/>
      <c r="F4770" s="3298"/>
      <c r="G4770" s="3298"/>
    </row>
    <row r="4771" spans="1:7" x14ac:dyDescent="0.3">
      <c r="A4771" s="11" t="s">
        <v>960</v>
      </c>
      <c r="B4771" s="11" t="s">
        <v>961</v>
      </c>
      <c r="C4771" s="3108">
        <v>59876</v>
      </c>
      <c r="D4771" s="3108">
        <v>8023087121.5539703</v>
      </c>
      <c r="E4771" s="3109">
        <v>109184500.79505099</v>
      </c>
      <c r="F4771" s="3110">
        <v>100</v>
      </c>
      <c r="G4771" s="3111">
        <v>0</v>
      </c>
    </row>
    <row r="4772" spans="1:7" x14ac:dyDescent="0.3">
      <c r="A4772" s="6" t="s">
        <v>6269</v>
      </c>
      <c r="B4772" s="6" t="s">
        <v>6270</v>
      </c>
      <c r="C4772" s="3104">
        <v>0</v>
      </c>
      <c r="D4772" s="3104">
        <v>0</v>
      </c>
      <c r="E4772" s="3105">
        <v>0</v>
      </c>
      <c r="F4772" s="3106">
        <v>0</v>
      </c>
      <c r="G4772" s="3107">
        <v>0</v>
      </c>
    </row>
    <row r="4773" spans="1:7" x14ac:dyDescent="0.3">
      <c r="A4773" s="11" t="s">
        <v>6269</v>
      </c>
      <c r="B4773" s="11" t="s">
        <v>6271</v>
      </c>
      <c r="C4773" s="3108">
        <v>59876</v>
      </c>
      <c r="D4773" s="3108">
        <v>8023087121.5539703</v>
      </c>
      <c r="E4773" s="3109">
        <v>0</v>
      </c>
      <c r="F4773" s="3110">
        <v>100</v>
      </c>
      <c r="G4773" s="3111">
        <v>0</v>
      </c>
    </row>
    <row r="4774" spans="1:7" x14ac:dyDescent="0.3">
      <c r="A4774" s="3299" t="s">
        <v>412</v>
      </c>
      <c r="B4774" s="3298"/>
      <c r="C4774" s="3298"/>
      <c r="D4774" s="3298"/>
      <c r="E4774" s="3298"/>
      <c r="F4774" s="3298"/>
      <c r="G4774" s="3298"/>
    </row>
    <row r="4775" spans="1:7" x14ac:dyDescent="0.3">
      <c r="A4775" s="11" t="s">
        <v>960</v>
      </c>
      <c r="B4775" s="11" t="s">
        <v>961</v>
      </c>
      <c r="C4775" s="3116">
        <v>59876</v>
      </c>
      <c r="D4775" s="3116">
        <v>8023087121.5539703</v>
      </c>
      <c r="E4775" s="3117">
        <v>109184500.79505099</v>
      </c>
      <c r="F4775" s="3118">
        <v>100</v>
      </c>
      <c r="G4775" s="3119">
        <v>0</v>
      </c>
    </row>
    <row r="4776" spans="1:7" x14ac:dyDescent="0.3">
      <c r="A4776" s="6" t="s">
        <v>6269</v>
      </c>
      <c r="B4776" s="6" t="s">
        <v>6270</v>
      </c>
      <c r="C4776" s="3112">
        <v>0</v>
      </c>
      <c r="D4776" s="3112">
        <v>0</v>
      </c>
      <c r="E4776" s="3113">
        <v>0</v>
      </c>
      <c r="F4776" s="3114">
        <v>0</v>
      </c>
      <c r="G4776" s="3115">
        <v>0</v>
      </c>
    </row>
    <row r="4777" spans="1:7" x14ac:dyDescent="0.3">
      <c r="A4777" s="11" t="s">
        <v>6269</v>
      </c>
      <c r="B4777" s="11" t="s">
        <v>6271</v>
      </c>
      <c r="C4777" s="3116">
        <v>59876</v>
      </c>
      <c r="D4777" s="3116">
        <v>8023087121.5539703</v>
      </c>
      <c r="E4777" s="3117">
        <v>0</v>
      </c>
      <c r="F4777" s="3118">
        <v>100</v>
      </c>
      <c r="G4777" s="3119">
        <v>0</v>
      </c>
    </row>
    <row r="4778" spans="1:7" x14ac:dyDescent="0.3">
      <c r="A4778" s="3299" t="s">
        <v>414</v>
      </c>
      <c r="B4778" s="3298"/>
      <c r="C4778" s="3298"/>
      <c r="D4778" s="3298"/>
      <c r="E4778" s="3298"/>
      <c r="F4778" s="3298"/>
      <c r="G4778" s="3298"/>
    </row>
    <row r="4779" spans="1:7" x14ac:dyDescent="0.3">
      <c r="A4779" s="11" t="s">
        <v>960</v>
      </c>
      <c r="B4779" s="11" t="s">
        <v>961</v>
      </c>
      <c r="C4779" s="3124">
        <v>59876</v>
      </c>
      <c r="D4779" s="3124">
        <v>8023087121.5539703</v>
      </c>
      <c r="E4779" s="3125">
        <v>109184500.79505099</v>
      </c>
      <c r="F4779" s="3126">
        <v>100</v>
      </c>
      <c r="G4779" s="3127">
        <v>0</v>
      </c>
    </row>
    <row r="4780" spans="1:7" x14ac:dyDescent="0.3">
      <c r="A4780" s="6" t="s">
        <v>6269</v>
      </c>
      <c r="B4780" s="6" t="s">
        <v>6270</v>
      </c>
      <c r="C4780" s="3120">
        <v>0</v>
      </c>
      <c r="D4780" s="3120">
        <v>0</v>
      </c>
      <c r="E4780" s="3121">
        <v>0</v>
      </c>
      <c r="F4780" s="3122">
        <v>0</v>
      </c>
      <c r="G4780" s="3123">
        <v>0</v>
      </c>
    </row>
    <row r="4781" spans="1:7" x14ac:dyDescent="0.3">
      <c r="A4781" s="11" t="s">
        <v>6269</v>
      </c>
      <c r="B4781" s="11" t="s">
        <v>6271</v>
      </c>
      <c r="C4781" s="3124">
        <v>59876</v>
      </c>
      <c r="D4781" s="3124">
        <v>8023087121.5539703</v>
      </c>
      <c r="E4781" s="3125">
        <v>0</v>
      </c>
      <c r="F4781" s="3126">
        <v>100</v>
      </c>
      <c r="G4781" s="3127">
        <v>0</v>
      </c>
    </row>
    <row r="4782" spans="1:7" x14ac:dyDescent="0.3">
      <c r="A4782" s="3299" t="s">
        <v>600</v>
      </c>
      <c r="B4782" s="3298"/>
      <c r="C4782" s="3298"/>
      <c r="D4782" s="3298"/>
      <c r="E4782" s="3298"/>
      <c r="F4782" s="3298"/>
      <c r="G4782" s="3298"/>
    </row>
    <row r="4783" spans="1:7" x14ac:dyDescent="0.3">
      <c r="A4783" s="11" t="s">
        <v>6269</v>
      </c>
      <c r="B4783" s="11" t="s">
        <v>6270</v>
      </c>
      <c r="C4783" s="3132">
        <v>50317</v>
      </c>
      <c r="D4783" s="3132">
        <v>8023087121.5538101</v>
      </c>
      <c r="E4783" s="3133">
        <v>109184500.795013</v>
      </c>
      <c r="F4783" s="3134">
        <v>100</v>
      </c>
      <c r="G4783" s="3135">
        <v>1.02786679142825E-14</v>
      </c>
    </row>
    <row r="4784" spans="1:7" x14ac:dyDescent="0.3">
      <c r="A4784" s="6" t="s">
        <v>6269</v>
      </c>
      <c r="B4784" s="6" t="s">
        <v>6271</v>
      </c>
      <c r="C4784" s="3128">
        <v>50317</v>
      </c>
      <c r="D4784" s="3128">
        <v>8023087121.5538101</v>
      </c>
      <c r="E4784" s="3129">
        <v>0</v>
      </c>
      <c r="F4784" s="3130">
        <v>100</v>
      </c>
      <c r="G4784" s="3131">
        <v>0</v>
      </c>
    </row>
    <row r="4785" spans="1:7" x14ac:dyDescent="0.3">
      <c r="A4785" s="3297" t="s">
        <v>1038</v>
      </c>
      <c r="B4785" s="3298"/>
      <c r="C4785" s="3298"/>
      <c r="D4785" s="3298"/>
      <c r="E4785" s="3298"/>
      <c r="F4785" s="3298"/>
      <c r="G4785" s="3298"/>
    </row>
    <row r="4786" spans="1:7" x14ac:dyDescent="0.3">
      <c r="A4786" s="3299" t="s">
        <v>273</v>
      </c>
      <c r="B4786" s="3298"/>
      <c r="C4786" s="3298"/>
      <c r="D4786" s="3298"/>
      <c r="E4786" s="3298"/>
      <c r="F4786" s="3298"/>
      <c r="G4786" s="3298"/>
    </row>
    <row r="4787" spans="1:7" x14ac:dyDescent="0.3">
      <c r="A4787" s="11" t="s">
        <v>6269</v>
      </c>
      <c r="B4787" s="11" t="s">
        <v>6270</v>
      </c>
      <c r="C4787" s="3140">
        <v>33666</v>
      </c>
      <c r="D4787" s="3140"/>
      <c r="E4787" s="3141"/>
      <c r="F4787" s="3142"/>
      <c r="G4787" s="3143"/>
    </row>
    <row r="4788" spans="1:7" x14ac:dyDescent="0.3">
      <c r="A4788" s="6" t="s">
        <v>6269</v>
      </c>
      <c r="B4788" s="6" t="s">
        <v>6271</v>
      </c>
      <c r="C4788" s="3136">
        <v>33666</v>
      </c>
      <c r="D4788" s="3136"/>
      <c r="E4788" s="3137">
        <v>0</v>
      </c>
      <c r="F4788" s="3138">
        <v>100</v>
      </c>
      <c r="G4788" s="3139">
        <v>0</v>
      </c>
    </row>
    <row r="4789" spans="1:7" x14ac:dyDescent="0.3">
      <c r="A4789" s="3299" t="s">
        <v>317</v>
      </c>
      <c r="B4789" s="3298"/>
      <c r="C4789" s="3298"/>
      <c r="D4789" s="3298"/>
      <c r="E4789" s="3298"/>
      <c r="F4789" s="3298"/>
      <c r="G4789" s="3298"/>
    </row>
    <row r="4790" spans="1:7" x14ac:dyDescent="0.3">
      <c r="A4790" s="11" t="s">
        <v>4286</v>
      </c>
      <c r="B4790" s="11"/>
      <c r="C4790" s="3148">
        <v>8631</v>
      </c>
      <c r="D4790" s="3148"/>
      <c r="E4790" s="3149"/>
      <c r="F4790" s="3150"/>
      <c r="G4790" s="3151"/>
    </row>
    <row r="4791" spans="1:7" x14ac:dyDescent="0.3">
      <c r="A4791" s="6" t="s">
        <v>6666</v>
      </c>
      <c r="B4791" s="6"/>
      <c r="C4791" s="3144">
        <v>6918</v>
      </c>
      <c r="D4791" s="3144"/>
      <c r="E4791" s="3145"/>
      <c r="F4791" s="3146"/>
      <c r="G4791" s="3147"/>
    </row>
    <row r="4792" spans="1:7" x14ac:dyDescent="0.3">
      <c r="A4792" s="11" t="s">
        <v>6667</v>
      </c>
      <c r="B4792" s="11"/>
      <c r="C4792" s="3148">
        <v>5302</v>
      </c>
      <c r="D4792" s="3148"/>
      <c r="E4792" s="3149"/>
      <c r="F4792" s="3150"/>
      <c r="G4792" s="3151"/>
    </row>
    <row r="4793" spans="1:7" x14ac:dyDescent="0.3">
      <c r="A4793" s="6" t="s">
        <v>6668</v>
      </c>
      <c r="B4793" s="6"/>
      <c r="C4793" s="3144">
        <v>3788</v>
      </c>
      <c r="D4793" s="3144"/>
      <c r="E4793" s="3145"/>
      <c r="F4793" s="3146"/>
      <c r="G4793" s="3147"/>
    </row>
    <row r="4794" spans="1:7" x14ac:dyDescent="0.3">
      <c r="A4794" s="11" t="s">
        <v>6670</v>
      </c>
      <c r="B4794" s="11"/>
      <c r="C4794" s="3148">
        <v>2596</v>
      </c>
      <c r="D4794" s="3148"/>
      <c r="E4794" s="3149"/>
      <c r="F4794" s="3150"/>
      <c r="G4794" s="3151"/>
    </row>
    <row r="4795" spans="1:7" x14ac:dyDescent="0.3">
      <c r="A4795" s="6" t="s">
        <v>6672</v>
      </c>
      <c r="B4795" s="6"/>
      <c r="C4795" s="3144">
        <v>1678</v>
      </c>
      <c r="D4795" s="3144"/>
      <c r="E4795" s="3145"/>
      <c r="F4795" s="3146"/>
      <c r="G4795" s="3147"/>
    </row>
    <row r="4796" spans="1:7" x14ac:dyDescent="0.3">
      <c r="A4796" s="11" t="s">
        <v>6674</v>
      </c>
      <c r="B4796" s="11"/>
      <c r="C4796" s="3148">
        <v>1003</v>
      </c>
      <c r="D4796" s="3148"/>
      <c r="E4796" s="3149"/>
      <c r="F4796" s="3150"/>
      <c r="G4796" s="3151"/>
    </row>
    <row r="4797" spans="1:7" x14ac:dyDescent="0.3">
      <c r="A4797" s="6" t="s">
        <v>6676</v>
      </c>
      <c r="B4797" s="6"/>
      <c r="C4797" s="3144">
        <v>601</v>
      </c>
      <c r="D4797" s="3144"/>
      <c r="E4797" s="3145"/>
      <c r="F4797" s="3146"/>
      <c r="G4797" s="3147"/>
    </row>
    <row r="4798" spans="1:7" x14ac:dyDescent="0.3">
      <c r="A4798" s="11" t="s">
        <v>6678</v>
      </c>
      <c r="B4798" s="11"/>
      <c r="C4798" s="3148">
        <v>357</v>
      </c>
      <c r="D4798" s="3148"/>
      <c r="E4798" s="3149"/>
      <c r="F4798" s="3150"/>
      <c r="G4798" s="3151"/>
    </row>
    <row r="4799" spans="1:7" x14ac:dyDescent="0.3">
      <c r="A4799" s="6" t="s">
        <v>6680</v>
      </c>
      <c r="B4799" s="6"/>
      <c r="C4799" s="3144">
        <v>225</v>
      </c>
      <c r="D4799" s="3144"/>
      <c r="E4799" s="3145"/>
      <c r="F4799" s="3146"/>
      <c r="G4799" s="3147"/>
    </row>
    <row r="4800" spans="1:7" x14ac:dyDescent="0.3">
      <c r="A4800" s="11" t="s">
        <v>6681</v>
      </c>
      <c r="B4800" s="11"/>
      <c r="C4800" s="3148">
        <v>132</v>
      </c>
      <c r="D4800" s="3148"/>
      <c r="E4800" s="3149"/>
      <c r="F4800" s="3150"/>
      <c r="G4800" s="3151"/>
    </row>
    <row r="4801" spans="1:7" x14ac:dyDescent="0.3">
      <c r="A4801" s="6" t="s">
        <v>6683</v>
      </c>
      <c r="B4801" s="6"/>
      <c r="C4801" s="3144">
        <v>95</v>
      </c>
      <c r="D4801" s="3144"/>
      <c r="E4801" s="3145"/>
      <c r="F4801" s="3146"/>
      <c r="G4801" s="3147"/>
    </row>
    <row r="4802" spans="1:7" x14ac:dyDescent="0.3">
      <c r="A4802" s="11" t="s">
        <v>6684</v>
      </c>
      <c r="B4802" s="11"/>
      <c r="C4802" s="3148">
        <v>61</v>
      </c>
      <c r="D4802" s="3148"/>
      <c r="E4802" s="3149"/>
      <c r="F4802" s="3150"/>
      <c r="G4802" s="3151"/>
    </row>
    <row r="4803" spans="1:7" x14ac:dyDescent="0.3">
      <c r="A4803" s="6" t="s">
        <v>6686</v>
      </c>
      <c r="B4803" s="6"/>
      <c r="C4803" s="3144">
        <v>48</v>
      </c>
      <c r="D4803" s="3144"/>
      <c r="E4803" s="3145"/>
      <c r="F4803" s="3146"/>
      <c r="G4803" s="3147"/>
    </row>
    <row r="4804" spans="1:7" x14ac:dyDescent="0.3">
      <c r="A4804" s="11" t="s">
        <v>6688</v>
      </c>
      <c r="B4804" s="11"/>
      <c r="C4804" s="3148">
        <v>38</v>
      </c>
      <c r="D4804" s="3148"/>
      <c r="E4804" s="3149"/>
      <c r="F4804" s="3150"/>
      <c r="G4804" s="3151"/>
    </row>
    <row r="4805" spans="1:7" x14ac:dyDescent="0.3">
      <c r="A4805" s="6" t="s">
        <v>6690</v>
      </c>
      <c r="B4805" s="6"/>
      <c r="C4805" s="3144">
        <v>25</v>
      </c>
      <c r="D4805" s="3144"/>
      <c r="E4805" s="3145"/>
      <c r="F4805" s="3146"/>
      <c r="G4805" s="3147"/>
    </row>
    <row r="4806" spans="1:7" x14ac:dyDescent="0.3">
      <c r="A4806" s="11" t="s">
        <v>6691</v>
      </c>
      <c r="B4806" s="11"/>
      <c r="C4806" s="3148">
        <v>18</v>
      </c>
      <c r="D4806" s="3148"/>
      <c r="E4806" s="3149"/>
      <c r="F4806" s="3150"/>
      <c r="G4806" s="3151"/>
    </row>
    <row r="4807" spans="1:7" x14ac:dyDescent="0.3">
      <c r="A4807" s="6" t="s">
        <v>6692</v>
      </c>
      <c r="B4807" s="6"/>
      <c r="C4807" s="3144">
        <v>10</v>
      </c>
      <c r="D4807" s="3144"/>
      <c r="E4807" s="3145"/>
      <c r="F4807" s="3146"/>
      <c r="G4807" s="3147"/>
    </row>
    <row r="4808" spans="1:7" x14ac:dyDescent="0.3">
      <c r="A4808" s="11" t="s">
        <v>6697</v>
      </c>
      <c r="B4808" s="11"/>
      <c r="C4808" s="3148">
        <v>2</v>
      </c>
      <c r="D4808" s="3148"/>
      <c r="E4808" s="3149"/>
      <c r="F4808" s="3150"/>
      <c r="G4808" s="3151"/>
    </row>
    <row r="4809" spans="1:7" x14ac:dyDescent="0.3">
      <c r="A4809" s="6" t="s">
        <v>6698</v>
      </c>
      <c r="B4809" s="6"/>
      <c r="C4809" s="3144">
        <v>1</v>
      </c>
      <c r="D4809" s="3144"/>
      <c r="E4809" s="3145"/>
      <c r="F4809" s="3146"/>
      <c r="G4809" s="3147"/>
    </row>
    <row r="4810" spans="1:7" x14ac:dyDescent="0.3">
      <c r="A4810" s="11" t="s">
        <v>6699</v>
      </c>
      <c r="B4810" s="11"/>
      <c r="C4810" s="3148">
        <v>1</v>
      </c>
      <c r="D4810" s="3148"/>
      <c r="E4810" s="3149"/>
      <c r="F4810" s="3150"/>
      <c r="G4810" s="3151"/>
    </row>
    <row r="4811" spans="1:7" x14ac:dyDescent="0.3">
      <c r="A4811" s="6" t="s">
        <v>6700</v>
      </c>
      <c r="B4811" s="6"/>
      <c r="C4811" s="3144">
        <v>1</v>
      </c>
      <c r="D4811" s="3144"/>
      <c r="E4811" s="3145"/>
      <c r="F4811" s="3146"/>
      <c r="G4811" s="3147"/>
    </row>
    <row r="4812" spans="1:7" x14ac:dyDescent="0.3">
      <c r="A4812" s="11" t="s">
        <v>6701</v>
      </c>
      <c r="B4812" s="11"/>
      <c r="C4812" s="3148">
        <v>1</v>
      </c>
      <c r="D4812" s="3148"/>
      <c r="E4812" s="3149"/>
      <c r="F4812" s="3150"/>
      <c r="G4812" s="3151"/>
    </row>
    <row r="4813" spans="1:7" x14ac:dyDescent="0.3">
      <c r="A4813" s="6" t="s">
        <v>3228</v>
      </c>
      <c r="B4813" s="6"/>
      <c r="C4813" s="3144">
        <v>1</v>
      </c>
      <c r="D4813" s="3144"/>
      <c r="E4813" s="3145"/>
      <c r="F4813" s="3146"/>
      <c r="G4813" s="3147"/>
    </row>
    <row r="4814" spans="1:7" x14ac:dyDescent="0.3">
      <c r="A4814" s="11" t="s">
        <v>6669</v>
      </c>
      <c r="B4814" s="11"/>
      <c r="C4814" s="3148">
        <v>3864</v>
      </c>
      <c r="D4814" s="3148"/>
      <c r="E4814" s="3149"/>
      <c r="F4814" s="3150"/>
      <c r="G4814" s="3151"/>
    </row>
    <row r="4815" spans="1:7" x14ac:dyDescent="0.3">
      <c r="A4815" s="6" t="s">
        <v>6487</v>
      </c>
      <c r="B4815" s="6"/>
      <c r="C4815" s="3144">
        <v>1</v>
      </c>
      <c r="D4815" s="3144"/>
      <c r="E4815" s="3145"/>
      <c r="F4815" s="3146"/>
      <c r="G4815" s="3147"/>
    </row>
    <row r="4816" spans="1:7" x14ac:dyDescent="0.3">
      <c r="A4816" s="11" t="s">
        <v>6671</v>
      </c>
      <c r="B4816" s="11"/>
      <c r="C4816" s="3148">
        <v>2559</v>
      </c>
      <c r="D4816" s="3148"/>
      <c r="E4816" s="3149"/>
      <c r="F4816" s="3150"/>
      <c r="G4816" s="3151"/>
    </row>
    <row r="4817" spans="1:7" x14ac:dyDescent="0.3">
      <c r="A4817" s="6" t="s">
        <v>6677</v>
      </c>
      <c r="B4817" s="6"/>
      <c r="C4817" s="3144">
        <v>297</v>
      </c>
      <c r="D4817" s="3144"/>
      <c r="E4817" s="3145"/>
      <c r="F4817" s="3146"/>
      <c r="G4817" s="3147"/>
    </row>
    <row r="4818" spans="1:7" x14ac:dyDescent="0.3">
      <c r="A4818" s="11" t="s">
        <v>6675</v>
      </c>
      <c r="B4818" s="11"/>
      <c r="C4818" s="3148">
        <v>442</v>
      </c>
      <c r="D4818" s="3148"/>
      <c r="E4818" s="3149"/>
      <c r="F4818" s="3150"/>
      <c r="G4818" s="3151"/>
    </row>
    <row r="4819" spans="1:7" x14ac:dyDescent="0.3">
      <c r="A4819" s="6" t="s">
        <v>6673</v>
      </c>
      <c r="B4819" s="6"/>
      <c r="C4819" s="3144">
        <v>1044</v>
      </c>
      <c r="D4819" s="3144"/>
      <c r="E4819" s="3145"/>
      <c r="F4819" s="3146"/>
      <c r="G4819" s="3147"/>
    </row>
    <row r="4820" spans="1:7" x14ac:dyDescent="0.3">
      <c r="A4820" s="11" t="s">
        <v>6682</v>
      </c>
      <c r="B4820" s="11"/>
      <c r="C4820" s="3148">
        <v>94</v>
      </c>
      <c r="D4820" s="3148"/>
      <c r="E4820" s="3149"/>
      <c r="F4820" s="3150"/>
      <c r="G4820" s="3151"/>
    </row>
    <row r="4821" spans="1:7" x14ac:dyDescent="0.3">
      <c r="A4821" s="6" t="s">
        <v>4835</v>
      </c>
      <c r="B4821" s="6"/>
      <c r="C4821" s="3144">
        <v>661</v>
      </c>
      <c r="D4821" s="3144"/>
      <c r="E4821" s="3145"/>
      <c r="F4821" s="3146"/>
      <c r="G4821" s="3147"/>
    </row>
    <row r="4822" spans="1:7" x14ac:dyDescent="0.3">
      <c r="A4822" s="11" t="s">
        <v>6687</v>
      </c>
      <c r="B4822" s="11"/>
      <c r="C4822" s="3148">
        <v>25</v>
      </c>
      <c r="D4822" s="3148"/>
      <c r="E4822" s="3149"/>
      <c r="F4822" s="3150"/>
      <c r="G4822" s="3151"/>
    </row>
    <row r="4823" spans="1:7" x14ac:dyDescent="0.3">
      <c r="A4823" s="6" t="s">
        <v>6679</v>
      </c>
      <c r="B4823" s="6"/>
      <c r="C4823" s="3144">
        <v>197</v>
      </c>
      <c r="D4823" s="3144"/>
      <c r="E4823" s="3145"/>
      <c r="F4823" s="3146"/>
      <c r="G4823" s="3147"/>
    </row>
    <row r="4824" spans="1:7" x14ac:dyDescent="0.3">
      <c r="A4824" s="11" t="s">
        <v>6696</v>
      </c>
      <c r="B4824" s="11"/>
      <c r="C4824" s="3148">
        <v>4</v>
      </c>
      <c r="D4824" s="3148"/>
      <c r="E4824" s="3149"/>
      <c r="F4824" s="3150"/>
      <c r="G4824" s="3151"/>
    </row>
    <row r="4825" spans="1:7" x14ac:dyDescent="0.3">
      <c r="A4825" s="6" t="s">
        <v>6685</v>
      </c>
      <c r="B4825" s="6"/>
      <c r="C4825" s="3144">
        <v>50</v>
      </c>
      <c r="D4825" s="3144"/>
      <c r="E4825" s="3145"/>
      <c r="F4825" s="3146"/>
      <c r="G4825" s="3147"/>
    </row>
    <row r="4826" spans="1:7" x14ac:dyDescent="0.3">
      <c r="A4826" s="11" t="s">
        <v>6695</v>
      </c>
      <c r="B4826" s="11"/>
      <c r="C4826" s="3148">
        <v>1</v>
      </c>
      <c r="D4826" s="3148"/>
      <c r="E4826" s="3149"/>
      <c r="F4826" s="3150"/>
      <c r="G4826" s="3151"/>
    </row>
    <row r="4827" spans="1:7" x14ac:dyDescent="0.3">
      <c r="A4827" s="6" t="s">
        <v>6689</v>
      </c>
      <c r="B4827" s="6"/>
      <c r="C4827" s="3144">
        <v>18</v>
      </c>
      <c r="D4827" s="3144"/>
      <c r="E4827" s="3145"/>
      <c r="F4827" s="3146"/>
      <c r="G4827" s="3147"/>
    </row>
    <row r="4828" spans="1:7" x14ac:dyDescent="0.3">
      <c r="A4828" s="11" t="s">
        <v>6694</v>
      </c>
      <c r="B4828" s="11"/>
      <c r="C4828" s="3148">
        <v>2</v>
      </c>
      <c r="D4828" s="3148"/>
      <c r="E4828" s="3149"/>
      <c r="F4828" s="3150"/>
      <c r="G4828" s="3151"/>
    </row>
    <row r="4829" spans="1:7" x14ac:dyDescent="0.3">
      <c r="A4829" s="6" t="s">
        <v>6693</v>
      </c>
      <c r="B4829" s="6"/>
      <c r="C4829" s="3144">
        <v>6</v>
      </c>
      <c r="D4829" s="3144"/>
      <c r="E4829" s="3145"/>
      <c r="F4829" s="3146"/>
      <c r="G4829" s="3147"/>
    </row>
    <row r="4830" spans="1:7" x14ac:dyDescent="0.3">
      <c r="A4830" s="11" t="s">
        <v>6269</v>
      </c>
      <c r="B4830" s="11" t="s">
        <v>6270</v>
      </c>
      <c r="C4830" s="3148">
        <v>40798</v>
      </c>
      <c r="D4830" s="3148"/>
      <c r="E4830" s="3149"/>
      <c r="F4830" s="3150"/>
      <c r="G4830" s="3151"/>
    </row>
    <row r="4831" spans="1:7" x14ac:dyDescent="0.3">
      <c r="A4831" s="6" t="s">
        <v>6269</v>
      </c>
      <c r="B4831" s="6" t="s">
        <v>6271</v>
      </c>
      <c r="C4831" s="3144">
        <v>40798</v>
      </c>
      <c r="D4831" s="3144"/>
      <c r="E4831" s="3145">
        <v>0</v>
      </c>
      <c r="F4831" s="3146">
        <v>100</v>
      </c>
      <c r="G4831" s="3147">
        <v>0</v>
      </c>
    </row>
    <row r="4832" spans="1:7" x14ac:dyDescent="0.3">
      <c r="A4832" s="3299" t="s">
        <v>447</v>
      </c>
      <c r="B4832" s="3298"/>
      <c r="C4832" s="3298"/>
      <c r="D4832" s="3298"/>
      <c r="E4832" s="3298"/>
      <c r="F4832" s="3298"/>
      <c r="G4832" s="3298"/>
    </row>
    <row r="4833" spans="1:7" x14ac:dyDescent="0.3">
      <c r="A4833" s="11" t="s">
        <v>962</v>
      </c>
      <c r="B4833" s="11"/>
      <c r="C4833" s="3156">
        <v>3864</v>
      </c>
      <c r="D4833" s="3156"/>
      <c r="E4833" s="3157"/>
      <c r="F4833" s="3158"/>
      <c r="G4833" s="3159"/>
    </row>
    <row r="4834" spans="1:7" x14ac:dyDescent="0.3">
      <c r="A4834" s="6" t="s">
        <v>964</v>
      </c>
      <c r="B4834" s="6"/>
      <c r="C4834" s="3152">
        <v>2857</v>
      </c>
      <c r="D4834" s="3152"/>
      <c r="E4834" s="3153"/>
      <c r="F4834" s="3154"/>
      <c r="G4834" s="3155"/>
    </row>
    <row r="4835" spans="1:7" x14ac:dyDescent="0.3">
      <c r="A4835" s="11" t="s">
        <v>966</v>
      </c>
      <c r="B4835" s="11"/>
      <c r="C4835" s="3156">
        <v>1486</v>
      </c>
      <c r="D4835" s="3156"/>
      <c r="E4835" s="3157"/>
      <c r="F4835" s="3158"/>
      <c r="G4835" s="3159"/>
    </row>
    <row r="4836" spans="1:7" x14ac:dyDescent="0.3">
      <c r="A4836" s="6" t="s">
        <v>968</v>
      </c>
      <c r="B4836" s="6"/>
      <c r="C4836" s="3152">
        <v>756</v>
      </c>
      <c r="D4836" s="3152"/>
      <c r="E4836" s="3153"/>
      <c r="F4836" s="3154"/>
      <c r="G4836" s="3155"/>
    </row>
    <row r="4837" spans="1:7" x14ac:dyDescent="0.3">
      <c r="A4837" s="11" t="s">
        <v>970</v>
      </c>
      <c r="B4837" s="11"/>
      <c r="C4837" s="3156">
        <v>222</v>
      </c>
      <c r="D4837" s="3156"/>
      <c r="E4837" s="3157"/>
      <c r="F4837" s="3158"/>
      <c r="G4837" s="3159"/>
    </row>
    <row r="4838" spans="1:7" x14ac:dyDescent="0.3">
      <c r="A4838" s="6" t="s">
        <v>972</v>
      </c>
      <c r="B4838" s="6"/>
      <c r="C4838" s="3152">
        <v>53</v>
      </c>
      <c r="D4838" s="3152"/>
      <c r="E4838" s="3153"/>
      <c r="F4838" s="3154"/>
      <c r="G4838" s="3155"/>
    </row>
    <row r="4839" spans="1:7" x14ac:dyDescent="0.3">
      <c r="A4839" s="11" t="s">
        <v>981</v>
      </c>
      <c r="B4839" s="11"/>
      <c r="C4839" s="3156">
        <v>19</v>
      </c>
      <c r="D4839" s="3156"/>
      <c r="E4839" s="3157"/>
      <c r="F4839" s="3158"/>
      <c r="G4839" s="3159"/>
    </row>
    <row r="4840" spans="1:7" x14ac:dyDescent="0.3">
      <c r="A4840" s="6" t="s">
        <v>991</v>
      </c>
      <c r="B4840" s="6"/>
      <c r="C4840" s="3152">
        <v>8</v>
      </c>
      <c r="D4840" s="3152"/>
      <c r="E4840" s="3153"/>
      <c r="F4840" s="3154"/>
      <c r="G4840" s="3155"/>
    </row>
    <row r="4841" spans="1:7" x14ac:dyDescent="0.3">
      <c r="A4841" s="11" t="s">
        <v>995</v>
      </c>
      <c r="B4841" s="11"/>
      <c r="C4841" s="3156">
        <v>1</v>
      </c>
      <c r="D4841" s="3156"/>
      <c r="E4841" s="3157"/>
      <c r="F4841" s="3158"/>
      <c r="G4841" s="3159"/>
    </row>
    <row r="4842" spans="1:7" x14ac:dyDescent="0.3">
      <c r="A4842" s="6" t="s">
        <v>960</v>
      </c>
      <c r="B4842" s="6"/>
      <c r="C4842" s="3152">
        <v>31532</v>
      </c>
      <c r="D4842" s="3152"/>
      <c r="E4842" s="3153"/>
      <c r="F4842" s="3154"/>
      <c r="G4842" s="3155"/>
    </row>
    <row r="4843" spans="1:7" x14ac:dyDescent="0.3">
      <c r="A4843" s="11" t="s">
        <v>6269</v>
      </c>
      <c r="B4843" s="11" t="s">
        <v>6270</v>
      </c>
      <c r="C4843" s="3156">
        <v>9266</v>
      </c>
      <c r="D4843" s="3156"/>
      <c r="E4843" s="3157"/>
      <c r="F4843" s="3158"/>
      <c r="G4843" s="3159"/>
    </row>
    <row r="4844" spans="1:7" x14ac:dyDescent="0.3">
      <c r="A4844" s="6" t="s">
        <v>6269</v>
      </c>
      <c r="B4844" s="6" t="s">
        <v>6271</v>
      </c>
      <c r="C4844" s="3152">
        <v>40798</v>
      </c>
      <c r="D4844" s="3152"/>
      <c r="E4844" s="3153">
        <v>0</v>
      </c>
      <c r="F4844" s="3154">
        <v>100</v>
      </c>
      <c r="G4844" s="3155">
        <v>0</v>
      </c>
    </row>
    <row r="4845" spans="1:7" x14ac:dyDescent="0.3">
      <c r="A4845" s="3299" t="s">
        <v>319</v>
      </c>
      <c r="B4845" s="3298"/>
      <c r="C4845" s="3298"/>
      <c r="D4845" s="3298"/>
      <c r="E4845" s="3298"/>
      <c r="F4845" s="3298"/>
      <c r="G4845" s="3298"/>
    </row>
    <row r="4846" spans="1:7" x14ac:dyDescent="0.3">
      <c r="A4846" s="11" t="s">
        <v>962</v>
      </c>
      <c r="B4846" s="11" t="s">
        <v>3104</v>
      </c>
      <c r="C4846" s="3164">
        <v>8631</v>
      </c>
      <c r="D4846" s="3164"/>
      <c r="E4846" s="3165"/>
      <c r="F4846" s="3166"/>
      <c r="G4846" s="3167"/>
    </row>
    <row r="4847" spans="1:7" x14ac:dyDescent="0.3">
      <c r="A4847" s="6" t="s">
        <v>964</v>
      </c>
      <c r="B4847" s="6" t="s">
        <v>3105</v>
      </c>
      <c r="C4847" s="3160">
        <v>6991</v>
      </c>
      <c r="D4847" s="3160"/>
      <c r="E4847" s="3161"/>
      <c r="F4847" s="3162"/>
      <c r="G4847" s="3163"/>
    </row>
    <row r="4848" spans="1:7" x14ac:dyDescent="0.3">
      <c r="A4848" s="11" t="s">
        <v>966</v>
      </c>
      <c r="B4848" s="11" t="s">
        <v>3106</v>
      </c>
      <c r="C4848" s="3164">
        <v>2275</v>
      </c>
      <c r="D4848" s="3164"/>
      <c r="E4848" s="3165"/>
      <c r="F4848" s="3166"/>
      <c r="G4848" s="3167"/>
    </row>
    <row r="4849" spans="1:7" x14ac:dyDescent="0.3">
      <c r="A4849" s="6" t="s">
        <v>968</v>
      </c>
      <c r="B4849" s="6" t="s">
        <v>3107</v>
      </c>
      <c r="C4849" s="3160">
        <v>22901</v>
      </c>
      <c r="D4849" s="3160"/>
      <c r="E4849" s="3161"/>
      <c r="F4849" s="3162"/>
      <c r="G4849" s="3163"/>
    </row>
    <row r="4850" spans="1:7" x14ac:dyDescent="0.3">
      <c r="A4850" s="11" t="s">
        <v>6269</v>
      </c>
      <c r="B4850" s="11" t="s">
        <v>6270</v>
      </c>
      <c r="C4850" s="3164">
        <v>40798</v>
      </c>
      <c r="D4850" s="3164"/>
      <c r="E4850" s="3165"/>
      <c r="F4850" s="3166"/>
      <c r="G4850" s="3167"/>
    </row>
    <row r="4851" spans="1:7" x14ac:dyDescent="0.3">
      <c r="A4851" s="6" t="s">
        <v>6269</v>
      </c>
      <c r="B4851" s="6" t="s">
        <v>6271</v>
      </c>
      <c r="C4851" s="3160">
        <v>40798</v>
      </c>
      <c r="D4851" s="3160"/>
      <c r="E4851" s="3161">
        <v>0</v>
      </c>
      <c r="F4851" s="3162">
        <v>100</v>
      </c>
      <c r="G4851" s="3163">
        <v>0</v>
      </c>
    </row>
    <row r="4852" spans="1:7" x14ac:dyDescent="0.3">
      <c r="A4852" s="3299" t="s">
        <v>321</v>
      </c>
      <c r="B4852" s="3298"/>
      <c r="C4852" s="3298"/>
      <c r="D4852" s="3298"/>
      <c r="E4852" s="3298"/>
      <c r="F4852" s="3298"/>
      <c r="G4852" s="3298"/>
    </row>
    <row r="4853" spans="1:7" x14ac:dyDescent="0.3">
      <c r="A4853" s="11" t="s">
        <v>6269</v>
      </c>
      <c r="B4853" s="11" t="s">
        <v>6270</v>
      </c>
      <c r="C4853" s="3172">
        <v>35444</v>
      </c>
      <c r="D4853" s="3172"/>
      <c r="E4853" s="3173"/>
      <c r="F4853" s="3174"/>
      <c r="G4853" s="3175"/>
    </row>
    <row r="4854" spans="1:7" x14ac:dyDescent="0.3">
      <c r="A4854" s="6" t="s">
        <v>6269</v>
      </c>
      <c r="B4854" s="6" t="s">
        <v>6271</v>
      </c>
      <c r="C4854" s="3168">
        <v>35444</v>
      </c>
      <c r="D4854" s="3168"/>
      <c r="E4854" s="3169">
        <v>0</v>
      </c>
      <c r="F4854" s="3170">
        <v>100</v>
      </c>
      <c r="G4854" s="3171">
        <v>0</v>
      </c>
    </row>
    <row r="4855" spans="1:7" x14ac:dyDescent="0.3">
      <c r="A4855" s="3299" t="s">
        <v>308</v>
      </c>
      <c r="B4855" s="3298"/>
      <c r="C4855" s="3298"/>
      <c r="D4855" s="3298"/>
      <c r="E4855" s="3298"/>
      <c r="F4855" s="3298"/>
      <c r="G4855" s="3298"/>
    </row>
    <row r="4856" spans="1:7" x14ac:dyDescent="0.3">
      <c r="A4856" s="11" t="s">
        <v>6269</v>
      </c>
      <c r="B4856" s="11" t="s">
        <v>6270</v>
      </c>
      <c r="C4856" s="3180">
        <v>35479</v>
      </c>
      <c r="D4856" s="3180"/>
      <c r="E4856" s="3181"/>
      <c r="F4856" s="3182"/>
      <c r="G4856" s="3183"/>
    </row>
    <row r="4857" spans="1:7" x14ac:dyDescent="0.3">
      <c r="A4857" s="6" t="s">
        <v>6269</v>
      </c>
      <c r="B4857" s="6" t="s">
        <v>6271</v>
      </c>
      <c r="C4857" s="3176">
        <v>35479</v>
      </c>
      <c r="D4857" s="3176"/>
      <c r="E4857" s="3177">
        <v>0</v>
      </c>
      <c r="F4857" s="3178">
        <v>100</v>
      </c>
      <c r="G4857" s="3179">
        <v>0</v>
      </c>
    </row>
    <row r="4858" spans="1:7" x14ac:dyDescent="0.3">
      <c r="A4858" s="3299" t="s">
        <v>314</v>
      </c>
      <c r="B4858" s="3298"/>
      <c r="C4858" s="3298"/>
      <c r="D4858" s="3298"/>
      <c r="E4858" s="3298"/>
      <c r="F4858" s="3298"/>
      <c r="G4858" s="3298"/>
    </row>
    <row r="4859" spans="1:7" x14ac:dyDescent="0.3">
      <c r="A4859" s="11" t="s">
        <v>6269</v>
      </c>
      <c r="B4859" s="11" t="s">
        <v>6270</v>
      </c>
      <c r="C4859" s="3188">
        <v>38367</v>
      </c>
      <c r="D4859" s="3188"/>
      <c r="E4859" s="3189"/>
      <c r="F4859" s="3190"/>
      <c r="G4859" s="3191"/>
    </row>
    <row r="4860" spans="1:7" x14ac:dyDescent="0.3">
      <c r="A4860" s="6" t="s">
        <v>6269</v>
      </c>
      <c r="B4860" s="6" t="s">
        <v>6271</v>
      </c>
      <c r="C4860" s="3184">
        <v>38367</v>
      </c>
      <c r="D4860" s="3184"/>
      <c r="E4860" s="3185">
        <v>0</v>
      </c>
      <c r="F4860" s="3186">
        <v>100</v>
      </c>
      <c r="G4860" s="3187">
        <v>0</v>
      </c>
    </row>
    <row r="4861" spans="1:7" x14ac:dyDescent="0.3">
      <c r="A4861" s="3299" t="s">
        <v>577</v>
      </c>
      <c r="B4861" s="3298"/>
      <c r="C4861" s="3298"/>
      <c r="D4861" s="3298"/>
      <c r="E4861" s="3298"/>
      <c r="F4861" s="3298"/>
      <c r="G4861" s="3298"/>
    </row>
    <row r="4862" spans="1:7" x14ac:dyDescent="0.3">
      <c r="A4862" s="11" t="s">
        <v>6269</v>
      </c>
      <c r="B4862" s="11" t="s">
        <v>6270</v>
      </c>
      <c r="C4862" s="3196">
        <v>35901</v>
      </c>
      <c r="D4862" s="3196"/>
      <c r="E4862" s="3197"/>
      <c r="F4862" s="3198"/>
      <c r="G4862" s="3199"/>
    </row>
    <row r="4863" spans="1:7" x14ac:dyDescent="0.3">
      <c r="A4863" s="6" t="s">
        <v>6269</v>
      </c>
      <c r="B4863" s="6" t="s">
        <v>6271</v>
      </c>
      <c r="C4863" s="3192">
        <v>35901</v>
      </c>
      <c r="D4863" s="3192"/>
      <c r="E4863" s="3193">
        <v>0</v>
      </c>
      <c r="F4863" s="3194">
        <v>100</v>
      </c>
      <c r="G4863" s="3195">
        <v>0</v>
      </c>
    </row>
    <row r="4864" spans="1:7" x14ac:dyDescent="0.3">
      <c r="A4864" s="3299" t="s">
        <v>102</v>
      </c>
      <c r="B4864" s="3298"/>
      <c r="C4864" s="3298"/>
      <c r="D4864" s="3298"/>
      <c r="E4864" s="3298"/>
      <c r="F4864" s="3298"/>
      <c r="G4864" s="3298"/>
    </row>
    <row r="4865" spans="1:7" x14ac:dyDescent="0.3">
      <c r="A4865" s="11" t="s">
        <v>974</v>
      </c>
      <c r="B4865" s="11" t="s">
        <v>975</v>
      </c>
      <c r="C4865" s="3204">
        <v>9</v>
      </c>
      <c r="D4865" s="3204"/>
      <c r="E4865" s="3205"/>
      <c r="F4865" s="3206"/>
      <c r="G4865" s="3207"/>
    </row>
    <row r="4866" spans="1:7" x14ac:dyDescent="0.3">
      <c r="A4866" s="6" t="s">
        <v>6269</v>
      </c>
      <c r="B4866" s="6" t="s">
        <v>6270</v>
      </c>
      <c r="C4866" s="3200">
        <v>40626</v>
      </c>
      <c r="D4866" s="3200"/>
      <c r="E4866" s="3201"/>
      <c r="F4866" s="3202"/>
      <c r="G4866" s="3203"/>
    </row>
    <row r="4867" spans="1:7" x14ac:dyDescent="0.3">
      <c r="A4867" s="11" t="s">
        <v>6269</v>
      </c>
      <c r="B4867" s="11" t="s">
        <v>6271</v>
      </c>
      <c r="C4867" s="3204">
        <v>40635</v>
      </c>
      <c r="D4867" s="3204"/>
      <c r="E4867" s="3205">
        <v>0</v>
      </c>
      <c r="F4867" s="3206">
        <v>100</v>
      </c>
      <c r="G4867" s="3207">
        <v>0</v>
      </c>
    </row>
    <row r="4868" spans="1:7" x14ac:dyDescent="0.3">
      <c r="A4868" s="3299" t="s">
        <v>573</v>
      </c>
      <c r="B4868" s="3298"/>
      <c r="C4868" s="3298"/>
      <c r="D4868" s="3298"/>
      <c r="E4868" s="3298"/>
      <c r="F4868" s="3298"/>
      <c r="G4868" s="3298"/>
    </row>
    <row r="4869" spans="1:7" x14ac:dyDescent="0.3">
      <c r="A4869" s="11" t="s">
        <v>6722</v>
      </c>
      <c r="B4869" s="11"/>
      <c r="C4869" s="3212">
        <v>2</v>
      </c>
      <c r="D4869" s="3212"/>
      <c r="E4869" s="3213"/>
      <c r="F4869" s="3214"/>
      <c r="G4869" s="3215"/>
    </row>
    <row r="4870" spans="1:7" x14ac:dyDescent="0.3">
      <c r="A4870" s="6" t="s">
        <v>6723</v>
      </c>
      <c r="B4870" s="6"/>
      <c r="C4870" s="3208">
        <v>165</v>
      </c>
      <c r="D4870" s="3208"/>
      <c r="E4870" s="3209"/>
      <c r="F4870" s="3210"/>
      <c r="G4870" s="3211"/>
    </row>
    <row r="4871" spans="1:7" x14ac:dyDescent="0.3">
      <c r="A4871" s="11" t="s">
        <v>6724</v>
      </c>
      <c r="B4871" s="11"/>
      <c r="C4871" s="3212">
        <v>6</v>
      </c>
      <c r="D4871" s="3212"/>
      <c r="E4871" s="3213"/>
      <c r="F4871" s="3214"/>
      <c r="G4871" s="3215"/>
    </row>
    <row r="4872" spans="1:7" x14ac:dyDescent="0.3">
      <c r="A4872" s="6" t="s">
        <v>6399</v>
      </c>
      <c r="B4872" s="6"/>
      <c r="C4872" s="3208">
        <v>11</v>
      </c>
      <c r="D4872" s="3208"/>
      <c r="E4872" s="3209"/>
      <c r="F4872" s="3210"/>
      <c r="G4872" s="3211"/>
    </row>
    <row r="4873" spans="1:7" x14ac:dyDescent="0.3">
      <c r="A4873" s="11" t="s">
        <v>6725</v>
      </c>
      <c r="B4873" s="11"/>
      <c r="C4873" s="3212">
        <v>52</v>
      </c>
      <c r="D4873" s="3212"/>
      <c r="E4873" s="3213"/>
      <c r="F4873" s="3214"/>
      <c r="G4873" s="3215"/>
    </row>
    <row r="4874" spans="1:7" x14ac:dyDescent="0.3">
      <c r="A4874" s="6" t="s">
        <v>6726</v>
      </c>
      <c r="B4874" s="6"/>
      <c r="C4874" s="3208">
        <v>42</v>
      </c>
      <c r="D4874" s="3208"/>
      <c r="E4874" s="3209"/>
      <c r="F4874" s="3210"/>
      <c r="G4874" s="3211"/>
    </row>
    <row r="4875" spans="1:7" x14ac:dyDescent="0.3">
      <c r="A4875" s="11" t="s">
        <v>6727</v>
      </c>
      <c r="B4875" s="11"/>
      <c r="C4875" s="3212">
        <v>5</v>
      </c>
      <c r="D4875" s="3212"/>
      <c r="E4875" s="3213"/>
      <c r="F4875" s="3214"/>
      <c r="G4875" s="3215"/>
    </row>
    <row r="4876" spans="1:7" x14ac:dyDescent="0.3">
      <c r="A4876" s="6" t="s">
        <v>6728</v>
      </c>
      <c r="B4876" s="6"/>
      <c r="C4876" s="3208">
        <v>1</v>
      </c>
      <c r="D4876" s="3208"/>
      <c r="E4876" s="3209"/>
      <c r="F4876" s="3210"/>
      <c r="G4876" s="3211"/>
    </row>
    <row r="4877" spans="1:7" x14ac:dyDescent="0.3">
      <c r="A4877" s="11" t="s">
        <v>6729</v>
      </c>
      <c r="B4877" s="11"/>
      <c r="C4877" s="3212">
        <v>18</v>
      </c>
      <c r="D4877" s="3212"/>
      <c r="E4877" s="3213"/>
      <c r="F4877" s="3214"/>
      <c r="G4877" s="3215"/>
    </row>
    <row r="4878" spans="1:7" x14ac:dyDescent="0.3">
      <c r="A4878" s="6" t="s">
        <v>6730</v>
      </c>
      <c r="B4878" s="6"/>
      <c r="C4878" s="3208">
        <v>1</v>
      </c>
      <c r="D4878" s="3208"/>
      <c r="E4878" s="3209"/>
      <c r="F4878" s="3210"/>
      <c r="G4878" s="3211"/>
    </row>
    <row r="4879" spans="1:7" x14ac:dyDescent="0.3">
      <c r="A4879" s="11" t="s">
        <v>6731</v>
      </c>
      <c r="B4879" s="11"/>
      <c r="C4879" s="3212">
        <v>1</v>
      </c>
      <c r="D4879" s="3212"/>
      <c r="E4879" s="3213"/>
      <c r="F4879" s="3214"/>
      <c r="G4879" s="3215"/>
    </row>
    <row r="4880" spans="1:7" x14ac:dyDescent="0.3">
      <c r="A4880" s="6" t="s">
        <v>6394</v>
      </c>
      <c r="B4880" s="6"/>
      <c r="C4880" s="3208">
        <v>348</v>
      </c>
      <c r="D4880" s="3208"/>
      <c r="E4880" s="3209"/>
      <c r="F4880" s="3210"/>
      <c r="G4880" s="3211"/>
    </row>
    <row r="4881" spans="1:7" x14ac:dyDescent="0.3">
      <c r="A4881" s="11" t="s">
        <v>6732</v>
      </c>
      <c r="B4881" s="11"/>
      <c r="C4881" s="3212">
        <v>1</v>
      </c>
      <c r="D4881" s="3212"/>
      <c r="E4881" s="3213"/>
      <c r="F4881" s="3214"/>
      <c r="G4881" s="3215"/>
    </row>
    <row r="4882" spans="1:7" x14ac:dyDescent="0.3">
      <c r="A4882" s="6" t="s">
        <v>6393</v>
      </c>
      <c r="B4882" s="6"/>
      <c r="C4882" s="3208">
        <v>39012</v>
      </c>
      <c r="D4882" s="3208"/>
      <c r="E4882" s="3209"/>
      <c r="F4882" s="3210"/>
      <c r="G4882" s="3211"/>
    </row>
    <row r="4883" spans="1:7" x14ac:dyDescent="0.3">
      <c r="A4883" s="11" t="s">
        <v>6733</v>
      </c>
      <c r="B4883" s="11"/>
      <c r="C4883" s="3212">
        <v>3</v>
      </c>
      <c r="D4883" s="3212"/>
      <c r="E4883" s="3213"/>
      <c r="F4883" s="3214"/>
      <c r="G4883" s="3215"/>
    </row>
    <row r="4884" spans="1:7" x14ac:dyDescent="0.3">
      <c r="A4884" s="6" t="s">
        <v>6734</v>
      </c>
      <c r="B4884" s="6"/>
      <c r="C4884" s="3208">
        <v>6</v>
      </c>
      <c r="D4884" s="3208"/>
      <c r="E4884" s="3209"/>
      <c r="F4884" s="3210"/>
      <c r="G4884" s="3211"/>
    </row>
    <row r="4885" spans="1:7" x14ac:dyDescent="0.3">
      <c r="A4885" s="11" t="s">
        <v>6735</v>
      </c>
      <c r="B4885" s="11"/>
      <c r="C4885" s="3212">
        <v>3</v>
      </c>
      <c r="D4885" s="3212"/>
      <c r="E4885" s="3213"/>
      <c r="F4885" s="3214"/>
      <c r="G4885" s="3215"/>
    </row>
    <row r="4886" spans="1:7" x14ac:dyDescent="0.3">
      <c r="A4886" s="6" t="s">
        <v>6398</v>
      </c>
      <c r="B4886" s="6"/>
      <c r="C4886" s="3208">
        <v>47</v>
      </c>
      <c r="D4886" s="3208"/>
      <c r="E4886" s="3209"/>
      <c r="F4886" s="3210"/>
      <c r="G4886" s="3211"/>
    </row>
    <row r="4887" spans="1:7" x14ac:dyDescent="0.3">
      <c r="A4887" s="11" t="s">
        <v>6736</v>
      </c>
      <c r="B4887" s="11"/>
      <c r="C4887" s="3212">
        <v>13</v>
      </c>
      <c r="D4887" s="3212"/>
      <c r="E4887" s="3213"/>
      <c r="F4887" s="3214"/>
      <c r="G4887" s="3215"/>
    </row>
    <row r="4888" spans="1:7" x14ac:dyDescent="0.3">
      <c r="A4888" s="6" t="s">
        <v>6737</v>
      </c>
      <c r="B4888" s="6"/>
      <c r="C4888" s="3208">
        <v>15</v>
      </c>
      <c r="D4888" s="3208"/>
      <c r="E4888" s="3209"/>
      <c r="F4888" s="3210"/>
      <c r="G4888" s="3211"/>
    </row>
    <row r="4889" spans="1:7" x14ac:dyDescent="0.3">
      <c r="A4889" s="11" t="s">
        <v>6738</v>
      </c>
      <c r="B4889" s="11"/>
      <c r="C4889" s="3212">
        <v>33</v>
      </c>
      <c r="D4889" s="3212"/>
      <c r="E4889" s="3213"/>
      <c r="F4889" s="3214"/>
      <c r="G4889" s="3215"/>
    </row>
    <row r="4890" spans="1:7" x14ac:dyDescent="0.3">
      <c r="A4890" s="6" t="s">
        <v>6739</v>
      </c>
      <c r="B4890" s="6"/>
      <c r="C4890" s="3208">
        <v>1</v>
      </c>
      <c r="D4890" s="3208"/>
      <c r="E4890" s="3209"/>
      <c r="F4890" s="3210"/>
      <c r="G4890" s="3211"/>
    </row>
    <row r="4891" spans="1:7" x14ac:dyDescent="0.3">
      <c r="A4891" s="11" t="s">
        <v>6740</v>
      </c>
      <c r="B4891" s="11"/>
      <c r="C4891" s="3212">
        <v>1</v>
      </c>
      <c r="D4891" s="3212"/>
      <c r="E4891" s="3213"/>
      <c r="F4891" s="3214"/>
      <c r="G4891" s="3215"/>
    </row>
    <row r="4892" spans="1:7" x14ac:dyDescent="0.3">
      <c r="A4892" s="6" t="s">
        <v>6741</v>
      </c>
      <c r="B4892" s="6"/>
      <c r="C4892" s="3208">
        <v>13</v>
      </c>
      <c r="D4892" s="3208"/>
      <c r="E4892" s="3209"/>
      <c r="F4892" s="3210"/>
      <c r="G4892" s="3211"/>
    </row>
    <row r="4893" spans="1:7" x14ac:dyDescent="0.3">
      <c r="A4893" s="11" t="s">
        <v>6742</v>
      </c>
      <c r="B4893" s="11"/>
      <c r="C4893" s="3212">
        <v>11</v>
      </c>
      <c r="D4893" s="3212"/>
      <c r="E4893" s="3213"/>
      <c r="F4893" s="3214"/>
      <c r="G4893" s="3215"/>
    </row>
    <row r="4894" spans="1:7" x14ac:dyDescent="0.3">
      <c r="A4894" s="6" t="s">
        <v>6743</v>
      </c>
      <c r="B4894" s="6"/>
      <c r="C4894" s="3208">
        <v>2</v>
      </c>
      <c r="D4894" s="3208"/>
      <c r="E4894" s="3209"/>
      <c r="F4894" s="3210"/>
      <c r="G4894" s="3211"/>
    </row>
    <row r="4895" spans="1:7" x14ac:dyDescent="0.3">
      <c r="A4895" s="11" t="s">
        <v>6744</v>
      </c>
      <c r="B4895" s="11"/>
      <c r="C4895" s="3212">
        <v>1</v>
      </c>
      <c r="D4895" s="3212"/>
      <c r="E4895" s="3213"/>
      <c r="F4895" s="3214"/>
      <c r="G4895" s="3215"/>
    </row>
    <row r="4896" spans="1:7" x14ac:dyDescent="0.3">
      <c r="A4896" s="6" t="s">
        <v>6745</v>
      </c>
      <c r="B4896" s="6"/>
      <c r="C4896" s="3208">
        <v>26</v>
      </c>
      <c r="D4896" s="3208"/>
      <c r="E4896" s="3209"/>
      <c r="F4896" s="3210"/>
      <c r="G4896" s="3211"/>
    </row>
    <row r="4897" spans="1:7" x14ac:dyDescent="0.3">
      <c r="A4897" s="11" t="s">
        <v>6746</v>
      </c>
      <c r="B4897" s="11"/>
      <c r="C4897" s="3212">
        <v>4</v>
      </c>
      <c r="D4897" s="3212"/>
      <c r="E4897" s="3213"/>
      <c r="F4897" s="3214"/>
      <c r="G4897" s="3215"/>
    </row>
    <row r="4898" spans="1:7" x14ac:dyDescent="0.3">
      <c r="A4898" s="6" t="s">
        <v>6747</v>
      </c>
      <c r="B4898" s="6"/>
      <c r="C4898" s="3208">
        <v>24</v>
      </c>
      <c r="D4898" s="3208"/>
      <c r="E4898" s="3209"/>
      <c r="F4898" s="3210"/>
      <c r="G4898" s="3211"/>
    </row>
    <row r="4899" spans="1:7" x14ac:dyDescent="0.3">
      <c r="A4899" s="11" t="s">
        <v>6748</v>
      </c>
      <c r="B4899" s="11"/>
      <c r="C4899" s="3212">
        <v>13</v>
      </c>
      <c r="D4899" s="3212"/>
      <c r="E4899" s="3213"/>
      <c r="F4899" s="3214"/>
      <c r="G4899" s="3215"/>
    </row>
    <row r="4900" spans="1:7" x14ac:dyDescent="0.3">
      <c r="A4900" s="6" t="s">
        <v>6749</v>
      </c>
      <c r="B4900" s="6"/>
      <c r="C4900" s="3208">
        <v>3</v>
      </c>
      <c r="D4900" s="3208"/>
      <c r="E4900" s="3209"/>
      <c r="F4900" s="3210"/>
      <c r="G4900" s="3211"/>
    </row>
    <row r="4901" spans="1:7" x14ac:dyDescent="0.3">
      <c r="A4901" s="11" t="s">
        <v>6750</v>
      </c>
      <c r="B4901" s="11"/>
      <c r="C4901" s="3212">
        <v>89</v>
      </c>
      <c r="D4901" s="3212"/>
      <c r="E4901" s="3213"/>
      <c r="F4901" s="3214"/>
      <c r="G4901" s="3215"/>
    </row>
    <row r="4902" spans="1:7" x14ac:dyDescent="0.3">
      <c r="A4902" s="6" t="s">
        <v>6751</v>
      </c>
      <c r="B4902" s="6"/>
      <c r="C4902" s="3208">
        <v>1</v>
      </c>
      <c r="D4902" s="3208"/>
      <c r="E4902" s="3209"/>
      <c r="F4902" s="3210"/>
      <c r="G4902" s="3211"/>
    </row>
    <row r="4903" spans="1:7" x14ac:dyDescent="0.3">
      <c r="A4903" s="11" t="s">
        <v>6752</v>
      </c>
      <c r="B4903" s="11"/>
      <c r="C4903" s="3212">
        <v>5</v>
      </c>
      <c r="D4903" s="3212"/>
      <c r="E4903" s="3213"/>
      <c r="F4903" s="3214"/>
      <c r="G4903" s="3215"/>
    </row>
    <row r="4904" spans="1:7" x14ac:dyDescent="0.3">
      <c r="A4904" s="6" t="s">
        <v>6753</v>
      </c>
      <c r="B4904" s="6"/>
      <c r="C4904" s="3208">
        <v>4</v>
      </c>
      <c r="D4904" s="3208"/>
      <c r="E4904" s="3209"/>
      <c r="F4904" s="3210"/>
      <c r="G4904" s="3211"/>
    </row>
    <row r="4905" spans="1:7" x14ac:dyDescent="0.3">
      <c r="A4905" s="11" t="s">
        <v>6397</v>
      </c>
      <c r="B4905" s="11"/>
      <c r="C4905" s="3212">
        <v>18</v>
      </c>
      <c r="D4905" s="3212"/>
      <c r="E4905" s="3213"/>
      <c r="F4905" s="3214"/>
      <c r="G4905" s="3215"/>
    </row>
    <row r="4906" spans="1:7" x14ac:dyDescent="0.3">
      <c r="A4906" s="6" t="s">
        <v>6754</v>
      </c>
      <c r="B4906" s="6"/>
      <c r="C4906" s="3208">
        <v>11</v>
      </c>
      <c r="D4906" s="3208"/>
      <c r="E4906" s="3209"/>
      <c r="F4906" s="3210"/>
      <c r="G4906" s="3211"/>
    </row>
    <row r="4907" spans="1:7" x14ac:dyDescent="0.3">
      <c r="A4907" s="11" t="s">
        <v>6396</v>
      </c>
      <c r="B4907" s="11"/>
      <c r="C4907" s="3212">
        <v>52</v>
      </c>
      <c r="D4907" s="3212"/>
      <c r="E4907" s="3213"/>
      <c r="F4907" s="3214"/>
      <c r="G4907" s="3215"/>
    </row>
    <row r="4908" spans="1:7" x14ac:dyDescent="0.3">
      <c r="A4908" s="6" t="s">
        <v>6755</v>
      </c>
      <c r="B4908" s="6"/>
      <c r="C4908" s="3208">
        <v>19</v>
      </c>
      <c r="D4908" s="3208"/>
      <c r="E4908" s="3209"/>
      <c r="F4908" s="3210"/>
      <c r="G4908" s="3211"/>
    </row>
    <row r="4909" spans="1:7" x14ac:dyDescent="0.3">
      <c r="A4909" s="11" t="s">
        <v>6756</v>
      </c>
      <c r="B4909" s="11"/>
      <c r="C4909" s="3212">
        <v>3</v>
      </c>
      <c r="D4909" s="3212"/>
      <c r="E4909" s="3213"/>
      <c r="F4909" s="3214"/>
      <c r="G4909" s="3215"/>
    </row>
    <row r="4910" spans="1:7" x14ac:dyDescent="0.3">
      <c r="A4910" s="6" t="s">
        <v>6757</v>
      </c>
      <c r="B4910" s="6"/>
      <c r="C4910" s="3208">
        <v>12</v>
      </c>
      <c r="D4910" s="3208"/>
      <c r="E4910" s="3209"/>
      <c r="F4910" s="3210"/>
      <c r="G4910" s="3211"/>
    </row>
    <row r="4911" spans="1:7" x14ac:dyDescent="0.3">
      <c r="A4911" s="11" t="s">
        <v>6758</v>
      </c>
      <c r="B4911" s="11"/>
      <c r="C4911" s="3212">
        <v>27</v>
      </c>
      <c r="D4911" s="3212"/>
      <c r="E4911" s="3213"/>
      <c r="F4911" s="3214"/>
      <c r="G4911" s="3215"/>
    </row>
    <row r="4912" spans="1:7" x14ac:dyDescent="0.3">
      <c r="A4912" s="6" t="s">
        <v>6759</v>
      </c>
      <c r="B4912" s="6"/>
      <c r="C4912" s="3208">
        <v>2</v>
      </c>
      <c r="D4912" s="3208"/>
      <c r="E4912" s="3209"/>
      <c r="F4912" s="3210"/>
      <c r="G4912" s="3211"/>
    </row>
    <row r="4913" spans="1:7" x14ac:dyDescent="0.3">
      <c r="A4913" s="11" t="s">
        <v>6760</v>
      </c>
      <c r="B4913" s="11"/>
      <c r="C4913" s="3212">
        <v>1</v>
      </c>
      <c r="D4913" s="3212"/>
      <c r="E4913" s="3213"/>
      <c r="F4913" s="3214"/>
      <c r="G4913" s="3215"/>
    </row>
    <row r="4914" spans="1:7" x14ac:dyDescent="0.3">
      <c r="A4914" s="6" t="s">
        <v>6761</v>
      </c>
      <c r="B4914" s="6"/>
      <c r="C4914" s="3208">
        <v>1</v>
      </c>
      <c r="D4914" s="3208"/>
      <c r="E4914" s="3209"/>
      <c r="F4914" s="3210"/>
      <c r="G4914" s="3211"/>
    </row>
    <row r="4915" spans="1:7" x14ac:dyDescent="0.3">
      <c r="A4915" s="11" t="s">
        <v>6762</v>
      </c>
      <c r="B4915" s="11"/>
      <c r="C4915" s="3212">
        <v>1</v>
      </c>
      <c r="D4915" s="3212"/>
      <c r="E4915" s="3213"/>
      <c r="F4915" s="3214"/>
      <c r="G4915" s="3215"/>
    </row>
    <row r="4916" spans="1:7" x14ac:dyDescent="0.3">
      <c r="A4916" s="6" t="s">
        <v>6763</v>
      </c>
      <c r="B4916" s="6"/>
      <c r="C4916" s="3208">
        <v>1</v>
      </c>
      <c r="D4916" s="3208"/>
      <c r="E4916" s="3209"/>
      <c r="F4916" s="3210"/>
      <c r="G4916" s="3211"/>
    </row>
    <row r="4917" spans="1:7" x14ac:dyDescent="0.3">
      <c r="A4917" s="11" t="s">
        <v>4144</v>
      </c>
      <c r="B4917" s="11"/>
      <c r="C4917" s="3212">
        <v>315</v>
      </c>
      <c r="D4917" s="3212"/>
      <c r="E4917" s="3213"/>
      <c r="F4917" s="3214"/>
      <c r="G4917" s="3215"/>
    </row>
    <row r="4918" spans="1:7" x14ac:dyDescent="0.3">
      <c r="A4918" s="6" t="s">
        <v>6395</v>
      </c>
      <c r="B4918" s="6"/>
      <c r="C4918" s="3208">
        <v>229</v>
      </c>
      <c r="D4918" s="3208"/>
      <c r="E4918" s="3209"/>
      <c r="F4918" s="3210"/>
      <c r="G4918" s="3211"/>
    </row>
    <row r="4919" spans="1:7" x14ac:dyDescent="0.3">
      <c r="A4919" s="11" t="s">
        <v>6764</v>
      </c>
      <c r="B4919" s="11"/>
      <c r="C4919" s="3212">
        <v>45</v>
      </c>
      <c r="D4919" s="3212"/>
      <c r="E4919" s="3213"/>
      <c r="F4919" s="3214"/>
      <c r="G4919" s="3215"/>
    </row>
    <row r="4920" spans="1:7" x14ac:dyDescent="0.3">
      <c r="A4920" s="6" t="s">
        <v>6765</v>
      </c>
      <c r="B4920" s="6"/>
      <c r="C4920" s="3208">
        <v>3</v>
      </c>
      <c r="D4920" s="3208"/>
      <c r="E4920" s="3209"/>
      <c r="F4920" s="3210"/>
      <c r="G4920" s="3211"/>
    </row>
    <row r="4921" spans="1:7" x14ac:dyDescent="0.3">
      <c r="A4921" s="11" t="s">
        <v>6766</v>
      </c>
      <c r="B4921" s="11"/>
      <c r="C4921" s="3212">
        <v>41</v>
      </c>
      <c r="D4921" s="3212"/>
      <c r="E4921" s="3213"/>
      <c r="F4921" s="3214"/>
      <c r="G4921" s="3215"/>
    </row>
    <row r="4922" spans="1:7" x14ac:dyDescent="0.3">
      <c r="A4922" s="6" t="s">
        <v>6767</v>
      </c>
      <c r="B4922" s="6"/>
      <c r="C4922" s="3208">
        <v>9</v>
      </c>
      <c r="D4922" s="3208"/>
      <c r="E4922" s="3209"/>
      <c r="F4922" s="3210"/>
      <c r="G4922" s="3211"/>
    </row>
    <row r="4923" spans="1:7" x14ac:dyDescent="0.3">
      <c r="A4923" s="11" t="s">
        <v>6768</v>
      </c>
      <c r="B4923" s="11"/>
      <c r="C4923" s="3212">
        <v>1</v>
      </c>
      <c r="D4923" s="3212"/>
      <c r="E4923" s="3213"/>
      <c r="F4923" s="3214"/>
      <c r="G4923" s="3215"/>
    </row>
    <row r="4924" spans="1:7" x14ac:dyDescent="0.3">
      <c r="A4924" s="6" t="s">
        <v>6400</v>
      </c>
      <c r="B4924" s="6"/>
      <c r="C4924" s="3208">
        <v>10</v>
      </c>
      <c r="D4924" s="3208"/>
      <c r="E4924" s="3209"/>
      <c r="F4924" s="3210"/>
      <c r="G4924" s="3211"/>
    </row>
    <row r="4925" spans="1:7" x14ac:dyDescent="0.3">
      <c r="A4925" s="11" t="s">
        <v>6769</v>
      </c>
      <c r="B4925" s="11"/>
      <c r="C4925" s="3212">
        <v>5</v>
      </c>
      <c r="D4925" s="3212"/>
      <c r="E4925" s="3213"/>
      <c r="F4925" s="3214"/>
      <c r="G4925" s="3215"/>
    </row>
    <row r="4926" spans="1:7" x14ac:dyDescent="0.3">
      <c r="A4926" s="6" t="s">
        <v>974</v>
      </c>
      <c r="B4926" s="6" t="s">
        <v>975</v>
      </c>
      <c r="C4926" s="3208">
        <v>6</v>
      </c>
      <c r="D4926" s="3208"/>
      <c r="E4926" s="3209"/>
      <c r="F4926" s="3210"/>
      <c r="G4926" s="3211"/>
    </row>
    <row r="4927" spans="1:7" x14ac:dyDescent="0.3">
      <c r="A4927" s="11" t="s">
        <v>6269</v>
      </c>
      <c r="B4927" s="11" t="s">
        <v>6270</v>
      </c>
      <c r="C4927" s="3212">
        <v>40789</v>
      </c>
      <c r="D4927" s="3212"/>
      <c r="E4927" s="3213"/>
      <c r="F4927" s="3214"/>
      <c r="G4927" s="3215"/>
    </row>
    <row r="4928" spans="1:7" x14ac:dyDescent="0.3">
      <c r="A4928" s="6" t="s">
        <v>6269</v>
      </c>
      <c r="B4928" s="6" t="s">
        <v>6271</v>
      </c>
      <c r="C4928" s="3208">
        <v>40795</v>
      </c>
      <c r="D4928" s="3208"/>
      <c r="E4928" s="3209">
        <v>0</v>
      </c>
      <c r="F4928" s="3210">
        <v>100</v>
      </c>
      <c r="G4928" s="3211">
        <v>0</v>
      </c>
    </row>
    <row r="4929" spans="1:7" x14ac:dyDescent="0.3">
      <c r="A4929" s="3299" t="s">
        <v>951</v>
      </c>
      <c r="B4929" s="3298"/>
      <c r="C4929" s="3298"/>
      <c r="D4929" s="3298"/>
      <c r="E4929" s="3298"/>
      <c r="F4929" s="3298"/>
      <c r="G4929" s="3298"/>
    </row>
    <row r="4930" spans="1:7" x14ac:dyDescent="0.3">
      <c r="A4930" s="11" t="s">
        <v>960</v>
      </c>
      <c r="B4930" s="11" t="s">
        <v>961</v>
      </c>
      <c r="C4930" s="3220">
        <v>7</v>
      </c>
      <c r="D4930" s="3220"/>
      <c r="E4930" s="3221"/>
      <c r="F4930" s="3222"/>
      <c r="G4930" s="3223"/>
    </row>
    <row r="4931" spans="1:7" x14ac:dyDescent="0.3">
      <c r="A4931" s="6" t="s">
        <v>974</v>
      </c>
      <c r="B4931" s="6" t="s">
        <v>975</v>
      </c>
      <c r="C4931" s="3216">
        <v>10</v>
      </c>
      <c r="D4931" s="3216"/>
      <c r="E4931" s="3217"/>
      <c r="F4931" s="3218"/>
      <c r="G4931" s="3219"/>
    </row>
    <row r="4932" spans="1:7" x14ac:dyDescent="0.3">
      <c r="A4932" s="11" t="s">
        <v>6269</v>
      </c>
      <c r="B4932" s="11" t="s">
        <v>6270</v>
      </c>
      <c r="C4932" s="3220">
        <v>40558</v>
      </c>
      <c r="D4932" s="3220"/>
      <c r="E4932" s="3221"/>
      <c r="F4932" s="3222"/>
      <c r="G4932" s="3223"/>
    </row>
    <row r="4933" spans="1:7" x14ac:dyDescent="0.3">
      <c r="A4933" s="6" t="s">
        <v>6269</v>
      </c>
      <c r="B4933" s="6" t="s">
        <v>6271</v>
      </c>
      <c r="C4933" s="3216">
        <v>40575</v>
      </c>
      <c r="D4933" s="3216"/>
      <c r="E4933" s="3217">
        <v>0</v>
      </c>
      <c r="F4933" s="3218">
        <v>100</v>
      </c>
      <c r="G4933" s="3219">
        <v>0</v>
      </c>
    </row>
    <row r="4934" spans="1:7" x14ac:dyDescent="0.3">
      <c r="A4934" s="3299" t="s">
        <v>131</v>
      </c>
      <c r="B4934" s="3298"/>
      <c r="C4934" s="3298"/>
      <c r="D4934" s="3298"/>
      <c r="E4934" s="3298"/>
      <c r="F4934" s="3298"/>
      <c r="G4934" s="3298"/>
    </row>
    <row r="4935" spans="1:7" x14ac:dyDescent="0.3">
      <c r="A4935" s="11" t="s">
        <v>6770</v>
      </c>
      <c r="B4935" s="11"/>
      <c r="C4935" s="3228">
        <v>2</v>
      </c>
      <c r="D4935" s="3228"/>
      <c r="E4935" s="3229"/>
      <c r="F4935" s="3230"/>
      <c r="G4935" s="3231"/>
    </row>
    <row r="4936" spans="1:7" x14ac:dyDescent="0.3">
      <c r="A4936" s="6" t="s">
        <v>6771</v>
      </c>
      <c r="B4936" s="6"/>
      <c r="C4936" s="3224">
        <v>1</v>
      </c>
      <c r="D4936" s="3224"/>
      <c r="E4936" s="3225"/>
      <c r="F4936" s="3226"/>
      <c r="G4936" s="3227"/>
    </row>
    <row r="4937" spans="1:7" x14ac:dyDescent="0.3">
      <c r="A4937" s="11" t="s">
        <v>6772</v>
      </c>
      <c r="B4937" s="11"/>
      <c r="C4937" s="3228">
        <v>2</v>
      </c>
      <c r="D4937" s="3228"/>
      <c r="E4937" s="3229"/>
      <c r="F4937" s="3230"/>
      <c r="G4937" s="3231"/>
    </row>
    <row r="4938" spans="1:7" x14ac:dyDescent="0.3">
      <c r="A4938" s="6" t="s">
        <v>6773</v>
      </c>
      <c r="B4938" s="6"/>
      <c r="C4938" s="3224">
        <v>2</v>
      </c>
      <c r="D4938" s="3224"/>
      <c r="E4938" s="3225"/>
      <c r="F4938" s="3226"/>
      <c r="G4938" s="3227"/>
    </row>
    <row r="4939" spans="1:7" x14ac:dyDescent="0.3">
      <c r="A4939" s="11" t="s">
        <v>6774</v>
      </c>
      <c r="B4939" s="11"/>
      <c r="C4939" s="3228">
        <v>1</v>
      </c>
      <c r="D4939" s="3228"/>
      <c r="E4939" s="3229"/>
      <c r="F4939" s="3230"/>
      <c r="G4939" s="3231"/>
    </row>
    <row r="4940" spans="1:7" x14ac:dyDescent="0.3">
      <c r="A4940" s="6" t="s">
        <v>6775</v>
      </c>
      <c r="B4940" s="6"/>
      <c r="C4940" s="3224">
        <v>2</v>
      </c>
      <c r="D4940" s="3224"/>
      <c r="E4940" s="3225"/>
      <c r="F4940" s="3226"/>
      <c r="G4940" s="3227"/>
    </row>
    <row r="4941" spans="1:7" x14ac:dyDescent="0.3">
      <c r="A4941" s="11" t="s">
        <v>6776</v>
      </c>
      <c r="B4941" s="11"/>
      <c r="C4941" s="3228">
        <v>1</v>
      </c>
      <c r="D4941" s="3228"/>
      <c r="E4941" s="3229"/>
      <c r="F4941" s="3230"/>
      <c r="G4941" s="3231"/>
    </row>
    <row r="4942" spans="1:7" x14ac:dyDescent="0.3">
      <c r="A4942" s="6" t="s">
        <v>6777</v>
      </c>
      <c r="B4942" s="6"/>
      <c r="C4942" s="3224">
        <v>3</v>
      </c>
      <c r="D4942" s="3224"/>
      <c r="E4942" s="3225"/>
      <c r="F4942" s="3226"/>
      <c r="G4942" s="3227"/>
    </row>
    <row r="4943" spans="1:7" x14ac:dyDescent="0.3">
      <c r="A4943" s="11" t="s">
        <v>6778</v>
      </c>
      <c r="B4943" s="11"/>
      <c r="C4943" s="3228">
        <v>1</v>
      </c>
      <c r="D4943" s="3228"/>
      <c r="E4943" s="3229"/>
      <c r="F4943" s="3230"/>
      <c r="G4943" s="3231"/>
    </row>
    <row r="4944" spans="1:7" x14ac:dyDescent="0.3">
      <c r="A4944" s="6" t="s">
        <v>6779</v>
      </c>
      <c r="B4944" s="6"/>
      <c r="C4944" s="3224">
        <v>1</v>
      </c>
      <c r="D4944" s="3224"/>
      <c r="E4944" s="3225"/>
      <c r="F4944" s="3226"/>
      <c r="G4944" s="3227"/>
    </row>
    <row r="4945" spans="1:7" x14ac:dyDescent="0.3">
      <c r="A4945" s="11" t="s">
        <v>6780</v>
      </c>
      <c r="B4945" s="11"/>
      <c r="C4945" s="3228">
        <v>2</v>
      </c>
      <c r="D4945" s="3228"/>
      <c r="E4945" s="3229"/>
      <c r="F4945" s="3230"/>
      <c r="G4945" s="3231"/>
    </row>
    <row r="4946" spans="1:7" x14ac:dyDescent="0.3">
      <c r="A4946" s="6" t="s">
        <v>6781</v>
      </c>
      <c r="B4946" s="6"/>
      <c r="C4946" s="3224">
        <v>1</v>
      </c>
      <c r="D4946" s="3224"/>
      <c r="E4946" s="3225"/>
      <c r="F4946" s="3226"/>
      <c r="G4946" s="3227"/>
    </row>
    <row r="4947" spans="1:7" x14ac:dyDescent="0.3">
      <c r="A4947" s="11" t="s">
        <v>6782</v>
      </c>
      <c r="B4947" s="11"/>
      <c r="C4947" s="3228">
        <v>2</v>
      </c>
      <c r="D4947" s="3228"/>
      <c r="E4947" s="3229"/>
      <c r="F4947" s="3230"/>
      <c r="G4947" s="3231"/>
    </row>
    <row r="4948" spans="1:7" x14ac:dyDescent="0.3">
      <c r="A4948" s="6" t="s">
        <v>6783</v>
      </c>
      <c r="B4948" s="6"/>
      <c r="C4948" s="3224">
        <v>40777</v>
      </c>
      <c r="D4948" s="3224"/>
      <c r="E4948" s="3225"/>
      <c r="F4948" s="3226"/>
      <c r="G4948" s="3227"/>
    </row>
    <row r="4949" spans="1:7" x14ac:dyDescent="0.3">
      <c r="A4949" s="11" t="s">
        <v>6269</v>
      </c>
      <c r="B4949" s="11" t="s">
        <v>6270</v>
      </c>
      <c r="C4949" s="3228">
        <v>40798</v>
      </c>
      <c r="D4949" s="3228"/>
      <c r="E4949" s="3229"/>
      <c r="F4949" s="3230"/>
      <c r="G4949" s="3231"/>
    </row>
    <row r="4950" spans="1:7" x14ac:dyDescent="0.3">
      <c r="A4950" s="6" t="s">
        <v>6269</v>
      </c>
      <c r="B4950" s="6" t="s">
        <v>6271</v>
      </c>
      <c r="C4950" s="3224">
        <v>40798</v>
      </c>
      <c r="D4950" s="3224"/>
      <c r="E4950" s="3225">
        <v>0</v>
      </c>
      <c r="F4950" s="3226">
        <v>100</v>
      </c>
      <c r="G4950" s="3227">
        <v>0</v>
      </c>
    </row>
    <row r="4951" spans="1:7" x14ac:dyDescent="0.3">
      <c r="A4951" s="3299" t="s">
        <v>201</v>
      </c>
      <c r="B4951" s="3298"/>
      <c r="C4951" s="3298"/>
      <c r="D4951" s="3298"/>
      <c r="E4951" s="3298"/>
      <c r="F4951" s="3298"/>
      <c r="G4951" s="3298"/>
    </row>
    <row r="4952" spans="1:7" x14ac:dyDescent="0.3">
      <c r="A4952" s="11" t="s">
        <v>6269</v>
      </c>
      <c r="B4952" s="11" t="s">
        <v>6270</v>
      </c>
      <c r="C4952" s="3236">
        <v>35860</v>
      </c>
      <c r="D4952" s="3236"/>
      <c r="E4952" s="3237"/>
      <c r="F4952" s="3238"/>
      <c r="G4952" s="3239"/>
    </row>
    <row r="4953" spans="1:7" x14ac:dyDescent="0.3">
      <c r="A4953" s="6" t="s">
        <v>6269</v>
      </c>
      <c r="B4953" s="6" t="s">
        <v>6271</v>
      </c>
      <c r="C4953" s="3232">
        <v>35860</v>
      </c>
      <c r="D4953" s="3232"/>
      <c r="E4953" s="3233">
        <v>0</v>
      </c>
      <c r="F4953" s="3234">
        <v>100</v>
      </c>
      <c r="G4953" s="3235">
        <v>0</v>
      </c>
    </row>
    <row r="4954" spans="1:7" x14ac:dyDescent="0.3">
      <c r="A4954" s="3299" t="s">
        <v>203</v>
      </c>
      <c r="B4954" s="3298"/>
      <c r="C4954" s="3298"/>
      <c r="D4954" s="3298"/>
      <c r="E4954" s="3298"/>
      <c r="F4954" s="3298"/>
      <c r="G4954" s="3298"/>
    </row>
    <row r="4955" spans="1:7" x14ac:dyDescent="0.3">
      <c r="A4955" s="11" t="s">
        <v>960</v>
      </c>
      <c r="B4955" s="11" t="s">
        <v>961</v>
      </c>
      <c r="C4955" s="3244">
        <v>19</v>
      </c>
      <c r="D4955" s="3244"/>
      <c r="E4955" s="3245"/>
      <c r="F4955" s="3246"/>
      <c r="G4955" s="3247"/>
    </row>
    <row r="4956" spans="1:7" x14ac:dyDescent="0.3">
      <c r="A4956" s="6" t="s">
        <v>6269</v>
      </c>
      <c r="B4956" s="6" t="s">
        <v>6270</v>
      </c>
      <c r="C4956" s="3240">
        <v>40249</v>
      </c>
      <c r="D4956" s="3240"/>
      <c r="E4956" s="3241"/>
      <c r="F4956" s="3242"/>
      <c r="G4956" s="3243"/>
    </row>
    <row r="4957" spans="1:7" x14ac:dyDescent="0.3">
      <c r="A4957" s="11" t="s">
        <v>6269</v>
      </c>
      <c r="B4957" s="11" t="s">
        <v>6271</v>
      </c>
      <c r="C4957" s="3244">
        <v>40268</v>
      </c>
      <c r="D4957" s="3244"/>
      <c r="E4957" s="3245">
        <v>0</v>
      </c>
      <c r="F4957" s="3246">
        <v>100</v>
      </c>
      <c r="G4957" s="3247">
        <v>0</v>
      </c>
    </row>
    <row r="4958" spans="1:7" x14ac:dyDescent="0.3">
      <c r="A4958" s="3299" t="s">
        <v>575</v>
      </c>
      <c r="B4958" s="3298"/>
      <c r="C4958" s="3298"/>
      <c r="D4958" s="3298"/>
      <c r="E4958" s="3298"/>
      <c r="F4958" s="3298"/>
      <c r="G4958" s="3298"/>
    </row>
    <row r="4959" spans="1:7" x14ac:dyDescent="0.3">
      <c r="A4959" s="11" t="s">
        <v>962</v>
      </c>
      <c r="B4959" s="11"/>
      <c r="C4959" s="3252">
        <v>165</v>
      </c>
      <c r="D4959" s="3252"/>
      <c r="E4959" s="3253"/>
      <c r="F4959" s="3254"/>
      <c r="G4959" s="3255"/>
    </row>
    <row r="4960" spans="1:7" x14ac:dyDescent="0.3">
      <c r="A4960" s="6" t="s">
        <v>964</v>
      </c>
      <c r="B4960" s="6"/>
      <c r="C4960" s="3248">
        <v>2</v>
      </c>
      <c r="D4960" s="3248"/>
      <c r="E4960" s="3249"/>
      <c r="F4960" s="3250"/>
      <c r="G4960" s="3251"/>
    </row>
    <row r="4961" spans="1:7" x14ac:dyDescent="0.3">
      <c r="A4961" s="11" t="s">
        <v>968</v>
      </c>
      <c r="B4961" s="11"/>
      <c r="C4961" s="3252">
        <v>11</v>
      </c>
      <c r="D4961" s="3252"/>
      <c r="E4961" s="3253"/>
      <c r="F4961" s="3254"/>
      <c r="G4961" s="3255"/>
    </row>
    <row r="4962" spans="1:7" x14ac:dyDescent="0.3">
      <c r="A4962" s="6" t="s">
        <v>970</v>
      </c>
      <c r="B4962" s="6"/>
      <c r="C4962" s="3248">
        <v>6</v>
      </c>
      <c r="D4962" s="3248"/>
      <c r="E4962" s="3249"/>
      <c r="F4962" s="3250"/>
      <c r="G4962" s="3251"/>
    </row>
    <row r="4963" spans="1:7" x14ac:dyDescent="0.3">
      <c r="A4963" s="11" t="s">
        <v>972</v>
      </c>
      <c r="B4963" s="11"/>
      <c r="C4963" s="3252">
        <v>52</v>
      </c>
      <c r="D4963" s="3252"/>
      <c r="E4963" s="3253"/>
      <c r="F4963" s="3254"/>
      <c r="G4963" s="3255"/>
    </row>
    <row r="4964" spans="1:7" x14ac:dyDescent="0.3">
      <c r="A4964" s="6" t="s">
        <v>991</v>
      </c>
      <c r="B4964" s="6"/>
      <c r="C4964" s="3248">
        <v>42</v>
      </c>
      <c r="D4964" s="3248"/>
      <c r="E4964" s="3249"/>
      <c r="F4964" s="3250"/>
      <c r="G4964" s="3251"/>
    </row>
    <row r="4965" spans="1:7" x14ac:dyDescent="0.3">
      <c r="A4965" s="11" t="s">
        <v>993</v>
      </c>
      <c r="B4965" s="11"/>
      <c r="C4965" s="3252">
        <v>5</v>
      </c>
      <c r="D4965" s="3252"/>
      <c r="E4965" s="3253"/>
      <c r="F4965" s="3254"/>
      <c r="G4965" s="3255"/>
    </row>
    <row r="4966" spans="1:7" x14ac:dyDescent="0.3">
      <c r="A4966" s="6" t="s">
        <v>995</v>
      </c>
      <c r="B4966" s="6"/>
      <c r="C4966" s="3248">
        <v>1</v>
      </c>
      <c r="D4966" s="3248"/>
      <c r="E4966" s="3249"/>
      <c r="F4966" s="3250"/>
      <c r="G4966" s="3251"/>
    </row>
    <row r="4967" spans="1:7" x14ac:dyDescent="0.3">
      <c r="A4967" s="11" t="s">
        <v>997</v>
      </c>
      <c r="B4967" s="11"/>
      <c r="C4967" s="3252">
        <v>18</v>
      </c>
      <c r="D4967" s="3252"/>
      <c r="E4967" s="3253"/>
      <c r="F4967" s="3254"/>
      <c r="G4967" s="3255"/>
    </row>
    <row r="4968" spans="1:7" x14ac:dyDescent="0.3">
      <c r="A4968" s="6" t="s">
        <v>999</v>
      </c>
      <c r="B4968" s="6"/>
      <c r="C4968" s="3248">
        <v>348</v>
      </c>
      <c r="D4968" s="3248"/>
      <c r="E4968" s="3249"/>
      <c r="F4968" s="3250"/>
      <c r="G4968" s="3251"/>
    </row>
    <row r="4969" spans="1:7" x14ac:dyDescent="0.3">
      <c r="A4969" s="11" t="s">
        <v>1001</v>
      </c>
      <c r="B4969" s="11"/>
      <c r="C4969" s="3252">
        <v>39012</v>
      </c>
      <c r="D4969" s="3252"/>
      <c r="E4969" s="3253"/>
      <c r="F4969" s="3254"/>
      <c r="G4969" s="3255"/>
    </row>
    <row r="4970" spans="1:7" x14ac:dyDescent="0.3">
      <c r="A4970" s="6" t="s">
        <v>1005</v>
      </c>
      <c r="B4970" s="6"/>
      <c r="C4970" s="3248">
        <v>3</v>
      </c>
      <c r="D4970" s="3248"/>
      <c r="E4970" s="3249"/>
      <c r="F4970" s="3250"/>
      <c r="G4970" s="3251"/>
    </row>
    <row r="4971" spans="1:7" x14ac:dyDescent="0.3">
      <c r="A4971" s="11" t="s">
        <v>1007</v>
      </c>
      <c r="B4971" s="11"/>
      <c r="C4971" s="3252">
        <v>3</v>
      </c>
      <c r="D4971" s="3252"/>
      <c r="E4971" s="3253"/>
      <c r="F4971" s="3254"/>
      <c r="G4971" s="3255"/>
    </row>
    <row r="4972" spans="1:7" x14ac:dyDescent="0.3">
      <c r="A4972" s="6" t="s">
        <v>1009</v>
      </c>
      <c r="B4972" s="6"/>
      <c r="C4972" s="3248">
        <v>47</v>
      </c>
      <c r="D4972" s="3248"/>
      <c r="E4972" s="3249"/>
      <c r="F4972" s="3250"/>
      <c r="G4972" s="3251"/>
    </row>
    <row r="4973" spans="1:7" x14ac:dyDescent="0.3">
      <c r="A4973" s="11" t="s">
        <v>1011</v>
      </c>
      <c r="B4973" s="11"/>
      <c r="C4973" s="3252">
        <v>13</v>
      </c>
      <c r="D4973" s="3252"/>
      <c r="E4973" s="3253"/>
      <c r="F4973" s="3254"/>
      <c r="G4973" s="3255"/>
    </row>
    <row r="4974" spans="1:7" x14ac:dyDescent="0.3">
      <c r="A4974" s="6" t="s">
        <v>1013</v>
      </c>
      <c r="B4974" s="6"/>
      <c r="C4974" s="3248">
        <v>6</v>
      </c>
      <c r="D4974" s="3248"/>
      <c r="E4974" s="3249"/>
      <c r="F4974" s="3250"/>
      <c r="G4974" s="3251"/>
    </row>
    <row r="4975" spans="1:7" x14ac:dyDescent="0.3">
      <c r="A4975" s="11" t="s">
        <v>1047</v>
      </c>
      <c r="B4975" s="11"/>
      <c r="C4975" s="3252">
        <v>15</v>
      </c>
      <c r="D4975" s="3252"/>
      <c r="E4975" s="3253"/>
      <c r="F4975" s="3254"/>
      <c r="G4975" s="3255"/>
    </row>
    <row r="4976" spans="1:7" x14ac:dyDescent="0.3">
      <c r="A4976" s="6" t="s">
        <v>1049</v>
      </c>
      <c r="B4976" s="6"/>
      <c r="C4976" s="3248">
        <v>33</v>
      </c>
      <c r="D4976" s="3248"/>
      <c r="E4976" s="3249"/>
      <c r="F4976" s="3250"/>
      <c r="G4976" s="3251"/>
    </row>
    <row r="4977" spans="1:7" x14ac:dyDescent="0.3">
      <c r="A4977" s="11" t="s">
        <v>1051</v>
      </c>
      <c r="B4977" s="11"/>
      <c r="C4977" s="3252">
        <v>2</v>
      </c>
      <c r="D4977" s="3252"/>
      <c r="E4977" s="3253"/>
      <c r="F4977" s="3254"/>
      <c r="G4977" s="3255"/>
    </row>
    <row r="4978" spans="1:7" x14ac:dyDescent="0.3">
      <c r="A4978" s="6" t="s">
        <v>1053</v>
      </c>
      <c r="B4978" s="6"/>
      <c r="C4978" s="3248">
        <v>11</v>
      </c>
      <c r="D4978" s="3248"/>
      <c r="E4978" s="3249"/>
      <c r="F4978" s="3250"/>
      <c r="G4978" s="3251"/>
    </row>
    <row r="4979" spans="1:7" x14ac:dyDescent="0.3">
      <c r="A4979" s="11" t="s">
        <v>3032</v>
      </c>
      <c r="B4979" s="11"/>
      <c r="C4979" s="3252">
        <v>13</v>
      </c>
      <c r="D4979" s="3252"/>
      <c r="E4979" s="3253"/>
      <c r="F4979" s="3254"/>
      <c r="G4979" s="3255"/>
    </row>
    <row r="4980" spans="1:7" x14ac:dyDescent="0.3">
      <c r="A4980" s="6" t="s">
        <v>3034</v>
      </c>
      <c r="B4980" s="6"/>
      <c r="C4980" s="3248">
        <v>26</v>
      </c>
      <c r="D4980" s="3248"/>
      <c r="E4980" s="3249"/>
      <c r="F4980" s="3250"/>
      <c r="G4980" s="3251"/>
    </row>
    <row r="4981" spans="1:7" x14ac:dyDescent="0.3">
      <c r="A4981" s="11" t="s">
        <v>3036</v>
      </c>
      <c r="B4981" s="11"/>
      <c r="C4981" s="3252">
        <v>4</v>
      </c>
      <c r="D4981" s="3252"/>
      <c r="E4981" s="3253"/>
      <c r="F4981" s="3254"/>
      <c r="G4981" s="3255"/>
    </row>
    <row r="4982" spans="1:7" x14ac:dyDescent="0.3">
      <c r="A4982" s="6" t="s">
        <v>3038</v>
      </c>
      <c r="B4982" s="6"/>
      <c r="C4982" s="3248">
        <v>13</v>
      </c>
      <c r="D4982" s="3248"/>
      <c r="E4982" s="3249"/>
      <c r="F4982" s="3250"/>
      <c r="G4982" s="3251"/>
    </row>
    <row r="4983" spans="1:7" x14ac:dyDescent="0.3">
      <c r="A4983" s="11" t="s">
        <v>3040</v>
      </c>
      <c r="B4983" s="11"/>
      <c r="C4983" s="3252">
        <v>24</v>
      </c>
      <c r="D4983" s="3252"/>
      <c r="E4983" s="3253"/>
      <c r="F4983" s="3254"/>
      <c r="G4983" s="3255"/>
    </row>
    <row r="4984" spans="1:7" x14ac:dyDescent="0.3">
      <c r="A4984" s="6" t="s">
        <v>1157</v>
      </c>
      <c r="B4984" s="6"/>
      <c r="C4984" s="3248">
        <v>3</v>
      </c>
      <c r="D4984" s="3248"/>
      <c r="E4984" s="3249"/>
      <c r="F4984" s="3250"/>
      <c r="G4984" s="3251"/>
    </row>
    <row r="4985" spans="1:7" x14ac:dyDescent="0.3">
      <c r="A4985" s="11" t="s">
        <v>1055</v>
      </c>
      <c r="B4985" s="11"/>
      <c r="C4985" s="3252">
        <v>5</v>
      </c>
      <c r="D4985" s="3252"/>
      <c r="E4985" s="3253"/>
      <c r="F4985" s="3254"/>
      <c r="G4985" s="3255"/>
    </row>
    <row r="4986" spans="1:7" x14ac:dyDescent="0.3">
      <c r="A4986" s="6" t="s">
        <v>1057</v>
      </c>
      <c r="B4986" s="6"/>
      <c r="C4986" s="3248">
        <v>11</v>
      </c>
      <c r="D4986" s="3248"/>
      <c r="E4986" s="3249"/>
      <c r="F4986" s="3250"/>
      <c r="G4986" s="3251"/>
    </row>
    <row r="4987" spans="1:7" x14ac:dyDescent="0.3">
      <c r="A4987" s="11" t="s">
        <v>1059</v>
      </c>
      <c r="B4987" s="11"/>
      <c r="C4987" s="3252">
        <v>4</v>
      </c>
      <c r="D4987" s="3252"/>
      <c r="E4987" s="3253"/>
      <c r="F4987" s="3254"/>
      <c r="G4987" s="3255"/>
    </row>
    <row r="4988" spans="1:7" x14ac:dyDescent="0.3">
      <c r="A4988" s="6" t="s">
        <v>1061</v>
      </c>
      <c r="B4988" s="6"/>
      <c r="C4988" s="3248">
        <v>18</v>
      </c>
      <c r="D4988" s="3248"/>
      <c r="E4988" s="3249"/>
      <c r="F4988" s="3250"/>
      <c r="G4988" s="3251"/>
    </row>
    <row r="4989" spans="1:7" x14ac:dyDescent="0.3">
      <c r="A4989" s="11" t="s">
        <v>3049</v>
      </c>
      <c r="B4989" s="11"/>
      <c r="C4989" s="3252">
        <v>52</v>
      </c>
      <c r="D4989" s="3252"/>
      <c r="E4989" s="3253"/>
      <c r="F4989" s="3254"/>
      <c r="G4989" s="3255"/>
    </row>
    <row r="4990" spans="1:7" x14ac:dyDescent="0.3">
      <c r="A4990" s="6" t="s">
        <v>3051</v>
      </c>
      <c r="B4990" s="6"/>
      <c r="C4990" s="3248">
        <v>89</v>
      </c>
      <c r="D4990" s="3248"/>
      <c r="E4990" s="3249"/>
      <c r="F4990" s="3250"/>
      <c r="G4990" s="3251"/>
    </row>
    <row r="4991" spans="1:7" x14ac:dyDescent="0.3">
      <c r="A4991" s="11" t="s">
        <v>3055</v>
      </c>
      <c r="B4991" s="11"/>
      <c r="C4991" s="3252">
        <v>19</v>
      </c>
      <c r="D4991" s="3252"/>
      <c r="E4991" s="3253"/>
      <c r="F4991" s="3254"/>
      <c r="G4991" s="3255"/>
    </row>
    <row r="4992" spans="1:7" x14ac:dyDescent="0.3">
      <c r="A4992" s="6" t="s">
        <v>1159</v>
      </c>
      <c r="B4992" s="6"/>
      <c r="C4992" s="3248">
        <v>3</v>
      </c>
      <c r="D4992" s="3248"/>
      <c r="E4992" s="3249"/>
      <c r="F4992" s="3250"/>
      <c r="G4992" s="3251"/>
    </row>
    <row r="4993" spans="1:7" x14ac:dyDescent="0.3">
      <c r="A4993" s="11" t="s">
        <v>1063</v>
      </c>
      <c r="B4993" s="11"/>
      <c r="C4993" s="3252">
        <v>12</v>
      </c>
      <c r="D4993" s="3252"/>
      <c r="E4993" s="3253"/>
      <c r="F4993" s="3254"/>
      <c r="G4993" s="3255"/>
    </row>
    <row r="4994" spans="1:7" x14ac:dyDescent="0.3">
      <c r="A4994" s="6" t="s">
        <v>1065</v>
      </c>
      <c r="B4994" s="6"/>
      <c r="C4994" s="3248">
        <v>27</v>
      </c>
      <c r="D4994" s="3248"/>
      <c r="E4994" s="3249"/>
      <c r="F4994" s="3250"/>
      <c r="G4994" s="3251"/>
    </row>
    <row r="4995" spans="1:7" x14ac:dyDescent="0.3">
      <c r="A4995" s="11" t="s">
        <v>1069</v>
      </c>
      <c r="B4995" s="11"/>
      <c r="C4995" s="3252">
        <v>1</v>
      </c>
      <c r="D4995" s="3252"/>
      <c r="E4995" s="3253"/>
      <c r="F4995" s="3254"/>
      <c r="G4995" s="3255"/>
    </row>
    <row r="4996" spans="1:7" x14ac:dyDescent="0.3">
      <c r="A4996" s="6" t="s">
        <v>3061</v>
      </c>
      <c r="B4996" s="6"/>
      <c r="C4996" s="3248">
        <v>315</v>
      </c>
      <c r="D4996" s="3248"/>
      <c r="E4996" s="3249"/>
      <c r="F4996" s="3250"/>
      <c r="G4996" s="3251"/>
    </row>
    <row r="4997" spans="1:7" x14ac:dyDescent="0.3">
      <c r="A4997" s="11" t="s">
        <v>3065</v>
      </c>
      <c r="B4997" s="11"/>
      <c r="C4997" s="3252">
        <v>229</v>
      </c>
      <c r="D4997" s="3252"/>
      <c r="E4997" s="3253"/>
      <c r="F4997" s="3254"/>
      <c r="G4997" s="3255"/>
    </row>
    <row r="4998" spans="1:7" x14ac:dyDescent="0.3">
      <c r="A4998" s="6" t="s">
        <v>3067</v>
      </c>
      <c r="B4998" s="6"/>
      <c r="C4998" s="3248">
        <v>45</v>
      </c>
      <c r="D4998" s="3248"/>
      <c r="E4998" s="3249"/>
      <c r="F4998" s="3250"/>
      <c r="G4998" s="3251"/>
    </row>
    <row r="4999" spans="1:7" x14ac:dyDescent="0.3">
      <c r="A4999" s="11" t="s">
        <v>3069</v>
      </c>
      <c r="B4999" s="11"/>
      <c r="C4999" s="3252">
        <v>3</v>
      </c>
      <c r="D4999" s="3252"/>
      <c r="E4999" s="3253"/>
      <c r="F4999" s="3254"/>
      <c r="G4999" s="3255"/>
    </row>
    <row r="5000" spans="1:7" x14ac:dyDescent="0.3">
      <c r="A5000" s="6" t="s">
        <v>1071</v>
      </c>
      <c r="B5000" s="6"/>
      <c r="C5000" s="3248">
        <v>41</v>
      </c>
      <c r="D5000" s="3248"/>
      <c r="E5000" s="3249"/>
      <c r="F5000" s="3250"/>
      <c r="G5000" s="3251"/>
    </row>
    <row r="5001" spans="1:7" x14ac:dyDescent="0.3">
      <c r="A5001" s="11" t="s">
        <v>1075</v>
      </c>
      <c r="B5001" s="11"/>
      <c r="C5001" s="3252">
        <v>9</v>
      </c>
      <c r="D5001" s="3252"/>
      <c r="E5001" s="3253"/>
      <c r="F5001" s="3254"/>
      <c r="G5001" s="3255"/>
    </row>
    <row r="5002" spans="1:7" x14ac:dyDescent="0.3">
      <c r="A5002" s="6" t="s">
        <v>1077</v>
      </c>
      <c r="B5002" s="6"/>
      <c r="C5002" s="3248">
        <v>5</v>
      </c>
      <c r="D5002" s="3248"/>
      <c r="E5002" s="3249"/>
      <c r="F5002" s="3250"/>
      <c r="G5002" s="3251"/>
    </row>
    <row r="5003" spans="1:7" x14ac:dyDescent="0.3">
      <c r="A5003" s="11" t="s">
        <v>3075</v>
      </c>
      <c r="B5003" s="11"/>
      <c r="C5003" s="3252">
        <v>10</v>
      </c>
      <c r="D5003" s="3252"/>
      <c r="E5003" s="3253"/>
      <c r="F5003" s="3254"/>
      <c r="G5003" s="3255"/>
    </row>
    <row r="5004" spans="1:7" x14ac:dyDescent="0.3">
      <c r="A5004" s="6" t="s">
        <v>1089</v>
      </c>
      <c r="B5004" s="6"/>
      <c r="C5004" s="3248">
        <v>2</v>
      </c>
      <c r="D5004" s="3248"/>
      <c r="E5004" s="3249"/>
      <c r="F5004" s="3250"/>
      <c r="G5004" s="3251"/>
    </row>
    <row r="5005" spans="1:7" x14ac:dyDescent="0.3">
      <c r="A5005" s="11" t="s">
        <v>960</v>
      </c>
      <c r="B5005" s="11"/>
      <c r="C5005" s="3252">
        <v>19</v>
      </c>
      <c r="D5005" s="3252"/>
      <c r="E5005" s="3253"/>
      <c r="F5005" s="3254"/>
      <c r="G5005" s="3255"/>
    </row>
    <row r="5006" spans="1:7" x14ac:dyDescent="0.3">
      <c r="A5006" s="6" t="s">
        <v>6269</v>
      </c>
      <c r="B5006" s="6" t="s">
        <v>6270</v>
      </c>
      <c r="C5006" s="3248">
        <v>40778</v>
      </c>
      <c r="D5006" s="3248"/>
      <c r="E5006" s="3249"/>
      <c r="F5006" s="3250"/>
      <c r="G5006" s="3251"/>
    </row>
    <row r="5007" spans="1:7" x14ac:dyDescent="0.3">
      <c r="A5007" s="11" t="s">
        <v>6269</v>
      </c>
      <c r="B5007" s="11" t="s">
        <v>6271</v>
      </c>
      <c r="C5007" s="3252">
        <v>40797</v>
      </c>
      <c r="D5007" s="3252"/>
      <c r="E5007" s="3253">
        <v>0</v>
      </c>
      <c r="F5007" s="3254">
        <v>100</v>
      </c>
      <c r="G5007" s="3255">
        <v>0</v>
      </c>
    </row>
    <row r="5008" spans="1:7" x14ac:dyDescent="0.3">
      <c r="A5008" s="3299" t="s">
        <v>108</v>
      </c>
      <c r="B5008" s="3298"/>
      <c r="C5008" s="3298"/>
      <c r="D5008" s="3298"/>
      <c r="E5008" s="3298"/>
      <c r="F5008" s="3298"/>
      <c r="G5008" s="3298"/>
    </row>
    <row r="5009" spans="1:7" x14ac:dyDescent="0.3">
      <c r="A5009" s="11" t="s">
        <v>960</v>
      </c>
      <c r="B5009" s="11" t="s">
        <v>961</v>
      </c>
      <c r="C5009" s="3260">
        <v>19</v>
      </c>
      <c r="D5009" s="3260"/>
      <c r="E5009" s="3261"/>
      <c r="F5009" s="3262"/>
      <c r="G5009" s="3263"/>
    </row>
    <row r="5010" spans="1:7" x14ac:dyDescent="0.3">
      <c r="A5010" s="6" t="s">
        <v>6269</v>
      </c>
      <c r="B5010" s="6" t="s">
        <v>6270</v>
      </c>
      <c r="C5010" s="3256">
        <v>40778</v>
      </c>
      <c r="D5010" s="3256"/>
      <c r="E5010" s="3257"/>
      <c r="F5010" s="3258"/>
      <c r="G5010" s="3259"/>
    </row>
    <row r="5011" spans="1:7" x14ac:dyDescent="0.3">
      <c r="A5011" s="11" t="s">
        <v>6269</v>
      </c>
      <c r="B5011" s="11" t="s">
        <v>6271</v>
      </c>
      <c r="C5011" s="3260">
        <v>40797</v>
      </c>
      <c r="D5011" s="3260"/>
      <c r="E5011" s="3261">
        <v>0</v>
      </c>
      <c r="F5011" s="3262">
        <v>100</v>
      </c>
      <c r="G5011" s="3263">
        <v>0</v>
      </c>
    </row>
    <row r="5012" spans="1:7" x14ac:dyDescent="0.3">
      <c r="A5012" s="3299" t="s">
        <v>663</v>
      </c>
      <c r="B5012" s="3298"/>
      <c r="C5012" s="3298"/>
      <c r="D5012" s="3298"/>
      <c r="E5012" s="3298"/>
      <c r="F5012" s="3298"/>
      <c r="G5012" s="3298"/>
    </row>
    <row r="5013" spans="1:7" x14ac:dyDescent="0.3">
      <c r="A5013" s="11" t="s">
        <v>960</v>
      </c>
      <c r="B5013" s="11" t="s">
        <v>961</v>
      </c>
      <c r="C5013" s="3268">
        <v>19</v>
      </c>
      <c r="D5013" s="3268"/>
      <c r="E5013" s="3269"/>
      <c r="F5013" s="3270"/>
      <c r="G5013" s="3271"/>
    </row>
    <row r="5014" spans="1:7" x14ac:dyDescent="0.3">
      <c r="A5014" s="6" t="s">
        <v>6269</v>
      </c>
      <c r="B5014" s="6" t="s">
        <v>6270</v>
      </c>
      <c r="C5014" s="3264">
        <v>40626</v>
      </c>
      <c r="D5014" s="3264"/>
      <c r="E5014" s="3265"/>
      <c r="F5014" s="3266"/>
      <c r="G5014" s="3267"/>
    </row>
    <row r="5015" spans="1:7" x14ac:dyDescent="0.3">
      <c r="A5015" s="11" t="s">
        <v>6269</v>
      </c>
      <c r="B5015" s="11" t="s">
        <v>6271</v>
      </c>
      <c r="C5015" s="3268">
        <v>40645</v>
      </c>
      <c r="D5015" s="3268"/>
      <c r="E5015" s="3269">
        <v>0</v>
      </c>
      <c r="F5015" s="3270">
        <v>100</v>
      </c>
      <c r="G5015" s="3271">
        <v>0</v>
      </c>
    </row>
    <row r="5016" spans="1:7" x14ac:dyDescent="0.3">
      <c r="A5016" s="3299" t="s">
        <v>77</v>
      </c>
      <c r="B5016" s="3298"/>
      <c r="C5016" s="3298"/>
      <c r="D5016" s="3298"/>
      <c r="E5016" s="3298"/>
      <c r="F5016" s="3298"/>
      <c r="G5016" s="3298"/>
    </row>
    <row r="5017" spans="1:7" x14ac:dyDescent="0.3">
      <c r="A5017" s="11" t="s">
        <v>1152</v>
      </c>
      <c r="B5017" s="11"/>
      <c r="C5017" s="3276">
        <v>1</v>
      </c>
      <c r="D5017" s="3276"/>
      <c r="E5017" s="3277"/>
      <c r="F5017" s="3278"/>
      <c r="G5017" s="3279"/>
    </row>
    <row r="5018" spans="1:7" x14ac:dyDescent="0.3">
      <c r="A5018" s="6" t="s">
        <v>6272</v>
      </c>
      <c r="B5018" s="6"/>
      <c r="C5018" s="3272">
        <v>15886</v>
      </c>
      <c r="D5018" s="3272"/>
      <c r="E5018" s="3273"/>
      <c r="F5018" s="3274"/>
      <c r="G5018" s="3275"/>
    </row>
    <row r="5019" spans="1:7" x14ac:dyDescent="0.3">
      <c r="A5019" s="11" t="s">
        <v>6274</v>
      </c>
      <c r="B5019" s="11"/>
      <c r="C5019" s="3276">
        <v>13182</v>
      </c>
      <c r="D5019" s="3276"/>
      <c r="E5019" s="3277"/>
      <c r="F5019" s="3278"/>
      <c r="G5019" s="3279"/>
    </row>
    <row r="5020" spans="1:7" x14ac:dyDescent="0.3">
      <c r="A5020" s="6" t="s">
        <v>6273</v>
      </c>
      <c r="B5020" s="6"/>
      <c r="C5020" s="3272">
        <v>8211</v>
      </c>
      <c r="D5020" s="3272"/>
      <c r="E5020" s="3273"/>
      <c r="F5020" s="3274"/>
      <c r="G5020" s="3275"/>
    </row>
    <row r="5021" spans="1:7" x14ac:dyDescent="0.3">
      <c r="A5021" s="11" t="s">
        <v>6276</v>
      </c>
      <c r="B5021" s="11"/>
      <c r="C5021" s="3276">
        <v>2685</v>
      </c>
      <c r="D5021" s="3276"/>
      <c r="E5021" s="3277"/>
      <c r="F5021" s="3278"/>
      <c r="G5021" s="3279"/>
    </row>
    <row r="5022" spans="1:7" x14ac:dyDescent="0.3">
      <c r="A5022" s="6" t="s">
        <v>6275</v>
      </c>
      <c r="B5022" s="6"/>
      <c r="C5022" s="3272">
        <v>647</v>
      </c>
      <c r="D5022" s="3272"/>
      <c r="E5022" s="3273"/>
      <c r="F5022" s="3274"/>
      <c r="G5022" s="3275"/>
    </row>
    <row r="5023" spans="1:7" x14ac:dyDescent="0.3">
      <c r="A5023" s="11" t="s">
        <v>6278</v>
      </c>
      <c r="B5023" s="11"/>
      <c r="C5023" s="3276">
        <v>151</v>
      </c>
      <c r="D5023" s="3276"/>
      <c r="E5023" s="3277"/>
      <c r="F5023" s="3278"/>
      <c r="G5023" s="3279"/>
    </row>
    <row r="5024" spans="1:7" x14ac:dyDescent="0.3">
      <c r="A5024" s="6" t="s">
        <v>6277</v>
      </c>
      <c r="B5024" s="6"/>
      <c r="C5024" s="3272">
        <v>6</v>
      </c>
      <c r="D5024" s="3272"/>
      <c r="E5024" s="3273"/>
      <c r="F5024" s="3274"/>
      <c r="G5024" s="3275"/>
    </row>
    <row r="5025" spans="1:7" x14ac:dyDescent="0.3">
      <c r="A5025" s="11" t="s">
        <v>6279</v>
      </c>
      <c r="B5025" s="11"/>
      <c r="C5025" s="3276">
        <v>10</v>
      </c>
      <c r="D5025" s="3276"/>
      <c r="E5025" s="3277"/>
      <c r="F5025" s="3278"/>
      <c r="G5025" s="3279"/>
    </row>
    <row r="5026" spans="1:7" x14ac:dyDescent="0.3">
      <c r="A5026" s="6" t="s">
        <v>960</v>
      </c>
      <c r="B5026" s="6" t="s">
        <v>961</v>
      </c>
      <c r="C5026" s="3272">
        <v>19</v>
      </c>
      <c r="D5026" s="3272"/>
      <c r="E5026" s="3273"/>
      <c r="F5026" s="3274"/>
      <c r="G5026" s="3275"/>
    </row>
    <row r="5027" spans="1:7" x14ac:dyDescent="0.3">
      <c r="A5027" s="11" t="s">
        <v>6269</v>
      </c>
      <c r="B5027" s="11" t="s">
        <v>6270</v>
      </c>
      <c r="C5027" s="3276">
        <v>40779</v>
      </c>
      <c r="D5027" s="3276"/>
      <c r="E5027" s="3277"/>
      <c r="F5027" s="3278"/>
      <c r="G5027" s="3279"/>
    </row>
    <row r="5028" spans="1:7" x14ac:dyDescent="0.3">
      <c r="A5028" s="6" t="s">
        <v>6269</v>
      </c>
      <c r="B5028" s="6" t="s">
        <v>6271</v>
      </c>
      <c r="C5028" s="3272">
        <v>40798</v>
      </c>
      <c r="D5028" s="3272"/>
      <c r="E5028" s="3273">
        <v>0</v>
      </c>
      <c r="F5028" s="3274">
        <v>100</v>
      </c>
      <c r="G5028" s="3275">
        <v>0</v>
      </c>
    </row>
    <row r="5029" spans="1:7" x14ac:dyDescent="0.3">
      <c r="A5029" s="3299" t="s">
        <v>94</v>
      </c>
      <c r="B5029" s="3298"/>
      <c r="C5029" s="3298"/>
      <c r="D5029" s="3298"/>
      <c r="E5029" s="3298"/>
      <c r="F5029" s="3298"/>
      <c r="G5029" s="3298"/>
    </row>
    <row r="5030" spans="1:7" x14ac:dyDescent="0.3">
      <c r="A5030" s="11" t="s">
        <v>960</v>
      </c>
      <c r="B5030" s="11" t="s">
        <v>961</v>
      </c>
      <c r="C5030" s="3284">
        <v>1486</v>
      </c>
      <c r="D5030" s="3284"/>
      <c r="E5030" s="3285"/>
      <c r="F5030" s="3286"/>
      <c r="G5030" s="3287"/>
    </row>
    <row r="5031" spans="1:7" x14ac:dyDescent="0.3">
      <c r="A5031" s="6" t="s">
        <v>6269</v>
      </c>
      <c r="B5031" s="6" t="s">
        <v>6270</v>
      </c>
      <c r="C5031" s="3280">
        <v>39277</v>
      </c>
      <c r="D5031" s="3280"/>
      <c r="E5031" s="3281"/>
      <c r="F5031" s="3282"/>
      <c r="G5031" s="3283"/>
    </row>
    <row r="5032" spans="1:7" x14ac:dyDescent="0.3">
      <c r="A5032" s="11" t="s">
        <v>6269</v>
      </c>
      <c r="B5032" s="11" t="s">
        <v>6271</v>
      </c>
      <c r="C5032" s="3284">
        <v>40763</v>
      </c>
      <c r="D5032" s="3284"/>
      <c r="E5032" s="3285">
        <v>0</v>
      </c>
      <c r="F5032" s="3286">
        <v>100</v>
      </c>
      <c r="G5032" s="3287">
        <v>0</v>
      </c>
    </row>
    <row r="5033" spans="1:7" x14ac:dyDescent="0.3">
      <c r="A5033" s="3299" t="s">
        <v>133</v>
      </c>
      <c r="B5033" s="3298"/>
      <c r="C5033" s="3298"/>
      <c r="D5033" s="3298"/>
      <c r="E5033" s="3298"/>
      <c r="F5033" s="3298"/>
      <c r="G5033" s="3298"/>
    </row>
    <row r="5034" spans="1:7" x14ac:dyDescent="0.3">
      <c r="A5034" s="11" t="s">
        <v>6784</v>
      </c>
      <c r="B5034" s="11"/>
      <c r="C5034" s="3292">
        <v>5</v>
      </c>
      <c r="D5034" s="3292"/>
      <c r="E5034" s="3293"/>
      <c r="F5034" s="3294"/>
      <c r="G5034" s="3295"/>
    </row>
    <row r="5035" spans="1:7" x14ac:dyDescent="0.3">
      <c r="A5035" s="6" t="s">
        <v>6785</v>
      </c>
      <c r="B5035" s="6"/>
      <c r="C5035" s="3288">
        <v>1</v>
      </c>
      <c r="D5035" s="3288"/>
      <c r="E5035" s="3289"/>
      <c r="F5035" s="3290"/>
      <c r="G5035" s="3291"/>
    </row>
    <row r="5036" spans="1:7" x14ac:dyDescent="0.3">
      <c r="A5036" s="11" t="s">
        <v>6283</v>
      </c>
      <c r="B5036" s="11"/>
      <c r="C5036" s="3292">
        <v>23</v>
      </c>
      <c r="D5036" s="3292"/>
      <c r="E5036" s="3293"/>
      <c r="F5036" s="3294"/>
      <c r="G5036" s="3295"/>
    </row>
    <row r="5037" spans="1:7" x14ac:dyDescent="0.3">
      <c r="A5037" s="6" t="s">
        <v>5081</v>
      </c>
      <c r="B5037" s="6"/>
      <c r="C5037" s="3288">
        <v>18100</v>
      </c>
      <c r="D5037" s="3288"/>
      <c r="E5037" s="3289"/>
      <c r="F5037" s="3290"/>
      <c r="G5037" s="3291"/>
    </row>
    <row r="5038" spans="1:7" x14ac:dyDescent="0.3">
      <c r="A5038" s="11" t="s">
        <v>6710</v>
      </c>
      <c r="B5038" s="11"/>
      <c r="C5038" s="3292">
        <v>1</v>
      </c>
      <c r="D5038" s="3292"/>
      <c r="E5038" s="3293"/>
      <c r="F5038" s="3294"/>
      <c r="G5038" s="3295"/>
    </row>
    <row r="5039" spans="1:7" x14ac:dyDescent="0.3">
      <c r="A5039" s="6" t="s">
        <v>6786</v>
      </c>
      <c r="B5039" s="6"/>
      <c r="C5039" s="3288">
        <v>30</v>
      </c>
      <c r="D5039" s="3288"/>
      <c r="E5039" s="3289"/>
      <c r="F5039" s="3290"/>
      <c r="G5039" s="3291"/>
    </row>
    <row r="5040" spans="1:7" x14ac:dyDescent="0.3">
      <c r="A5040" s="11" t="s">
        <v>6787</v>
      </c>
      <c r="B5040" s="11"/>
      <c r="C5040" s="3292">
        <v>18</v>
      </c>
      <c r="D5040" s="3292"/>
      <c r="E5040" s="3293"/>
      <c r="F5040" s="3294"/>
      <c r="G5040" s="3295"/>
    </row>
    <row r="5041" spans="1:7" x14ac:dyDescent="0.3">
      <c r="A5041" s="6" t="s">
        <v>3085</v>
      </c>
      <c r="B5041" s="6"/>
      <c r="C5041" s="3288">
        <v>5</v>
      </c>
      <c r="D5041" s="3288"/>
      <c r="E5041" s="3289"/>
      <c r="F5041" s="3290"/>
      <c r="G5041" s="3291"/>
    </row>
    <row r="5042" spans="1:7" x14ac:dyDescent="0.3">
      <c r="A5042" s="11" t="s">
        <v>6485</v>
      </c>
      <c r="B5042" s="11"/>
      <c r="C5042" s="3292">
        <v>1</v>
      </c>
      <c r="D5042" s="3292"/>
      <c r="E5042" s="3293"/>
      <c r="F5042" s="3294"/>
      <c r="G5042" s="3295"/>
    </row>
    <row r="5043" spans="1:7" x14ac:dyDescent="0.3">
      <c r="A5043" s="6" t="s">
        <v>6788</v>
      </c>
      <c r="B5043" s="6"/>
      <c r="C5043" s="3288">
        <v>13</v>
      </c>
      <c r="D5043" s="3288"/>
      <c r="E5043" s="3289"/>
      <c r="F5043" s="3290"/>
      <c r="G5043" s="3291"/>
    </row>
    <row r="5044" spans="1:7" x14ac:dyDescent="0.3">
      <c r="A5044" s="11" t="s">
        <v>6789</v>
      </c>
      <c r="B5044" s="11"/>
      <c r="C5044" s="3292">
        <v>21</v>
      </c>
      <c r="D5044" s="3292"/>
      <c r="E5044" s="3293"/>
      <c r="F5044" s="3294"/>
      <c r="G5044" s="3295"/>
    </row>
    <row r="5045" spans="1:7" x14ac:dyDescent="0.3">
      <c r="A5045" s="6" t="s">
        <v>6790</v>
      </c>
      <c r="B5045" s="6"/>
      <c r="C5045" s="3288">
        <v>1199</v>
      </c>
      <c r="D5045" s="3288"/>
      <c r="E5045" s="3289"/>
      <c r="F5045" s="3290"/>
      <c r="G5045" s="3291"/>
    </row>
    <row r="5046" spans="1:7" x14ac:dyDescent="0.3">
      <c r="A5046" s="11" t="s">
        <v>6791</v>
      </c>
      <c r="B5046" s="11"/>
      <c r="C5046" s="3292">
        <v>40</v>
      </c>
      <c r="D5046" s="3292"/>
      <c r="E5046" s="3293"/>
      <c r="F5046" s="3294"/>
      <c r="G5046" s="3295"/>
    </row>
    <row r="5047" spans="1:7" x14ac:dyDescent="0.3">
      <c r="A5047" s="6" t="s">
        <v>6792</v>
      </c>
      <c r="B5047" s="6"/>
      <c r="C5047" s="3288">
        <v>7</v>
      </c>
      <c r="D5047" s="3288"/>
      <c r="E5047" s="3289"/>
      <c r="F5047" s="3290"/>
      <c r="G5047" s="3291"/>
    </row>
    <row r="5048" spans="1:7" x14ac:dyDescent="0.3">
      <c r="A5048" s="11" t="s">
        <v>6793</v>
      </c>
      <c r="B5048" s="11"/>
      <c r="C5048" s="3292">
        <v>30</v>
      </c>
      <c r="D5048" s="3292"/>
      <c r="E5048" s="3293"/>
      <c r="F5048" s="3294"/>
      <c r="G5048" s="3295"/>
    </row>
    <row r="5049" spans="1:7" x14ac:dyDescent="0.3">
      <c r="A5049" s="6" t="s">
        <v>6794</v>
      </c>
      <c r="B5049" s="6"/>
      <c r="C5049" s="3288">
        <v>2324</v>
      </c>
      <c r="D5049" s="3288"/>
      <c r="E5049" s="3289"/>
      <c r="F5049" s="3290"/>
      <c r="G5049" s="3291"/>
    </row>
    <row r="5050" spans="1:7" x14ac:dyDescent="0.3">
      <c r="A5050" s="11" t="s">
        <v>6795</v>
      </c>
      <c r="B5050" s="11"/>
      <c r="C5050" s="3292">
        <v>3</v>
      </c>
      <c r="D5050" s="3292"/>
      <c r="E5050" s="3293"/>
      <c r="F5050" s="3294"/>
      <c r="G5050" s="3295"/>
    </row>
    <row r="5051" spans="1:7" x14ac:dyDescent="0.3">
      <c r="A5051" s="6" t="s">
        <v>6796</v>
      </c>
      <c r="B5051" s="6"/>
      <c r="C5051" s="3288">
        <v>17</v>
      </c>
      <c r="D5051" s="3288"/>
      <c r="E5051" s="3289"/>
      <c r="F5051" s="3290"/>
      <c r="G5051" s="3291"/>
    </row>
    <row r="5052" spans="1:7" x14ac:dyDescent="0.3">
      <c r="A5052" s="11" t="s">
        <v>6797</v>
      </c>
      <c r="B5052" s="11"/>
      <c r="C5052" s="3292">
        <v>3</v>
      </c>
      <c r="D5052" s="3292"/>
      <c r="E5052" s="3293"/>
      <c r="F5052" s="3294"/>
      <c r="G5052" s="3295"/>
    </row>
    <row r="5053" spans="1:7" x14ac:dyDescent="0.3">
      <c r="A5053" s="6" t="s">
        <v>6798</v>
      </c>
      <c r="B5053" s="6"/>
      <c r="C5053" s="3288">
        <v>28</v>
      </c>
      <c r="D5053" s="3288"/>
      <c r="E5053" s="3289"/>
      <c r="F5053" s="3290"/>
      <c r="G5053" s="3291"/>
    </row>
    <row r="5054" spans="1:7" x14ac:dyDescent="0.3">
      <c r="A5054" s="11" t="s">
        <v>6708</v>
      </c>
      <c r="B5054" s="11"/>
      <c r="C5054" s="3292">
        <v>24</v>
      </c>
      <c r="D5054" s="3292"/>
      <c r="E5054" s="3293"/>
      <c r="F5054" s="3294"/>
      <c r="G5054" s="3295"/>
    </row>
    <row r="5055" spans="1:7" x14ac:dyDescent="0.3">
      <c r="A5055" s="6" t="s">
        <v>6799</v>
      </c>
      <c r="B5055" s="6"/>
      <c r="C5055" s="3288">
        <v>7</v>
      </c>
      <c r="D5055" s="3288"/>
      <c r="E5055" s="3289"/>
      <c r="F5055" s="3290"/>
      <c r="G5055" s="3291"/>
    </row>
    <row r="5056" spans="1:7" x14ac:dyDescent="0.3">
      <c r="A5056" s="11" t="s">
        <v>6800</v>
      </c>
      <c r="B5056" s="11"/>
      <c r="C5056" s="3292">
        <v>2</v>
      </c>
      <c r="D5056" s="3292"/>
      <c r="E5056" s="3293"/>
      <c r="F5056" s="3294"/>
      <c r="G5056" s="3295"/>
    </row>
    <row r="5057" spans="1:7" x14ac:dyDescent="0.3">
      <c r="A5057" s="6" t="s">
        <v>6476</v>
      </c>
      <c r="B5057" s="6"/>
      <c r="C5057" s="3288">
        <v>5</v>
      </c>
      <c r="D5057" s="3288"/>
      <c r="E5057" s="3289"/>
      <c r="F5057" s="3290"/>
      <c r="G5057" s="3291"/>
    </row>
    <row r="5058" spans="1:7" x14ac:dyDescent="0.3">
      <c r="A5058" s="11" t="s">
        <v>6801</v>
      </c>
      <c r="B5058" s="11"/>
      <c r="C5058" s="3292">
        <v>1</v>
      </c>
      <c r="D5058" s="3292"/>
      <c r="E5058" s="3293"/>
      <c r="F5058" s="3294"/>
      <c r="G5058" s="3295"/>
    </row>
    <row r="5059" spans="1:7" x14ac:dyDescent="0.3">
      <c r="A5059" s="6" t="s">
        <v>6802</v>
      </c>
      <c r="B5059" s="6"/>
      <c r="C5059" s="3288">
        <v>17</v>
      </c>
      <c r="D5059" s="3288"/>
      <c r="E5059" s="3289"/>
      <c r="F5059" s="3290"/>
      <c r="G5059" s="3291"/>
    </row>
    <row r="5060" spans="1:7" x14ac:dyDescent="0.3">
      <c r="A5060" s="11" t="s">
        <v>6803</v>
      </c>
      <c r="B5060" s="11"/>
      <c r="C5060" s="3292">
        <v>1</v>
      </c>
      <c r="D5060" s="3292"/>
      <c r="E5060" s="3293"/>
      <c r="F5060" s="3294"/>
      <c r="G5060" s="3295"/>
    </row>
    <row r="5061" spans="1:7" x14ac:dyDescent="0.3">
      <c r="A5061" s="6" t="s">
        <v>6804</v>
      </c>
      <c r="B5061" s="6"/>
      <c r="C5061" s="3288">
        <v>4</v>
      </c>
      <c r="D5061" s="3288"/>
      <c r="E5061" s="3289"/>
      <c r="F5061" s="3290"/>
      <c r="G5061" s="3291"/>
    </row>
    <row r="5062" spans="1:7" x14ac:dyDescent="0.3">
      <c r="A5062" s="11" t="s">
        <v>6805</v>
      </c>
      <c r="B5062" s="11"/>
      <c r="C5062" s="3292">
        <v>49</v>
      </c>
      <c r="D5062" s="3292"/>
      <c r="E5062" s="3293"/>
      <c r="F5062" s="3294"/>
      <c r="G5062" s="3295"/>
    </row>
    <row r="5063" spans="1:7" x14ac:dyDescent="0.3">
      <c r="A5063" s="6" t="s">
        <v>6806</v>
      </c>
      <c r="B5063" s="6"/>
      <c r="C5063" s="3288">
        <v>10</v>
      </c>
      <c r="D5063" s="3288"/>
      <c r="E5063" s="3289"/>
      <c r="F5063" s="3290"/>
      <c r="G5063" s="3291"/>
    </row>
    <row r="5064" spans="1:7" x14ac:dyDescent="0.3">
      <c r="A5064" s="11" t="s">
        <v>6807</v>
      </c>
      <c r="B5064" s="11"/>
      <c r="C5064" s="3292">
        <v>4</v>
      </c>
      <c r="D5064" s="3292"/>
      <c r="E5064" s="3293"/>
      <c r="F5064" s="3294"/>
      <c r="G5064" s="3295"/>
    </row>
    <row r="5065" spans="1:7" x14ac:dyDescent="0.3">
      <c r="A5065" s="6" t="s">
        <v>6808</v>
      </c>
      <c r="B5065" s="6"/>
      <c r="C5065" s="3288">
        <v>4</v>
      </c>
      <c r="D5065" s="3288"/>
      <c r="E5065" s="3289"/>
      <c r="F5065" s="3290"/>
      <c r="G5065" s="3291"/>
    </row>
    <row r="5066" spans="1:7" x14ac:dyDescent="0.3">
      <c r="A5066" s="11" t="s">
        <v>6809</v>
      </c>
      <c r="B5066" s="11"/>
      <c r="C5066" s="3292">
        <v>1</v>
      </c>
      <c r="D5066" s="3292"/>
      <c r="E5066" s="3293"/>
      <c r="F5066" s="3294"/>
      <c r="G5066" s="3295"/>
    </row>
    <row r="5067" spans="1:7" x14ac:dyDescent="0.3">
      <c r="A5067" s="6" t="s">
        <v>6810</v>
      </c>
      <c r="B5067" s="6"/>
      <c r="C5067" s="3288">
        <v>7</v>
      </c>
      <c r="D5067" s="3288"/>
      <c r="E5067" s="3289"/>
      <c r="F5067" s="3290"/>
      <c r="G5067" s="3291"/>
    </row>
    <row r="5068" spans="1:7" x14ac:dyDescent="0.3">
      <c r="A5068" s="11" t="s">
        <v>6811</v>
      </c>
      <c r="B5068" s="11"/>
      <c r="C5068" s="3292">
        <v>2</v>
      </c>
      <c r="D5068" s="3292"/>
      <c r="E5068" s="3293"/>
      <c r="F5068" s="3294"/>
      <c r="G5068" s="3295"/>
    </row>
    <row r="5069" spans="1:7" x14ac:dyDescent="0.3">
      <c r="A5069" s="6" t="s">
        <v>1174</v>
      </c>
      <c r="B5069" s="6"/>
      <c r="C5069" s="3288">
        <v>198</v>
      </c>
      <c r="D5069" s="3288"/>
      <c r="E5069" s="3289"/>
      <c r="F5069" s="3290"/>
      <c r="G5069" s="3291"/>
    </row>
    <row r="5070" spans="1:7" x14ac:dyDescent="0.3">
      <c r="A5070" s="11" t="s">
        <v>4833</v>
      </c>
      <c r="B5070" s="11"/>
      <c r="C5070" s="3292">
        <v>11</v>
      </c>
      <c r="D5070" s="3292"/>
      <c r="E5070" s="3293"/>
      <c r="F5070" s="3294"/>
      <c r="G5070" s="3295"/>
    </row>
    <row r="5071" spans="1:7" x14ac:dyDescent="0.3">
      <c r="A5071" s="6" t="s">
        <v>6812</v>
      </c>
      <c r="B5071" s="6"/>
      <c r="C5071" s="3288">
        <v>6</v>
      </c>
      <c r="D5071" s="3288"/>
      <c r="E5071" s="3289"/>
      <c r="F5071" s="3290"/>
      <c r="G5071" s="3291"/>
    </row>
    <row r="5072" spans="1:7" x14ac:dyDescent="0.3">
      <c r="A5072" s="11" t="s">
        <v>6813</v>
      </c>
      <c r="B5072" s="11"/>
      <c r="C5072" s="3292">
        <v>36</v>
      </c>
      <c r="D5072" s="3292"/>
      <c r="E5072" s="3293"/>
      <c r="F5072" s="3294"/>
      <c r="G5072" s="3295"/>
    </row>
    <row r="5073" spans="1:7" x14ac:dyDescent="0.3">
      <c r="A5073" s="6" t="s">
        <v>6814</v>
      </c>
      <c r="B5073" s="6"/>
      <c r="C5073" s="3288">
        <v>3</v>
      </c>
      <c r="D5073" s="3288"/>
      <c r="E5073" s="3289"/>
      <c r="F5073" s="3290"/>
      <c r="G5073" s="3291"/>
    </row>
    <row r="5074" spans="1:7" x14ac:dyDescent="0.3">
      <c r="A5074" s="11" t="s">
        <v>6815</v>
      </c>
      <c r="B5074" s="11"/>
      <c r="C5074" s="3292">
        <v>9</v>
      </c>
      <c r="D5074" s="3292"/>
      <c r="E5074" s="3293"/>
      <c r="F5074" s="3294"/>
      <c r="G5074" s="3295"/>
    </row>
    <row r="5075" spans="1:7" x14ac:dyDescent="0.3">
      <c r="A5075" s="6" t="s">
        <v>6816</v>
      </c>
      <c r="B5075" s="6"/>
      <c r="C5075" s="3288">
        <v>2</v>
      </c>
      <c r="D5075" s="3288"/>
      <c r="E5075" s="3289"/>
      <c r="F5075" s="3290"/>
      <c r="G5075" s="3291"/>
    </row>
    <row r="5076" spans="1:7" x14ac:dyDescent="0.3">
      <c r="A5076" s="11" t="s">
        <v>6817</v>
      </c>
      <c r="B5076" s="11"/>
      <c r="C5076" s="3292">
        <v>2</v>
      </c>
      <c r="D5076" s="3292"/>
      <c r="E5076" s="3293"/>
      <c r="F5076" s="3294"/>
      <c r="G5076" s="3295"/>
    </row>
    <row r="5077" spans="1:7" x14ac:dyDescent="0.3">
      <c r="A5077" s="6" t="s">
        <v>6818</v>
      </c>
      <c r="B5077" s="6"/>
      <c r="C5077" s="3288">
        <v>1</v>
      </c>
      <c r="D5077" s="3288"/>
      <c r="E5077" s="3289"/>
      <c r="F5077" s="3290"/>
      <c r="G5077" s="3291"/>
    </row>
    <row r="5078" spans="1:7" x14ac:dyDescent="0.3">
      <c r="A5078" s="11" t="s">
        <v>6819</v>
      </c>
      <c r="B5078" s="11"/>
      <c r="C5078" s="3292">
        <v>4</v>
      </c>
      <c r="D5078" s="3292"/>
      <c r="E5078" s="3293"/>
      <c r="F5078" s="3294"/>
      <c r="G5078" s="3295"/>
    </row>
    <row r="5079" spans="1:7" x14ac:dyDescent="0.3">
      <c r="A5079" s="6" t="s">
        <v>6820</v>
      </c>
      <c r="B5079" s="6"/>
      <c r="C5079" s="3288">
        <v>17</v>
      </c>
      <c r="D5079" s="3288"/>
      <c r="E5079" s="3289"/>
      <c r="F5079" s="3290"/>
      <c r="G5079" s="3291"/>
    </row>
    <row r="5080" spans="1:7" x14ac:dyDescent="0.3">
      <c r="A5080" s="11" t="s">
        <v>3087</v>
      </c>
      <c r="B5080" s="11"/>
      <c r="C5080" s="3292">
        <v>3</v>
      </c>
      <c r="D5080" s="3292"/>
      <c r="E5080" s="3293"/>
      <c r="F5080" s="3294"/>
      <c r="G5080" s="3295"/>
    </row>
    <row r="5081" spans="1:7" x14ac:dyDescent="0.3">
      <c r="A5081" s="6" t="s">
        <v>6821</v>
      </c>
      <c r="B5081" s="6"/>
      <c r="C5081" s="3288">
        <v>2</v>
      </c>
      <c r="D5081" s="3288"/>
      <c r="E5081" s="3289"/>
      <c r="F5081" s="3290"/>
      <c r="G5081" s="3291"/>
    </row>
    <row r="5082" spans="1:7" x14ac:dyDescent="0.3">
      <c r="A5082" s="11" t="s">
        <v>6822</v>
      </c>
      <c r="B5082" s="11"/>
      <c r="C5082" s="3292">
        <v>3283</v>
      </c>
      <c r="D5082" s="3292"/>
      <c r="E5082" s="3293"/>
      <c r="F5082" s="3294"/>
      <c r="G5082" s="3295"/>
    </row>
    <row r="5083" spans="1:7" x14ac:dyDescent="0.3">
      <c r="A5083" s="6" t="s">
        <v>6823</v>
      </c>
      <c r="B5083" s="6"/>
      <c r="C5083" s="3288">
        <v>9</v>
      </c>
      <c r="D5083" s="3288"/>
      <c r="E5083" s="3289"/>
      <c r="F5083" s="3290"/>
      <c r="G5083" s="3291"/>
    </row>
    <row r="5084" spans="1:7" x14ac:dyDescent="0.3">
      <c r="A5084" s="11" t="s">
        <v>6824</v>
      </c>
      <c r="B5084" s="11"/>
      <c r="C5084" s="3292">
        <v>57</v>
      </c>
      <c r="D5084" s="3292"/>
      <c r="E5084" s="3293"/>
      <c r="F5084" s="3294"/>
      <c r="G5084" s="3295"/>
    </row>
    <row r="5085" spans="1:7" x14ac:dyDescent="0.3">
      <c r="A5085" s="6" t="s">
        <v>6825</v>
      </c>
      <c r="B5085" s="6"/>
      <c r="C5085" s="3288">
        <v>7</v>
      </c>
      <c r="D5085" s="3288"/>
      <c r="E5085" s="3289"/>
      <c r="F5085" s="3290"/>
      <c r="G5085" s="3291"/>
    </row>
    <row r="5086" spans="1:7" x14ac:dyDescent="0.3">
      <c r="A5086" s="11" t="s">
        <v>6826</v>
      </c>
      <c r="B5086" s="11"/>
      <c r="C5086" s="3292">
        <v>3</v>
      </c>
      <c r="D5086" s="3292"/>
      <c r="E5086" s="3293"/>
      <c r="F5086" s="3294"/>
      <c r="G5086" s="3295"/>
    </row>
    <row r="5087" spans="1:7" x14ac:dyDescent="0.3">
      <c r="A5087" s="6" t="s">
        <v>6827</v>
      </c>
      <c r="B5087" s="6"/>
      <c r="C5087" s="3288">
        <v>3</v>
      </c>
      <c r="D5087" s="3288"/>
      <c r="E5087" s="3289"/>
      <c r="F5087" s="3290"/>
      <c r="G5087" s="3291"/>
    </row>
    <row r="5088" spans="1:7" x14ac:dyDescent="0.3">
      <c r="A5088" s="11" t="s">
        <v>6828</v>
      </c>
      <c r="B5088" s="11"/>
      <c r="C5088" s="3292">
        <v>3</v>
      </c>
      <c r="D5088" s="3292"/>
      <c r="E5088" s="3293"/>
      <c r="F5088" s="3294"/>
      <c r="G5088" s="3295"/>
    </row>
    <row r="5089" spans="1:7" x14ac:dyDescent="0.3">
      <c r="A5089" s="6" t="s">
        <v>6829</v>
      </c>
      <c r="B5089" s="6"/>
      <c r="C5089" s="3288">
        <v>16</v>
      </c>
      <c r="D5089" s="3288"/>
      <c r="E5089" s="3289"/>
      <c r="F5089" s="3290"/>
      <c r="G5089" s="3291"/>
    </row>
    <row r="5090" spans="1:7" x14ac:dyDescent="0.3">
      <c r="A5090" s="11" t="s">
        <v>3390</v>
      </c>
      <c r="B5090" s="11"/>
      <c r="C5090" s="3292">
        <v>23</v>
      </c>
      <c r="D5090" s="3292"/>
      <c r="E5090" s="3293"/>
      <c r="F5090" s="3294"/>
      <c r="G5090" s="3295"/>
    </row>
    <row r="5091" spans="1:7" x14ac:dyDescent="0.3">
      <c r="A5091" s="6" t="s">
        <v>6830</v>
      </c>
      <c r="B5091" s="6"/>
      <c r="C5091" s="3288">
        <v>22</v>
      </c>
      <c r="D5091" s="3288"/>
      <c r="E5091" s="3289"/>
      <c r="F5091" s="3290"/>
      <c r="G5091" s="3291"/>
    </row>
    <row r="5092" spans="1:7" x14ac:dyDescent="0.3">
      <c r="A5092" s="11" t="s">
        <v>6831</v>
      </c>
      <c r="B5092" s="11"/>
      <c r="C5092" s="3292">
        <v>49</v>
      </c>
      <c r="D5092" s="3292"/>
      <c r="E5092" s="3293"/>
      <c r="F5092" s="3294"/>
      <c r="G5092" s="3295"/>
    </row>
    <row r="5093" spans="1:7" x14ac:dyDescent="0.3">
      <c r="A5093" s="6" t="s">
        <v>6832</v>
      </c>
      <c r="B5093" s="6"/>
      <c r="C5093" s="3288">
        <v>7</v>
      </c>
      <c r="D5093" s="3288"/>
      <c r="E5093" s="3289"/>
      <c r="F5093" s="3290"/>
      <c r="G5093" s="3291"/>
    </row>
    <row r="5094" spans="1:7" x14ac:dyDescent="0.3">
      <c r="A5094" s="11" t="s">
        <v>6482</v>
      </c>
      <c r="B5094" s="11"/>
      <c r="C5094" s="3292">
        <v>3</v>
      </c>
      <c r="D5094" s="3292"/>
      <c r="E5094" s="3293"/>
      <c r="F5094" s="3294"/>
      <c r="G5094" s="3295"/>
    </row>
    <row r="5095" spans="1:7" x14ac:dyDescent="0.3">
      <c r="A5095" s="6" t="s">
        <v>6833</v>
      </c>
      <c r="B5095" s="6"/>
      <c r="C5095" s="3288">
        <v>74</v>
      </c>
      <c r="D5095" s="3288"/>
      <c r="E5095" s="3289"/>
      <c r="F5095" s="3290"/>
      <c r="G5095" s="3291"/>
    </row>
    <row r="5096" spans="1:7" x14ac:dyDescent="0.3">
      <c r="A5096" s="11" t="s">
        <v>6834</v>
      </c>
      <c r="B5096" s="11"/>
      <c r="C5096" s="3292">
        <v>2</v>
      </c>
      <c r="D5096" s="3292"/>
      <c r="E5096" s="3293"/>
      <c r="F5096" s="3294"/>
      <c r="G5096" s="3295"/>
    </row>
    <row r="5097" spans="1:7" x14ac:dyDescent="0.3">
      <c r="A5097" s="6" t="s">
        <v>6835</v>
      </c>
      <c r="B5097" s="6"/>
      <c r="C5097" s="3288">
        <v>11</v>
      </c>
      <c r="D5097" s="3288"/>
      <c r="E5097" s="3289"/>
      <c r="F5097" s="3290"/>
      <c r="G5097" s="3291"/>
    </row>
    <row r="5098" spans="1:7" x14ac:dyDescent="0.3">
      <c r="A5098" s="11" t="s">
        <v>6836</v>
      </c>
      <c r="B5098" s="11"/>
      <c r="C5098" s="3292">
        <v>1</v>
      </c>
      <c r="D5098" s="3292"/>
      <c r="E5098" s="3293"/>
      <c r="F5098" s="3294"/>
      <c r="G5098" s="3295"/>
    </row>
    <row r="5099" spans="1:7" x14ac:dyDescent="0.3">
      <c r="A5099" s="6" t="s">
        <v>6837</v>
      </c>
      <c r="B5099" s="6"/>
      <c r="C5099" s="3288">
        <v>2</v>
      </c>
      <c r="D5099" s="3288"/>
      <c r="E5099" s="3289"/>
      <c r="F5099" s="3290"/>
      <c r="G5099" s="3291"/>
    </row>
    <row r="5100" spans="1:7" x14ac:dyDescent="0.3">
      <c r="A5100" s="11" t="s">
        <v>6838</v>
      </c>
      <c r="B5100" s="11"/>
      <c r="C5100" s="3292">
        <v>9</v>
      </c>
      <c r="D5100" s="3292"/>
      <c r="E5100" s="3293"/>
      <c r="F5100" s="3294"/>
      <c r="G5100" s="3295"/>
    </row>
    <row r="5101" spans="1:7" x14ac:dyDescent="0.3">
      <c r="A5101" s="6" t="s">
        <v>6480</v>
      </c>
      <c r="B5101" s="6"/>
      <c r="C5101" s="3288">
        <v>17</v>
      </c>
      <c r="D5101" s="3288"/>
      <c r="E5101" s="3289"/>
      <c r="F5101" s="3290"/>
      <c r="G5101" s="3291"/>
    </row>
    <row r="5102" spans="1:7" x14ac:dyDescent="0.3">
      <c r="A5102" s="11" t="s">
        <v>6839</v>
      </c>
      <c r="B5102" s="11"/>
      <c r="C5102" s="3292">
        <v>2</v>
      </c>
      <c r="D5102" s="3292"/>
      <c r="E5102" s="3293"/>
      <c r="F5102" s="3294"/>
      <c r="G5102" s="3295"/>
    </row>
    <row r="5103" spans="1:7" x14ac:dyDescent="0.3">
      <c r="A5103" s="6" t="s">
        <v>6840</v>
      </c>
      <c r="B5103" s="6"/>
      <c r="C5103" s="3288">
        <v>1</v>
      </c>
      <c r="D5103" s="3288"/>
      <c r="E5103" s="3289"/>
      <c r="F5103" s="3290"/>
      <c r="G5103" s="3291"/>
    </row>
    <row r="5104" spans="1:7" x14ac:dyDescent="0.3">
      <c r="A5104" s="11" t="s">
        <v>6841</v>
      </c>
      <c r="B5104" s="11"/>
      <c r="C5104" s="3292">
        <v>4</v>
      </c>
      <c r="D5104" s="3292"/>
      <c r="E5104" s="3293"/>
      <c r="F5104" s="3294"/>
      <c r="G5104" s="3295"/>
    </row>
    <row r="5105" spans="1:7" x14ac:dyDescent="0.3">
      <c r="A5105" s="6" t="s">
        <v>6842</v>
      </c>
      <c r="B5105" s="6"/>
      <c r="C5105" s="3288">
        <v>1</v>
      </c>
      <c r="D5105" s="3288"/>
      <c r="E5105" s="3289"/>
      <c r="F5105" s="3290"/>
      <c r="G5105" s="3291"/>
    </row>
    <row r="5106" spans="1:7" x14ac:dyDescent="0.3">
      <c r="A5106" s="11" t="s">
        <v>6843</v>
      </c>
      <c r="B5106" s="11"/>
      <c r="C5106" s="3292">
        <v>815</v>
      </c>
      <c r="D5106" s="3292"/>
      <c r="E5106" s="3293"/>
      <c r="F5106" s="3294"/>
      <c r="G5106" s="3295"/>
    </row>
    <row r="5107" spans="1:7" x14ac:dyDescent="0.3">
      <c r="A5107" s="6" t="s">
        <v>6844</v>
      </c>
      <c r="B5107" s="6"/>
      <c r="C5107" s="3288">
        <v>4</v>
      </c>
      <c r="D5107" s="3288"/>
      <c r="E5107" s="3289"/>
      <c r="F5107" s="3290"/>
      <c r="G5107" s="3291"/>
    </row>
    <row r="5108" spans="1:7" x14ac:dyDescent="0.3">
      <c r="A5108" s="11" t="s">
        <v>6845</v>
      </c>
      <c r="B5108" s="11"/>
      <c r="C5108" s="3292">
        <v>11</v>
      </c>
      <c r="D5108" s="3292"/>
      <c r="E5108" s="3293"/>
      <c r="F5108" s="3294"/>
      <c r="G5108" s="3295"/>
    </row>
    <row r="5109" spans="1:7" x14ac:dyDescent="0.3">
      <c r="A5109" s="6" t="s">
        <v>6846</v>
      </c>
      <c r="B5109" s="6"/>
      <c r="C5109" s="3288">
        <v>3</v>
      </c>
      <c r="D5109" s="3288"/>
      <c r="E5109" s="3289"/>
      <c r="F5109" s="3290"/>
      <c r="G5109" s="3291"/>
    </row>
    <row r="5110" spans="1:7" x14ac:dyDescent="0.3">
      <c r="A5110" s="11" t="s">
        <v>6847</v>
      </c>
      <c r="B5110" s="11"/>
      <c r="C5110" s="3292">
        <v>27</v>
      </c>
      <c r="D5110" s="3292"/>
      <c r="E5110" s="3293"/>
      <c r="F5110" s="3294"/>
      <c r="G5110" s="3295"/>
    </row>
    <row r="5111" spans="1:7" x14ac:dyDescent="0.3">
      <c r="A5111" s="6" t="s">
        <v>6848</v>
      </c>
      <c r="B5111" s="6"/>
      <c r="C5111" s="3288">
        <v>4177</v>
      </c>
      <c r="D5111" s="3288"/>
      <c r="E5111" s="3289"/>
      <c r="F5111" s="3290"/>
      <c r="G5111" s="3291"/>
    </row>
    <row r="5112" spans="1:7" x14ac:dyDescent="0.3">
      <c r="A5112" s="11" t="s">
        <v>6849</v>
      </c>
      <c r="B5112" s="11"/>
      <c r="C5112" s="3292">
        <v>9</v>
      </c>
      <c r="D5112" s="3292"/>
      <c r="E5112" s="3293"/>
      <c r="F5112" s="3294"/>
      <c r="G5112" s="3295"/>
    </row>
    <row r="5113" spans="1:7" x14ac:dyDescent="0.3">
      <c r="A5113" s="6" t="s">
        <v>6850</v>
      </c>
      <c r="B5113" s="6"/>
      <c r="C5113" s="3288">
        <v>1</v>
      </c>
      <c r="D5113" s="3288"/>
      <c r="E5113" s="3289"/>
      <c r="F5113" s="3290"/>
      <c r="G5113" s="3291"/>
    </row>
    <row r="5114" spans="1:7" x14ac:dyDescent="0.3">
      <c r="A5114" s="11" t="s">
        <v>6851</v>
      </c>
      <c r="B5114" s="11"/>
      <c r="C5114" s="3292">
        <v>6</v>
      </c>
      <c r="D5114" s="3292"/>
      <c r="E5114" s="3293"/>
      <c r="F5114" s="3294"/>
      <c r="G5114" s="3295"/>
    </row>
    <row r="5115" spans="1:7" x14ac:dyDescent="0.3">
      <c r="A5115" s="6" t="s">
        <v>6852</v>
      </c>
      <c r="B5115" s="6"/>
      <c r="C5115" s="3288">
        <v>41</v>
      </c>
      <c r="D5115" s="3288"/>
      <c r="E5115" s="3289"/>
      <c r="F5115" s="3290"/>
      <c r="G5115" s="3291"/>
    </row>
    <row r="5116" spans="1:7" x14ac:dyDescent="0.3">
      <c r="A5116" s="11" t="s">
        <v>6853</v>
      </c>
      <c r="B5116" s="11"/>
      <c r="C5116" s="3292">
        <v>3</v>
      </c>
      <c r="D5116" s="3292"/>
      <c r="E5116" s="3293"/>
      <c r="F5116" s="3294"/>
      <c r="G5116" s="3295"/>
    </row>
    <row r="5117" spans="1:7" x14ac:dyDescent="0.3">
      <c r="A5117" s="6" t="s">
        <v>6854</v>
      </c>
      <c r="B5117" s="6"/>
      <c r="C5117" s="3288">
        <v>4</v>
      </c>
      <c r="D5117" s="3288"/>
      <c r="E5117" s="3289"/>
      <c r="F5117" s="3290"/>
      <c r="G5117" s="3291"/>
    </row>
    <row r="5118" spans="1:7" x14ac:dyDescent="0.3">
      <c r="A5118" s="11" t="s">
        <v>6855</v>
      </c>
      <c r="B5118" s="11"/>
      <c r="C5118" s="3292">
        <v>1</v>
      </c>
      <c r="D5118" s="3292"/>
      <c r="E5118" s="3293"/>
      <c r="F5118" s="3294"/>
      <c r="G5118" s="3295"/>
    </row>
    <row r="5119" spans="1:7" x14ac:dyDescent="0.3">
      <c r="A5119" s="6" t="s">
        <v>6856</v>
      </c>
      <c r="B5119" s="6"/>
      <c r="C5119" s="3288">
        <v>7</v>
      </c>
      <c r="D5119" s="3288"/>
      <c r="E5119" s="3289"/>
      <c r="F5119" s="3290"/>
      <c r="G5119" s="3291"/>
    </row>
    <row r="5120" spans="1:7" x14ac:dyDescent="0.3">
      <c r="A5120" s="11" t="s">
        <v>6857</v>
      </c>
      <c r="B5120" s="11"/>
      <c r="C5120" s="3292">
        <v>49</v>
      </c>
      <c r="D5120" s="3292"/>
      <c r="E5120" s="3293"/>
      <c r="F5120" s="3294"/>
      <c r="G5120" s="3295"/>
    </row>
    <row r="5121" spans="1:7" x14ac:dyDescent="0.3">
      <c r="A5121" s="6" t="s">
        <v>6858</v>
      </c>
      <c r="B5121" s="6"/>
      <c r="C5121" s="3288">
        <v>3</v>
      </c>
      <c r="D5121" s="3288"/>
      <c r="E5121" s="3289"/>
      <c r="F5121" s="3290"/>
      <c r="G5121" s="3291"/>
    </row>
    <row r="5122" spans="1:7" x14ac:dyDescent="0.3">
      <c r="A5122" s="11" t="s">
        <v>960</v>
      </c>
      <c r="B5122" s="11" t="s">
        <v>961</v>
      </c>
      <c r="C5122" s="3292">
        <v>9717</v>
      </c>
      <c r="D5122" s="3292"/>
      <c r="E5122" s="3293"/>
      <c r="F5122" s="3294"/>
      <c r="G5122" s="3295"/>
    </row>
    <row r="5123" spans="1:7" x14ac:dyDescent="0.3">
      <c r="A5123" s="6" t="s">
        <v>6269</v>
      </c>
      <c r="B5123" s="6" t="s">
        <v>6270</v>
      </c>
      <c r="C5123" s="3288">
        <v>31071</v>
      </c>
      <c r="D5123" s="3288"/>
      <c r="E5123" s="3289"/>
      <c r="F5123" s="3290"/>
      <c r="G5123" s="3291"/>
    </row>
    <row r="5124" spans="1:7" x14ac:dyDescent="0.3">
      <c r="A5124" s="11" t="s">
        <v>6269</v>
      </c>
      <c r="B5124" s="11" t="s">
        <v>6271</v>
      </c>
      <c r="C5124" s="3292">
        <v>40788</v>
      </c>
      <c r="D5124" s="3292"/>
      <c r="E5124" s="3293">
        <v>0</v>
      </c>
      <c r="F5124" s="3294">
        <v>100</v>
      </c>
      <c r="G5124" s="3295">
        <v>0</v>
      </c>
    </row>
  </sheetData>
  <mergeCells count="416">
    <mergeCell ref="A5029:G5029"/>
    <mergeCell ref="A5033:G5033"/>
    <mergeCell ref="A4868:G4868"/>
    <mergeCell ref="A4929:G4929"/>
    <mergeCell ref="A4934:G4934"/>
    <mergeCell ref="A4951:G4951"/>
    <mergeCell ref="A4954:G4954"/>
    <mergeCell ref="A4958:G4958"/>
    <mergeCell ref="A5008:G5008"/>
    <mergeCell ref="A5012:G5012"/>
    <mergeCell ref="A5016:G5016"/>
    <mergeCell ref="A4786:G4786"/>
    <mergeCell ref="A4789:G4789"/>
    <mergeCell ref="A4832:G4832"/>
    <mergeCell ref="A4845:G4845"/>
    <mergeCell ref="A4852:G4852"/>
    <mergeCell ref="A4855:G4855"/>
    <mergeCell ref="A4858:G4858"/>
    <mergeCell ref="A4861:G4861"/>
    <mergeCell ref="A4864:G4864"/>
    <mergeCell ref="A4750:G4750"/>
    <mergeCell ref="A4756:G4756"/>
    <mergeCell ref="A4762:G4762"/>
    <mergeCell ref="A4766:G4766"/>
    <mergeCell ref="A4770:G4770"/>
    <mergeCell ref="A4774:G4774"/>
    <mergeCell ref="A4778:G4778"/>
    <mergeCell ref="A4782:G4782"/>
    <mergeCell ref="A4785:G4785"/>
    <mergeCell ref="A4695:G4695"/>
    <mergeCell ref="A4703:G4703"/>
    <mergeCell ref="A4708:G4708"/>
    <mergeCell ref="A4714:G4714"/>
    <mergeCell ref="A4720:G4720"/>
    <mergeCell ref="A4726:G4726"/>
    <mergeCell ref="A4732:G4732"/>
    <mergeCell ref="A4738:G4738"/>
    <mergeCell ref="A4744:G4744"/>
    <mergeCell ref="A4643:G4643"/>
    <mergeCell ref="A4649:G4649"/>
    <mergeCell ref="A4655:G4655"/>
    <mergeCell ref="A4661:G4661"/>
    <mergeCell ref="A4667:G4667"/>
    <mergeCell ref="A4673:G4673"/>
    <mergeCell ref="A4679:G4679"/>
    <mergeCell ref="A4685:G4685"/>
    <mergeCell ref="A4690:G4690"/>
    <mergeCell ref="A4593:G4593"/>
    <mergeCell ref="A4598:G4598"/>
    <mergeCell ref="A4603:G4603"/>
    <mergeCell ref="A4608:G4608"/>
    <mergeCell ref="A4613:G4613"/>
    <mergeCell ref="A4619:G4619"/>
    <mergeCell ref="A4625:G4625"/>
    <mergeCell ref="A4631:G4631"/>
    <mergeCell ref="A4637:G4637"/>
    <mergeCell ref="A4539:G4539"/>
    <mergeCell ref="A4545:G4545"/>
    <mergeCell ref="A4550:G4550"/>
    <mergeCell ref="A4555:G4555"/>
    <mergeCell ref="A4563:G4563"/>
    <mergeCell ref="A4569:G4569"/>
    <mergeCell ref="A4575:G4575"/>
    <mergeCell ref="A4581:G4581"/>
    <mergeCell ref="A4587:G4587"/>
    <mergeCell ref="A4485:G4485"/>
    <mergeCell ref="A4491:G4491"/>
    <mergeCell ref="A4497:G4497"/>
    <mergeCell ref="A4503:G4503"/>
    <mergeCell ref="A4509:G4509"/>
    <mergeCell ref="A4515:G4515"/>
    <mergeCell ref="A4521:G4521"/>
    <mergeCell ref="A4527:G4527"/>
    <mergeCell ref="A4533:G4533"/>
    <mergeCell ref="A4434:G4434"/>
    <mergeCell ref="A4440:G4440"/>
    <mergeCell ref="A4446:G4446"/>
    <mergeCell ref="A4452:G4452"/>
    <mergeCell ref="A4458:G4458"/>
    <mergeCell ref="A4463:G4463"/>
    <mergeCell ref="A4468:G4468"/>
    <mergeCell ref="A4473:G4473"/>
    <mergeCell ref="A4479:G4479"/>
    <mergeCell ref="A4374:G4374"/>
    <mergeCell ref="A4378:G4378"/>
    <mergeCell ref="A4383:G4383"/>
    <mergeCell ref="A4387:G4387"/>
    <mergeCell ref="A4391:G4391"/>
    <mergeCell ref="A4397:G4397"/>
    <mergeCell ref="A4409:G4409"/>
    <mergeCell ref="A4422:G4422"/>
    <mergeCell ref="A4428:G4428"/>
    <mergeCell ref="A4261:G4261"/>
    <mergeCell ref="A4266:G4266"/>
    <mergeCell ref="A4271:G4271"/>
    <mergeCell ref="A4277:G4277"/>
    <mergeCell ref="A4286:G4286"/>
    <mergeCell ref="A4319:G4319"/>
    <mergeCell ref="A4354:G4354"/>
    <mergeCell ref="A4360:G4360"/>
    <mergeCell ref="A4365:G4365"/>
    <mergeCell ref="A4064:G4064"/>
    <mergeCell ref="A4078:G4078"/>
    <mergeCell ref="A4122:G4122"/>
    <mergeCell ref="A4130:G4130"/>
    <mergeCell ref="A4179:G4179"/>
    <mergeCell ref="A4192:G4192"/>
    <mergeCell ref="A4218:G4218"/>
    <mergeCell ref="A4227:G4227"/>
    <mergeCell ref="A4252:G4252"/>
    <mergeCell ref="A3887:G3887"/>
    <mergeCell ref="A3895:G3895"/>
    <mergeCell ref="A3900:G3900"/>
    <mergeCell ref="A3925:G3925"/>
    <mergeCell ref="A3950:G3950"/>
    <mergeCell ref="A3966:G3966"/>
    <mergeCell ref="A4001:G4001"/>
    <mergeCell ref="A4010:G4010"/>
    <mergeCell ref="A4024:G4024"/>
    <mergeCell ref="A3720:G3720"/>
    <mergeCell ref="A3783:G3783"/>
    <mergeCell ref="A3788:G3788"/>
    <mergeCell ref="A3803:G3803"/>
    <mergeCell ref="A3866:G3866"/>
    <mergeCell ref="A3871:G3871"/>
    <mergeCell ref="A3875:G3875"/>
    <mergeCell ref="A3878:G3878"/>
    <mergeCell ref="A3882:G3882"/>
    <mergeCell ref="A3555:G3555"/>
    <mergeCell ref="A3568:G3568"/>
    <mergeCell ref="A3610:G3610"/>
    <mergeCell ref="A3652:G3652"/>
    <mergeCell ref="A3693:G3693"/>
    <mergeCell ref="A3696:G3696"/>
    <mergeCell ref="A3699:G3699"/>
    <mergeCell ref="A3702:G3702"/>
    <mergeCell ref="A3705:G3705"/>
    <mergeCell ref="A3489:G3489"/>
    <mergeCell ref="A3500:G3500"/>
    <mergeCell ref="A3518:G3518"/>
    <mergeCell ref="A3525:G3525"/>
    <mergeCell ref="A3530:G3530"/>
    <mergeCell ref="A3541:G3541"/>
    <mergeCell ref="A3546:G3546"/>
    <mergeCell ref="A3551:G3551"/>
    <mergeCell ref="A3552:G3552"/>
    <mergeCell ref="A3371:G3371"/>
    <mergeCell ref="A3379:G3379"/>
    <mergeCell ref="A3390:G3390"/>
    <mergeCell ref="A3410:G3410"/>
    <mergeCell ref="A3449:G3449"/>
    <mergeCell ref="A3459:G3459"/>
    <mergeCell ref="A3466:G3466"/>
    <mergeCell ref="A3474:G3474"/>
    <mergeCell ref="A3482:G3482"/>
    <mergeCell ref="A3288:G3288"/>
    <mergeCell ref="A3292:G3292"/>
    <mergeCell ref="A3297:G3297"/>
    <mergeCell ref="A3301:G3301"/>
    <mergeCell ref="A3310:G3310"/>
    <mergeCell ref="A3325:G3325"/>
    <mergeCell ref="A3338:G3338"/>
    <mergeCell ref="A3350:G3350"/>
    <mergeCell ref="A3364:G3364"/>
    <mergeCell ref="A3019:G3019"/>
    <mergeCell ref="A3024:G3024"/>
    <mergeCell ref="A3034:G3034"/>
    <mergeCell ref="A3040:G3040"/>
    <mergeCell ref="A3041:G3041"/>
    <mergeCell ref="A3044:G3044"/>
    <mergeCell ref="A3059:G3059"/>
    <mergeCell ref="A3142:G3142"/>
    <mergeCell ref="A3224:G3224"/>
    <mergeCell ref="A2857:G2857"/>
    <mergeCell ref="A2881:G2881"/>
    <mergeCell ref="A2886:G2886"/>
    <mergeCell ref="A2891:G2891"/>
    <mergeCell ref="A2896:G2896"/>
    <mergeCell ref="A2901:G2901"/>
    <mergeCell ref="A2906:G2906"/>
    <mergeCell ref="A2911:G2911"/>
    <mergeCell ref="A3014:G3014"/>
    <mergeCell ref="A2738:G2738"/>
    <mergeCell ref="A2745:G2745"/>
    <mergeCell ref="A2750:G2750"/>
    <mergeCell ref="A2755:G2755"/>
    <mergeCell ref="A2763:G2763"/>
    <mergeCell ref="A2768:G2768"/>
    <mergeCell ref="A2794:G2794"/>
    <mergeCell ref="A2799:G2799"/>
    <mergeCell ref="A2832:G2832"/>
    <mergeCell ref="A2693:G2693"/>
    <mergeCell ref="A2698:G2698"/>
    <mergeCell ref="A2703:G2703"/>
    <mergeCell ref="A2708:G2708"/>
    <mergeCell ref="A2713:G2713"/>
    <mergeCell ref="A2718:G2718"/>
    <mergeCell ref="A2723:G2723"/>
    <mergeCell ref="A2728:G2728"/>
    <mergeCell ref="A2733:G2733"/>
    <mergeCell ref="A2644:G2644"/>
    <mergeCell ref="A2649:G2649"/>
    <mergeCell ref="A2654:G2654"/>
    <mergeCell ref="A2659:G2659"/>
    <mergeCell ref="A2664:G2664"/>
    <mergeCell ref="A2669:G2669"/>
    <mergeCell ref="A2674:G2674"/>
    <mergeCell ref="A2679:G2679"/>
    <mergeCell ref="A2688:G2688"/>
    <mergeCell ref="A2594:G2594"/>
    <mergeCell ref="A2604:G2604"/>
    <mergeCell ref="A2609:G2609"/>
    <mergeCell ref="A2614:G2614"/>
    <mergeCell ref="A2619:G2619"/>
    <mergeCell ref="A2624:G2624"/>
    <mergeCell ref="A2629:G2629"/>
    <mergeCell ref="A2634:G2634"/>
    <mergeCell ref="A2639:G2639"/>
    <mergeCell ref="A2540:G2540"/>
    <mergeCell ref="A2546:G2546"/>
    <mergeCell ref="A2552:G2552"/>
    <mergeCell ref="A2558:G2558"/>
    <mergeCell ref="A2564:G2564"/>
    <mergeCell ref="A2570:G2570"/>
    <mergeCell ref="A2576:G2576"/>
    <mergeCell ref="A2582:G2582"/>
    <mergeCell ref="A2588:G2588"/>
    <mergeCell ref="A2487:G2487"/>
    <mergeCell ref="A2493:G2493"/>
    <mergeCell ref="A2499:G2499"/>
    <mergeCell ref="A2505:G2505"/>
    <mergeCell ref="A2511:G2511"/>
    <mergeCell ref="A2517:G2517"/>
    <mergeCell ref="A2523:G2523"/>
    <mergeCell ref="A2529:G2529"/>
    <mergeCell ref="A2534:G2534"/>
    <mergeCell ref="A2389:G2389"/>
    <mergeCell ref="A2394:G2394"/>
    <mergeCell ref="A2399:G2399"/>
    <mergeCell ref="A2404:G2404"/>
    <mergeCell ref="A2409:G2409"/>
    <mergeCell ref="A2414:G2414"/>
    <mergeCell ref="A2469:G2469"/>
    <mergeCell ref="A2475:G2475"/>
    <mergeCell ref="A2481:G2481"/>
    <mergeCell ref="A2312:G2312"/>
    <mergeCell ref="A2317:G2317"/>
    <mergeCell ref="A2328:G2328"/>
    <mergeCell ref="A2336:G2336"/>
    <mergeCell ref="A2341:G2341"/>
    <mergeCell ref="A2358:G2358"/>
    <mergeCell ref="A2374:G2374"/>
    <mergeCell ref="A2379:G2379"/>
    <mergeCell ref="A2384:G2384"/>
    <mergeCell ref="A2128:G2128"/>
    <mergeCell ref="A2137:G2137"/>
    <mergeCell ref="A2164:G2164"/>
    <mergeCell ref="A2192:G2192"/>
    <mergeCell ref="A2199:G2199"/>
    <mergeCell ref="A2280:G2280"/>
    <mergeCell ref="A2286:G2286"/>
    <mergeCell ref="A2295:G2295"/>
    <mergeCell ref="A2301:G2301"/>
    <mergeCell ref="A2019:G2019"/>
    <mergeCell ref="A2024:G2024"/>
    <mergeCell ref="A2041:G2041"/>
    <mergeCell ref="A2046:G2046"/>
    <mergeCell ref="A2054:G2054"/>
    <mergeCell ref="A2061:G2061"/>
    <mergeCell ref="A2101:G2101"/>
    <mergeCell ref="A2109:G2109"/>
    <mergeCell ref="A2117:G2117"/>
    <mergeCell ref="A1843:G1843"/>
    <mergeCell ref="A1869:G1869"/>
    <mergeCell ref="A1876:G1876"/>
    <mergeCell ref="A1893:G1893"/>
    <mergeCell ref="A1947:G1947"/>
    <mergeCell ref="A1954:G1954"/>
    <mergeCell ref="A1962:G1962"/>
    <mergeCell ref="A1971:G1971"/>
    <mergeCell ref="A2001:G2001"/>
    <mergeCell ref="A1530:G1530"/>
    <mergeCell ref="A1536:G1536"/>
    <mergeCell ref="A1542:G1542"/>
    <mergeCell ref="A1585:G1585"/>
    <mergeCell ref="A1611:G1611"/>
    <mergeCell ref="A1630:G1630"/>
    <mergeCell ref="A1665:G1665"/>
    <mergeCell ref="A1681:G1681"/>
    <mergeCell ref="A1774:G1774"/>
    <mergeCell ref="A1477:G1477"/>
    <mergeCell ref="A1483:G1483"/>
    <mergeCell ref="A1488:G1488"/>
    <mergeCell ref="A1494:G1494"/>
    <mergeCell ref="A1500:G1500"/>
    <mergeCell ref="A1506:G1506"/>
    <mergeCell ref="A1512:G1512"/>
    <mergeCell ref="A1518:G1518"/>
    <mergeCell ref="A1524:G1524"/>
    <mergeCell ref="A1389:G1389"/>
    <mergeCell ref="A1415:G1415"/>
    <mergeCell ref="A1435:G1435"/>
    <mergeCell ref="A1441:G1441"/>
    <mergeCell ref="A1447:G1447"/>
    <mergeCell ref="A1453:G1453"/>
    <mergeCell ref="A1459:G1459"/>
    <mergeCell ref="A1465:G1465"/>
    <mergeCell ref="A1471:G1471"/>
    <mergeCell ref="A1178:G1178"/>
    <mergeCell ref="A1202:G1202"/>
    <mergeCell ref="A1213:G1213"/>
    <mergeCell ref="A1225:G1225"/>
    <mergeCell ref="A1236:G1236"/>
    <mergeCell ref="A1241:G1241"/>
    <mergeCell ref="A1249:G1249"/>
    <mergeCell ref="A1314:G1314"/>
    <mergeCell ref="A1359:G1359"/>
    <mergeCell ref="A1102:G1102"/>
    <mergeCell ref="A1109:G1109"/>
    <mergeCell ref="A1121:G1121"/>
    <mergeCell ref="A1128:G1128"/>
    <mergeCell ref="A1140:G1140"/>
    <mergeCell ref="A1152:G1152"/>
    <mergeCell ref="A1159:G1159"/>
    <mergeCell ref="A1165:G1165"/>
    <mergeCell ref="A1172:G1172"/>
    <mergeCell ref="A944:G944"/>
    <mergeCell ref="A950:G950"/>
    <mergeCell ref="A951:G951"/>
    <mergeCell ref="A954:G954"/>
    <mergeCell ref="A967:G967"/>
    <mergeCell ref="A970:G970"/>
    <mergeCell ref="A1075:G1075"/>
    <mergeCell ref="A1085:G1085"/>
    <mergeCell ref="A1092:G1092"/>
    <mergeCell ref="A908:G908"/>
    <mergeCell ref="A911:G911"/>
    <mergeCell ref="A914:G914"/>
    <mergeCell ref="A917:G917"/>
    <mergeCell ref="A920:G920"/>
    <mergeCell ref="A923:G923"/>
    <mergeCell ref="A926:G926"/>
    <mergeCell ref="A931:G931"/>
    <mergeCell ref="A940:G940"/>
    <mergeCell ref="A819:G819"/>
    <mergeCell ref="A823:G823"/>
    <mergeCell ref="A837:G837"/>
    <mergeCell ref="A848:G848"/>
    <mergeCell ref="A859:G859"/>
    <mergeCell ref="A870:G870"/>
    <mergeCell ref="A884:G884"/>
    <mergeCell ref="A895:G895"/>
    <mergeCell ref="A905:G905"/>
    <mergeCell ref="A712:G712"/>
    <mergeCell ref="A716:G716"/>
    <mergeCell ref="A720:G720"/>
    <mergeCell ref="A724:G724"/>
    <mergeCell ref="A728:G728"/>
    <mergeCell ref="A735:G735"/>
    <mergeCell ref="A747:G747"/>
    <mergeCell ref="A754:G754"/>
    <mergeCell ref="A807:G807"/>
    <mergeCell ref="A597:G597"/>
    <mergeCell ref="A604:G604"/>
    <mergeCell ref="A617:G617"/>
    <mergeCell ref="A624:G624"/>
    <mergeCell ref="A633:G633"/>
    <mergeCell ref="A638:G638"/>
    <mergeCell ref="A645:G645"/>
    <mergeCell ref="A654:G654"/>
    <mergeCell ref="A659:G659"/>
    <mergeCell ref="A466:G466"/>
    <mergeCell ref="A471:G471"/>
    <mergeCell ref="A482:G482"/>
    <mergeCell ref="A529:G529"/>
    <mergeCell ref="A541:G541"/>
    <mergeCell ref="A553:G553"/>
    <mergeCell ref="A564:G564"/>
    <mergeCell ref="A572:G572"/>
    <mergeCell ref="A581:G581"/>
    <mergeCell ref="A386:G386"/>
    <mergeCell ref="A395:G395"/>
    <mergeCell ref="A404:G404"/>
    <mergeCell ref="A413:G413"/>
    <mergeCell ref="A422:G422"/>
    <mergeCell ref="A432:G432"/>
    <mergeCell ref="A443:G443"/>
    <mergeCell ref="A453:G453"/>
    <mergeCell ref="A458:G458"/>
    <mergeCell ref="A206:G206"/>
    <mergeCell ref="A215:G215"/>
    <mergeCell ref="A225:G225"/>
    <mergeCell ref="A236:G236"/>
    <mergeCell ref="A340:G340"/>
    <mergeCell ref="A349:G349"/>
    <mergeCell ref="A358:G358"/>
    <mergeCell ref="A368:G368"/>
    <mergeCell ref="A377:G377"/>
    <mergeCell ref="A119:G119"/>
    <mergeCell ref="A125:G125"/>
    <mergeCell ref="A130:G130"/>
    <mergeCell ref="A137:G137"/>
    <mergeCell ref="A146:G146"/>
    <mergeCell ref="A158:G158"/>
    <mergeCell ref="A173:G173"/>
    <mergeCell ref="A190:G190"/>
    <mergeCell ref="A197:G197"/>
    <mergeCell ref="A2:G2"/>
    <mergeCell ref="A3:G3"/>
    <mergeCell ref="A6:G6"/>
    <mergeCell ref="A9:G9"/>
    <mergeCell ref="A91:G91"/>
    <mergeCell ref="A99:G99"/>
    <mergeCell ref="A103:G103"/>
    <mergeCell ref="A108:G108"/>
    <mergeCell ref="A113:G113"/>
  </mergeCells>
  <pageMargins left="0.7" right="0.7" top="0.75" bottom="0.75" header="0.3" footer="0.3"/>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Variables</vt:lpstr>
      <vt:lpstr>Value Lookup</vt:lpstr>
      <vt:lpstr>Tables</vt:lpstr>
      <vt:lpstr>Weights</vt:lpstr>
      <vt:lpstr>Frequencies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Elements for 2017 National Household Travel Survey (NHTS) Georgia Add-On</dc:title>
  <dc:creator>Westat</dc:creator>
  <cp:lastModifiedBy>Glickson, Amy</cp:lastModifiedBy>
  <dcterms:created xsi:type="dcterms:W3CDTF">2014-03-07T16:08:25Z</dcterms:created>
  <dcterms:modified xsi:type="dcterms:W3CDTF">2019-12-27T18:52:23Z</dcterms:modified>
  <cp:contentStatus>The NHTS Georgia add-on data package contains a demographic and socioeconomic composition of 8,631 household samples in Georgia, as well as detailed information on the travel behavior of each household for one assigned day. It does not contain data pertaining to residence type (i.e., single family home, apartment, condo, etc.).</cp:contentStatus>
</cp:coreProperties>
</file>