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omments5.xml" ContentType="application/vnd.openxmlformats-officedocument.spreadsheetml.comment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08"/>
  <workbookPr codeName="ThisWorkbook" defaultThemeVersion="124226"/>
  <mc:AlternateContent xmlns:mc="http://schemas.openxmlformats.org/markup-compatibility/2006">
    <mc:Choice Requires="x15">
      <x15ac:absPath xmlns:x15ac="http://schemas.microsoft.com/office/spreadsheetml/2010/11/ac" url="/Users/hdreves/Desktop/2018_11 FinanceRE Site Redesign/CREST Spreadsheets/"/>
    </mc:Choice>
  </mc:AlternateContent>
  <xr:revisionPtr revIDLastSave="0" documentId="13_ncr:1_{0F1ED46E-B3CA-5E42-B9AE-DB9F8AA0518E}" xr6:coauthVersionLast="40" xr6:coauthVersionMax="40" xr10:uidLastSave="{00000000-0000-0000-0000-000000000000}"/>
  <bookViews>
    <workbookView xWindow="1600" yWindow="460" windowWidth="19140" windowHeight="9080" tabRatio="725" xr2:uid="{00000000-000D-0000-FFFF-FFFF00000000}"/>
  </bookViews>
  <sheets>
    <sheet name="Introduction" sheetId="6" r:id="rId1"/>
    <sheet name="Inputs" sheetId="7" r:id="rId2"/>
    <sheet name="Summary Results" sheetId="9" r:id="rId3"/>
    <sheet name="Annual Cash Flows &amp; Returns" sheetId="10" r:id="rId4"/>
    <sheet name="Cash Flow" sheetId="11" r:id="rId5"/>
    <sheet name="Complex Inputs" sheetId="12" r:id="rId6"/>
  </sheets>
  <definedNames>
    <definedName name="_ftn1" localSheetId="1">Inputs!#REF!</definedName>
    <definedName name="_ftnref1" localSheetId="1">Inputs!$E$120</definedName>
    <definedName name="complex_confirmation">'Complex Inputs'!$B$27</definedName>
    <definedName name="complex_plant">'Complex Inputs'!$B$52</definedName>
    <definedName name="complex_wellfield">'Complex Inputs'!$B$27</definedName>
    <definedName name="depreciation_allocation">'Complex Inputs'!$E$114</definedName>
    <definedName name="_xlnm.Print_Area" localSheetId="0">Introduction!$B$2:$D$27</definedName>
    <definedName name="production_degradation">'Complex Inputs'!$F$126</definedName>
    <definedName name="production_degradation_input">'Complex Inputs'!$G$129</definedName>
    <definedName name="production_mkt_val">'Complex Inputs'!$B$126</definedName>
    <definedName name="solver_adj" localSheetId="1" hidden="1">Inputs!$G$79</definedName>
    <definedName name="solver_cvg" localSheetId="1" hidden="1">0.0001</definedName>
    <definedName name="solver_drv" localSheetId="1" hidden="1">1</definedName>
    <definedName name="solver_est" localSheetId="1" hidden="1">1</definedName>
    <definedName name="solver_itr" localSheetId="1" hidden="1">100</definedName>
    <definedName name="solver_lhs1" localSheetId="1" hidden="1">Inputs!$G$84</definedName>
    <definedName name="solver_lhs2" localSheetId="1" hidden="1">Inputs!$G$87</definedName>
    <definedName name="solver_lin" localSheetId="1" hidden="1">2</definedName>
    <definedName name="solver_neg" localSheetId="1" hidden="1">2</definedName>
    <definedName name="solver_num" localSheetId="1" hidden="1">2</definedName>
    <definedName name="solver_nwt" localSheetId="1" hidden="1">1</definedName>
    <definedName name="solver_opt" localSheetId="1" hidden="1">Inputs!$U$118</definedName>
    <definedName name="solver_pre" localSheetId="1" hidden="1">0.000001</definedName>
    <definedName name="solver_rel1" localSheetId="1" hidden="1">3</definedName>
    <definedName name="solver_rel2" localSheetId="1" hidden="1">3</definedName>
    <definedName name="solver_rhs1" localSheetId="1" hidden="1">Inputs!$G$83</definedName>
    <definedName name="solver_rhs2" localSheetId="1" hidden="1">Inputs!$G$86</definedName>
    <definedName name="solver_scl" localSheetId="1" hidden="1">2</definedName>
    <definedName name="solver_sho" localSheetId="1" hidden="1">2</definedName>
    <definedName name="solver_tim" localSheetId="1" hidden="1">100</definedName>
    <definedName name="solver_tol" localSheetId="1" hidden="1">0.05</definedName>
    <definedName name="solver_typ" localSheetId="1" hidden="1">2</definedName>
    <definedName name="solver_val" localSheetId="1" hidden="1">0</definedName>
    <definedName name="Thermal_Resource_Degradation_Input">'Complex Inputs'!$J$129</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66" i="7" l="1"/>
  <c r="G55" i="7"/>
  <c r="G116" i="12"/>
  <c r="H116" i="12"/>
  <c r="I116" i="12"/>
  <c r="J116" i="12"/>
  <c r="K116" i="12"/>
  <c r="F116" i="12"/>
  <c r="G31" i="7"/>
  <c r="G32" i="7" s="1"/>
  <c r="B4" i="12"/>
  <c r="B116" i="12" s="1"/>
  <c r="E116" i="12" s="1"/>
  <c r="C25" i="12"/>
  <c r="D25" i="12" s="1"/>
  <c r="G42" i="7"/>
  <c r="B78" i="12"/>
  <c r="B119" i="12" s="1"/>
  <c r="E119" i="12" s="1"/>
  <c r="B52" i="12"/>
  <c r="B118" i="12" s="1"/>
  <c r="E118" i="12" s="1"/>
  <c r="G29" i="7"/>
  <c r="C116" i="12" l="1"/>
  <c r="D116" i="12"/>
  <c r="F71" i="7"/>
  <c r="T55" i="7"/>
  <c r="R55" i="7"/>
  <c r="H18" i="11"/>
  <c r="I18" i="11"/>
  <c r="J18" i="11"/>
  <c r="K18" i="11"/>
  <c r="L18" i="11"/>
  <c r="M18" i="11"/>
  <c r="N18" i="11"/>
  <c r="O18" i="11"/>
  <c r="P18" i="11"/>
  <c r="Q18" i="11"/>
  <c r="R18" i="11"/>
  <c r="S18" i="11"/>
  <c r="T18" i="11"/>
  <c r="U18" i="11"/>
  <c r="V18" i="11"/>
  <c r="W18" i="11"/>
  <c r="X18" i="11"/>
  <c r="Y18" i="11"/>
  <c r="Z18" i="11"/>
  <c r="AA18" i="11"/>
  <c r="AB18" i="11"/>
  <c r="AC18" i="11"/>
  <c r="AD18" i="11"/>
  <c r="AE18" i="11"/>
  <c r="AF18" i="11"/>
  <c r="AG18" i="11"/>
  <c r="AH18" i="11"/>
  <c r="AI18" i="11"/>
  <c r="AJ18" i="11"/>
  <c r="G18" i="11"/>
  <c r="Q170" i="11"/>
  <c r="R170" i="11"/>
  <c r="S170" i="11"/>
  <c r="T170" i="11"/>
  <c r="U170" i="11"/>
  <c r="V170" i="11"/>
  <c r="W170" i="11"/>
  <c r="X170" i="11"/>
  <c r="Y170" i="11"/>
  <c r="Z170" i="11"/>
  <c r="AA170" i="11"/>
  <c r="AB170" i="11"/>
  <c r="AC170" i="11"/>
  <c r="AD170" i="11"/>
  <c r="AE170" i="11"/>
  <c r="AF170" i="11"/>
  <c r="AG170" i="11"/>
  <c r="AH170" i="11"/>
  <c r="AI170" i="11"/>
  <c r="AJ170" i="11"/>
  <c r="H169" i="11"/>
  <c r="I169" i="11"/>
  <c r="J169" i="11"/>
  <c r="K169" i="11"/>
  <c r="L169" i="11"/>
  <c r="M169" i="11"/>
  <c r="N169" i="11"/>
  <c r="O169" i="11"/>
  <c r="P169" i="11"/>
  <c r="Q169" i="11"/>
  <c r="R169" i="11"/>
  <c r="S169" i="11"/>
  <c r="T169" i="11"/>
  <c r="U169" i="11"/>
  <c r="V169" i="11"/>
  <c r="W169" i="11"/>
  <c r="X169" i="11"/>
  <c r="Y169" i="11"/>
  <c r="Z169" i="11"/>
  <c r="AA169" i="11"/>
  <c r="AB169" i="11"/>
  <c r="AC169" i="11"/>
  <c r="AD169" i="11"/>
  <c r="AE169" i="11"/>
  <c r="AF169" i="11"/>
  <c r="AG169" i="11"/>
  <c r="AH169" i="11"/>
  <c r="AI169" i="11"/>
  <c r="AJ169" i="11"/>
  <c r="H184" i="11"/>
  <c r="I184" i="11"/>
  <c r="J184" i="11"/>
  <c r="K184" i="11"/>
  <c r="L184" i="11"/>
  <c r="M184" i="11"/>
  <c r="N184" i="11"/>
  <c r="O184" i="11"/>
  <c r="P184" i="11"/>
  <c r="Q184" i="11"/>
  <c r="R184" i="11"/>
  <c r="S184" i="11"/>
  <c r="T184" i="11"/>
  <c r="U184" i="11"/>
  <c r="V184" i="11"/>
  <c r="W184" i="11"/>
  <c r="X184" i="11"/>
  <c r="Y184" i="11"/>
  <c r="Z184" i="11"/>
  <c r="AA184" i="11"/>
  <c r="AB184" i="11"/>
  <c r="AC184" i="11"/>
  <c r="AD184" i="11"/>
  <c r="AE184" i="11"/>
  <c r="AF184" i="11"/>
  <c r="AG184" i="11"/>
  <c r="AH184" i="11"/>
  <c r="AI184" i="11"/>
  <c r="AJ184" i="11"/>
  <c r="G184" i="11"/>
  <c r="G106" i="7"/>
  <c r="T77" i="7" l="1"/>
  <c r="Q20" i="11"/>
  <c r="R20" i="11"/>
  <c r="S20" i="11"/>
  <c r="T20" i="11"/>
  <c r="U20" i="11"/>
  <c r="V20" i="11"/>
  <c r="W20" i="11"/>
  <c r="X20" i="11"/>
  <c r="Y20" i="11"/>
  <c r="Z20" i="11"/>
  <c r="AA20" i="11"/>
  <c r="AB20" i="11"/>
  <c r="AC20" i="11"/>
  <c r="AD20" i="11"/>
  <c r="AE20" i="11"/>
  <c r="AF20" i="11"/>
  <c r="AG20" i="11"/>
  <c r="AH20" i="11"/>
  <c r="AI20" i="11"/>
  <c r="AJ20" i="11"/>
  <c r="G20" i="11"/>
  <c r="L183" i="11"/>
  <c r="M183" i="11"/>
  <c r="N183" i="11"/>
  <c r="O183" i="11"/>
  <c r="P183" i="11"/>
  <c r="Q183" i="11"/>
  <c r="R183" i="11"/>
  <c r="S183" i="11"/>
  <c r="T183" i="11"/>
  <c r="U183" i="11"/>
  <c r="V183" i="11"/>
  <c r="W183" i="11"/>
  <c r="X183" i="11"/>
  <c r="Y183" i="11"/>
  <c r="Z183" i="11"/>
  <c r="AA183" i="11"/>
  <c r="AB183" i="11"/>
  <c r="AC183" i="11"/>
  <c r="AD183" i="11"/>
  <c r="AE183" i="11"/>
  <c r="AF183" i="11"/>
  <c r="AG183" i="11"/>
  <c r="AH183" i="11"/>
  <c r="AI183" i="11"/>
  <c r="AJ183" i="11"/>
  <c r="R76" i="7"/>
  <c r="R74" i="7"/>
  <c r="R70" i="7"/>
  <c r="D46" i="9"/>
  <c r="D35" i="9"/>
  <c r="D34" i="9"/>
  <c r="D24" i="9"/>
  <c r="N57" i="7" l="1"/>
  <c r="C22" i="9"/>
  <c r="D22" i="9"/>
  <c r="B22" i="9"/>
  <c r="D20" i="9"/>
  <c r="C20" i="9"/>
  <c r="B20" i="9"/>
  <c r="Y44" i="11" l="1"/>
  <c r="Z44" i="11"/>
  <c r="AA44" i="11"/>
  <c r="AB44" i="11"/>
  <c r="AC44" i="11"/>
  <c r="AD44" i="11"/>
  <c r="AE44" i="11"/>
  <c r="AF44" i="11"/>
  <c r="AG44" i="11"/>
  <c r="AH44" i="11"/>
  <c r="AI44" i="11"/>
  <c r="AJ44" i="11"/>
  <c r="E125" i="11" l="1"/>
  <c r="E122" i="11"/>
  <c r="K120" i="12" l="1"/>
  <c r="K119" i="12"/>
  <c r="K118" i="12"/>
  <c r="K117" i="12"/>
  <c r="K121" i="12" l="1"/>
  <c r="D35" i="7"/>
  <c r="L92" i="7"/>
  <c r="L97" i="7"/>
  <c r="O97" i="7"/>
  <c r="N92" i="7"/>
  <c r="N93" i="7"/>
  <c r="E16" i="7"/>
  <c r="L91" i="7" l="1"/>
  <c r="O92" i="7"/>
  <c r="O93" i="7"/>
  <c r="N94" i="7"/>
  <c r="O94" i="7"/>
  <c r="N95" i="7"/>
  <c r="O95" i="7"/>
  <c r="N96" i="7"/>
  <c r="O96" i="7"/>
  <c r="G35" i="11" l="1"/>
  <c r="G31" i="11"/>
  <c r="G29" i="11"/>
  <c r="E11" i="7"/>
  <c r="H46" i="7"/>
  <c r="H36" i="7"/>
  <c r="G218" i="11" l="1"/>
  <c r="G219" i="11" s="1"/>
  <c r="G217" i="11"/>
  <c r="G211" i="11"/>
  <c r="I129" i="12"/>
  <c r="I130" i="12" s="1"/>
  <c r="I131" i="12" s="1"/>
  <c r="I132" i="12" s="1"/>
  <c r="I133" i="12" s="1"/>
  <c r="I134" i="12" s="1"/>
  <c r="I135" i="12" s="1"/>
  <c r="I136" i="12" s="1"/>
  <c r="I137" i="12" s="1"/>
  <c r="I138" i="12" s="1"/>
  <c r="I139" i="12" s="1"/>
  <c r="I140" i="12" s="1"/>
  <c r="I141" i="12" s="1"/>
  <c r="I142" i="12" s="1"/>
  <c r="I143" i="12" s="1"/>
  <c r="I144" i="12" s="1"/>
  <c r="I145" i="12" s="1"/>
  <c r="I146" i="12" s="1"/>
  <c r="I147" i="12" s="1"/>
  <c r="I148" i="12" s="1"/>
  <c r="I149" i="12" s="1"/>
  <c r="I150" i="12" s="1"/>
  <c r="I151" i="12" s="1"/>
  <c r="I152" i="12" s="1"/>
  <c r="I153" i="12" s="1"/>
  <c r="I154" i="12" s="1"/>
  <c r="I155" i="12" s="1"/>
  <c r="I156" i="12" s="1"/>
  <c r="I157" i="12" s="1"/>
  <c r="I158" i="12" s="1"/>
  <c r="F129" i="12"/>
  <c r="F130" i="12" s="1"/>
  <c r="F131" i="12" s="1"/>
  <c r="F132" i="12" s="1"/>
  <c r="F133" i="12" s="1"/>
  <c r="F134" i="12" s="1"/>
  <c r="F135" i="12" s="1"/>
  <c r="F136" i="12" s="1"/>
  <c r="F137" i="12" s="1"/>
  <c r="F138" i="12" s="1"/>
  <c r="F139" i="12" s="1"/>
  <c r="F140" i="12" s="1"/>
  <c r="F141" i="12" s="1"/>
  <c r="F142" i="12" s="1"/>
  <c r="F143" i="12" s="1"/>
  <c r="F144" i="12" s="1"/>
  <c r="F145" i="12" s="1"/>
  <c r="F146" i="12" s="1"/>
  <c r="F147" i="12" s="1"/>
  <c r="F148" i="12" s="1"/>
  <c r="F149" i="12" s="1"/>
  <c r="F150" i="12" s="1"/>
  <c r="F151" i="12" s="1"/>
  <c r="F152" i="12" s="1"/>
  <c r="F153" i="12" s="1"/>
  <c r="F154" i="12" s="1"/>
  <c r="F155" i="12" s="1"/>
  <c r="F156" i="12" s="1"/>
  <c r="F157" i="12" s="1"/>
  <c r="F158" i="12" s="1"/>
  <c r="C129" i="12"/>
  <c r="AI217" i="11" l="1"/>
  <c r="AG217" i="11"/>
  <c r="AE217" i="11"/>
  <c r="AC217" i="11"/>
  <c r="AA217" i="11"/>
  <c r="Y217" i="11"/>
  <c r="W217" i="11"/>
  <c r="U217" i="11"/>
  <c r="S217" i="11"/>
  <c r="Q217" i="11"/>
  <c r="O217" i="11"/>
  <c r="M217" i="11"/>
  <c r="K217" i="11"/>
  <c r="I217" i="11"/>
  <c r="AJ217" i="11"/>
  <c r="AH217" i="11"/>
  <c r="AF217" i="11"/>
  <c r="AD217" i="11"/>
  <c r="AB217" i="11"/>
  <c r="Z217" i="11"/>
  <c r="X217" i="11"/>
  <c r="V217" i="11"/>
  <c r="T217" i="11"/>
  <c r="R217" i="11"/>
  <c r="P217" i="11"/>
  <c r="N217" i="11"/>
  <c r="L217" i="11"/>
  <c r="J217" i="11"/>
  <c r="H217" i="11"/>
  <c r="H218" i="11" s="1"/>
  <c r="AI211" i="11"/>
  <c r="AG211" i="11"/>
  <c r="AE211" i="11"/>
  <c r="AC211" i="11"/>
  <c r="AA211" i="11"/>
  <c r="Y211" i="11"/>
  <c r="W211" i="11"/>
  <c r="U211" i="11"/>
  <c r="S211" i="11"/>
  <c r="Q211" i="11"/>
  <c r="O211" i="11"/>
  <c r="M211" i="11"/>
  <c r="K211" i="11"/>
  <c r="I211" i="11"/>
  <c r="AJ211" i="11"/>
  <c r="AH211" i="11"/>
  <c r="AF211" i="11"/>
  <c r="AD211" i="11"/>
  <c r="AB211" i="11"/>
  <c r="Z211" i="11"/>
  <c r="X211" i="11"/>
  <c r="V211" i="11"/>
  <c r="T211" i="11"/>
  <c r="R211" i="11"/>
  <c r="P211" i="11"/>
  <c r="N211" i="11"/>
  <c r="L211" i="11"/>
  <c r="J211" i="11"/>
  <c r="H211" i="11"/>
  <c r="D18" i="9"/>
  <c r="C18" i="9"/>
  <c r="H36" i="11"/>
  <c r="I36" i="11"/>
  <c r="J36" i="11"/>
  <c r="K36" i="11"/>
  <c r="L36" i="11"/>
  <c r="M36" i="11"/>
  <c r="N36" i="11"/>
  <c r="O36" i="11"/>
  <c r="P36" i="11"/>
  <c r="Q36" i="11"/>
  <c r="R36" i="11"/>
  <c r="S36" i="11"/>
  <c r="T36" i="11"/>
  <c r="U36" i="11"/>
  <c r="V36" i="11"/>
  <c r="W36" i="11"/>
  <c r="X36" i="11"/>
  <c r="Y36" i="11"/>
  <c r="Z36" i="11"/>
  <c r="AA36" i="11"/>
  <c r="AB36" i="11"/>
  <c r="AC36" i="11"/>
  <c r="AD36" i="11"/>
  <c r="AE36" i="11"/>
  <c r="AF36" i="11"/>
  <c r="AG36" i="11"/>
  <c r="AH36" i="11"/>
  <c r="AI36" i="11"/>
  <c r="AJ36" i="11"/>
  <c r="G34" i="11"/>
  <c r="H27" i="11"/>
  <c r="H35" i="11" s="1"/>
  <c r="G13" i="7"/>
  <c r="G212" i="11" s="1"/>
  <c r="G213" i="11" s="1"/>
  <c r="G214" i="11" s="1"/>
  <c r="G220" i="11" s="1"/>
  <c r="G5" i="11" s="1"/>
  <c r="G21" i="11" s="1"/>
  <c r="H219" i="11" l="1"/>
  <c r="I218" i="11"/>
  <c r="I219" i="11" s="1"/>
  <c r="G32" i="11"/>
  <c r="G30" i="11"/>
  <c r="H34" i="11"/>
  <c r="H31" i="11"/>
  <c r="H29" i="11"/>
  <c r="H212" i="11"/>
  <c r="H213" i="11" s="1"/>
  <c r="H214" i="11" s="1"/>
  <c r="I27" i="11"/>
  <c r="I35" i="11" s="1"/>
  <c r="H220" i="11" l="1"/>
  <c r="H5" i="11" s="1"/>
  <c r="H30" i="11" s="1"/>
  <c r="J218" i="11"/>
  <c r="J219" i="11" s="1"/>
  <c r="I31" i="11"/>
  <c r="I29" i="11"/>
  <c r="I212" i="11"/>
  <c r="J212" i="11" s="1"/>
  <c r="J27" i="11"/>
  <c r="J35" i="11" s="1"/>
  <c r="I34" i="11"/>
  <c r="H32" i="11" l="1"/>
  <c r="K218" i="11"/>
  <c r="K219" i="11" s="1"/>
  <c r="I213" i="11"/>
  <c r="I214" i="11" s="1"/>
  <c r="I220" i="11" s="1"/>
  <c r="I5" i="11" s="1"/>
  <c r="I32" i="11" s="1"/>
  <c r="J31" i="11"/>
  <c r="J29" i="11"/>
  <c r="K212" i="11"/>
  <c r="J213" i="11"/>
  <c r="J214" i="11" s="1"/>
  <c r="J220" i="11" s="1"/>
  <c r="J5" i="11" s="1"/>
  <c r="J34" i="11"/>
  <c r="K27" i="11"/>
  <c r="K35" i="11" s="1"/>
  <c r="L218" i="11" l="1"/>
  <c r="L219" i="11" s="1"/>
  <c r="I30" i="11"/>
  <c r="K31" i="11"/>
  <c r="K29" i="11"/>
  <c r="J32" i="11"/>
  <c r="J30" i="11"/>
  <c r="L212" i="11"/>
  <c r="K213" i="11"/>
  <c r="K214" i="11" s="1"/>
  <c r="K220" i="11" s="1"/>
  <c r="K5" i="11" s="1"/>
  <c r="M218" i="11"/>
  <c r="M219" i="11" s="1"/>
  <c r="K34" i="11"/>
  <c r="L27" i="11"/>
  <c r="L35" i="11" s="1"/>
  <c r="L31" i="11" l="1"/>
  <c r="L29" i="11"/>
  <c r="K32" i="11"/>
  <c r="K30" i="11"/>
  <c r="M212" i="11"/>
  <c r="L213" i="11"/>
  <c r="L214" i="11" s="1"/>
  <c r="L220" i="11" s="1"/>
  <c r="L5" i="11" s="1"/>
  <c r="N218" i="11"/>
  <c r="N219" i="11" s="1"/>
  <c r="L34" i="11"/>
  <c r="M27" i="11"/>
  <c r="M35" i="11" s="1"/>
  <c r="M31" i="11" l="1"/>
  <c r="M29" i="11"/>
  <c r="L32" i="11"/>
  <c r="L30" i="11"/>
  <c r="N212" i="11"/>
  <c r="M213" i="11"/>
  <c r="M214" i="11" s="1"/>
  <c r="M220" i="11" s="1"/>
  <c r="M5" i="11" s="1"/>
  <c r="O218" i="11"/>
  <c r="O219" i="11" s="1"/>
  <c r="M34" i="11"/>
  <c r="N27" i="11"/>
  <c r="N35" i="11" s="1"/>
  <c r="N31" i="11" l="1"/>
  <c r="N29" i="11"/>
  <c r="M32" i="11"/>
  <c r="M30" i="11"/>
  <c r="O212" i="11"/>
  <c r="N213" i="11"/>
  <c r="N214" i="11" s="1"/>
  <c r="N220" i="11" s="1"/>
  <c r="N5" i="11" s="1"/>
  <c r="P218" i="11"/>
  <c r="P219" i="11" s="1"/>
  <c r="N34" i="11"/>
  <c r="O27" i="11"/>
  <c r="O35" i="11" s="1"/>
  <c r="O31" i="11" l="1"/>
  <c r="O29" i="11"/>
  <c r="N32" i="11"/>
  <c r="N30" i="11"/>
  <c r="P212" i="11"/>
  <c r="O213" i="11"/>
  <c r="O214" i="11" s="1"/>
  <c r="O220" i="11" s="1"/>
  <c r="O5" i="11" s="1"/>
  <c r="Q218" i="11"/>
  <c r="Q219" i="11" s="1"/>
  <c r="O34" i="11"/>
  <c r="P27" i="11"/>
  <c r="P35" i="11" s="1"/>
  <c r="P31" i="11" l="1"/>
  <c r="P29" i="11"/>
  <c r="O32" i="11"/>
  <c r="O30" i="11"/>
  <c r="Q212" i="11"/>
  <c r="R212" i="11" s="1"/>
  <c r="S212" i="11" s="1"/>
  <c r="T212" i="11" s="1"/>
  <c r="U212" i="11" s="1"/>
  <c r="V212" i="11" s="1"/>
  <c r="W212" i="11" s="1"/>
  <c r="X212" i="11" s="1"/>
  <c r="Y212" i="11" s="1"/>
  <c r="Z212" i="11" s="1"/>
  <c r="AA212" i="11" s="1"/>
  <c r="AB212" i="11" s="1"/>
  <c r="AC212" i="11" s="1"/>
  <c r="AD212" i="11" s="1"/>
  <c r="AE212" i="11" s="1"/>
  <c r="AF212" i="11" s="1"/>
  <c r="AG212" i="11" s="1"/>
  <c r="AH212" i="11" s="1"/>
  <c r="AI212" i="11" s="1"/>
  <c r="AJ212" i="11" s="1"/>
  <c r="P213" i="11"/>
  <c r="R218" i="11"/>
  <c r="R219" i="11" s="1"/>
  <c r="P34" i="11"/>
  <c r="Q27" i="11"/>
  <c r="Q35" i="11" s="1"/>
  <c r="B27" i="12"/>
  <c r="B117" i="12" s="1"/>
  <c r="E117" i="12" s="1"/>
  <c r="C48" i="12"/>
  <c r="Q31" i="11" l="1"/>
  <c r="Q29" i="11"/>
  <c r="P214" i="11"/>
  <c r="P220" i="11" s="1"/>
  <c r="P5" i="11" s="1"/>
  <c r="Q213" i="11"/>
  <c r="S218" i="11"/>
  <c r="S219" i="11" s="1"/>
  <c r="Q34" i="11"/>
  <c r="R27" i="11"/>
  <c r="R35" i="11" s="1"/>
  <c r="P32" i="11" l="1"/>
  <c r="P30" i="11"/>
  <c r="R31" i="11"/>
  <c r="R29" i="11"/>
  <c r="Q214" i="11"/>
  <c r="Q220" i="11" s="1"/>
  <c r="Q5" i="11" s="1"/>
  <c r="Q21" i="11" s="1"/>
  <c r="R213" i="11"/>
  <c r="T218" i="11"/>
  <c r="T219" i="11" s="1"/>
  <c r="R34" i="11"/>
  <c r="S27" i="11"/>
  <c r="S35" i="11" s="1"/>
  <c r="S31" i="11" l="1"/>
  <c r="S29" i="11"/>
  <c r="Q32" i="11"/>
  <c r="Q30" i="11"/>
  <c r="R214" i="11"/>
  <c r="R220" i="11" s="1"/>
  <c r="R5" i="11" s="1"/>
  <c r="R21" i="11" s="1"/>
  <c r="S213" i="11"/>
  <c r="U218" i="11"/>
  <c r="U219" i="11" s="1"/>
  <c r="S34" i="11"/>
  <c r="T27" i="11"/>
  <c r="T35" i="11" s="1"/>
  <c r="T31" i="11" l="1"/>
  <c r="T29" i="11"/>
  <c r="R32" i="11"/>
  <c r="R30" i="11"/>
  <c r="S214" i="11"/>
  <c r="S220" i="11" s="1"/>
  <c r="S5" i="11" s="1"/>
  <c r="S21" i="11" s="1"/>
  <c r="T213" i="11"/>
  <c r="V218" i="11"/>
  <c r="V219" i="11" s="1"/>
  <c r="T34" i="11"/>
  <c r="U27" i="11"/>
  <c r="U35" i="11" s="1"/>
  <c r="U31" i="11" l="1"/>
  <c r="U29" i="11"/>
  <c r="S32" i="11"/>
  <c r="S30" i="11"/>
  <c r="T214" i="11"/>
  <c r="T220" i="11" s="1"/>
  <c r="T5" i="11" s="1"/>
  <c r="T21" i="11" s="1"/>
  <c r="U213" i="11"/>
  <c r="W218" i="11"/>
  <c r="W219" i="11" s="1"/>
  <c r="U34" i="11"/>
  <c r="V27" i="11"/>
  <c r="V35" i="11" s="1"/>
  <c r="V31" i="11" l="1"/>
  <c r="V29" i="11"/>
  <c r="T32" i="11"/>
  <c r="T30" i="11"/>
  <c r="U214" i="11"/>
  <c r="U220" i="11" s="1"/>
  <c r="U5" i="11" s="1"/>
  <c r="U21" i="11" s="1"/>
  <c r="V213" i="11"/>
  <c r="X218" i="11"/>
  <c r="X219" i="11" s="1"/>
  <c r="V34" i="11"/>
  <c r="W27" i="11"/>
  <c r="W35" i="11" s="1"/>
  <c r="W31" i="11" l="1"/>
  <c r="W29" i="11"/>
  <c r="U32" i="11"/>
  <c r="U30" i="11"/>
  <c r="V214" i="11"/>
  <c r="V220" i="11" s="1"/>
  <c r="V5" i="11" s="1"/>
  <c r="V21" i="11" s="1"/>
  <c r="W213" i="11"/>
  <c r="Y218" i="11"/>
  <c r="Y219" i="11" s="1"/>
  <c r="W34" i="11"/>
  <c r="X27" i="11"/>
  <c r="X35" i="11" s="1"/>
  <c r="V32" i="11" l="1"/>
  <c r="V30" i="11"/>
  <c r="X31" i="11"/>
  <c r="X29" i="11"/>
  <c r="W214" i="11"/>
  <c r="W220" i="11" s="1"/>
  <c r="W5" i="11" s="1"/>
  <c r="W21" i="11" s="1"/>
  <c r="X213" i="11"/>
  <c r="Z218" i="11"/>
  <c r="Z219" i="11" s="1"/>
  <c r="X34" i="11"/>
  <c r="Y27" i="11"/>
  <c r="Y35" i="11" s="1"/>
  <c r="Y31" i="11" l="1"/>
  <c r="Y29" i="11"/>
  <c r="W32" i="11"/>
  <c r="W30" i="11"/>
  <c r="X214" i="11"/>
  <c r="X220" i="11" s="1"/>
  <c r="X5" i="11" s="1"/>
  <c r="X21" i="11" s="1"/>
  <c r="Y213" i="11"/>
  <c r="AA218" i="11"/>
  <c r="AA219" i="11" s="1"/>
  <c r="Y34" i="11"/>
  <c r="Z27" i="11"/>
  <c r="Z35" i="11" s="1"/>
  <c r="Z31" i="11" l="1"/>
  <c r="Z29" i="11"/>
  <c r="X32" i="11"/>
  <c r="X30" i="11"/>
  <c r="Y214" i="11"/>
  <c r="Y220" i="11" s="1"/>
  <c r="Y5" i="11" s="1"/>
  <c r="Y21" i="11" s="1"/>
  <c r="Z213" i="11"/>
  <c r="AB218" i="11"/>
  <c r="AB219" i="11" s="1"/>
  <c r="Z34" i="11"/>
  <c r="AA27" i="11"/>
  <c r="AA35" i="11" s="1"/>
  <c r="Y32" i="11" l="1"/>
  <c r="Y30" i="11"/>
  <c r="AA31" i="11"/>
  <c r="AA29" i="11"/>
  <c r="Z214" i="11"/>
  <c r="AA213" i="11"/>
  <c r="AB213" i="11" s="1"/>
  <c r="AC213" i="11" s="1"/>
  <c r="AD213" i="11" s="1"/>
  <c r="AE213" i="11" s="1"/>
  <c r="AF213" i="11" s="1"/>
  <c r="AG213" i="11" s="1"/>
  <c r="AH213" i="11" s="1"/>
  <c r="AI213" i="11" s="1"/>
  <c r="AJ213" i="11" s="1"/>
  <c r="AC218" i="11"/>
  <c r="AC219" i="11" s="1"/>
  <c r="AA34" i="11"/>
  <c r="AB27" i="11"/>
  <c r="AB35" i="11" s="1"/>
  <c r="AB31" i="11" l="1"/>
  <c r="AB29" i="11"/>
  <c r="AA214" i="11"/>
  <c r="Z220" i="11"/>
  <c r="Z5" i="11" s="1"/>
  <c r="Z21" i="11" s="1"/>
  <c r="AD218" i="11"/>
  <c r="AD219" i="11" s="1"/>
  <c r="AB34" i="11"/>
  <c r="AC27" i="11"/>
  <c r="AC35" i="11" s="1"/>
  <c r="AC31" i="11" l="1"/>
  <c r="AC29" i="11"/>
  <c r="Z32" i="11"/>
  <c r="Z30" i="11"/>
  <c r="AB214" i="11"/>
  <c r="AA220" i="11"/>
  <c r="AA5" i="11" s="1"/>
  <c r="AA21" i="11" s="1"/>
  <c r="AE218" i="11"/>
  <c r="AE219" i="11" s="1"/>
  <c r="AC34" i="11"/>
  <c r="AD27" i="11"/>
  <c r="AD35" i="11" s="1"/>
  <c r="AD31" i="11" l="1"/>
  <c r="AD29" i="11"/>
  <c r="AA32" i="11"/>
  <c r="AA30" i="11"/>
  <c r="AC214" i="11"/>
  <c r="AB220" i="11"/>
  <c r="AB5" i="11" s="1"/>
  <c r="AB21" i="11" s="1"/>
  <c r="AF218" i="11"/>
  <c r="AF219" i="11" s="1"/>
  <c r="AD34" i="11"/>
  <c r="AE27" i="11"/>
  <c r="AE35" i="11" s="1"/>
  <c r="AE31" i="11" l="1"/>
  <c r="AE29" i="11"/>
  <c r="AB32" i="11"/>
  <c r="AB30" i="11"/>
  <c r="AD214" i="11"/>
  <c r="AC220" i="11"/>
  <c r="AC5" i="11" s="1"/>
  <c r="AC21" i="11" s="1"/>
  <c r="AG218" i="11"/>
  <c r="AG219" i="11" s="1"/>
  <c r="AE34" i="11"/>
  <c r="AF27" i="11"/>
  <c r="AG27" i="11" l="1"/>
  <c r="AF35" i="11"/>
  <c r="AF31" i="11"/>
  <c r="AF29" i="11"/>
  <c r="AF34" i="11"/>
  <c r="AC32" i="11"/>
  <c r="AC30" i="11"/>
  <c r="AE214" i="11"/>
  <c r="AD220" i="11"/>
  <c r="AD5" i="11" s="1"/>
  <c r="AD21" i="11" s="1"/>
  <c r="AH218" i="11"/>
  <c r="AH219" i="11" s="1"/>
  <c r="G8" i="7"/>
  <c r="D21" i="9" s="1"/>
  <c r="AH27" i="11" l="1"/>
  <c r="AG35" i="11"/>
  <c r="AG31" i="11"/>
  <c r="AG29" i="11"/>
  <c r="AG34" i="11"/>
  <c r="AD32" i="11"/>
  <c r="AD30" i="11"/>
  <c r="AF214" i="11"/>
  <c r="AE220" i="11"/>
  <c r="AE5" i="11" s="1"/>
  <c r="AE21" i="11" s="1"/>
  <c r="AI218" i="11"/>
  <c r="AI219" i="11" s="1"/>
  <c r="E69" i="7"/>
  <c r="E46" i="7"/>
  <c r="AI27" i="11" l="1"/>
  <c r="AH29" i="11"/>
  <c r="AH35" i="11"/>
  <c r="AH31" i="11"/>
  <c r="AH34" i="11"/>
  <c r="AE32" i="11"/>
  <c r="AE30" i="11"/>
  <c r="AG214" i="11"/>
  <c r="AF220" i="11"/>
  <c r="AF5" i="11" s="1"/>
  <c r="AF21" i="11" s="1"/>
  <c r="AJ218" i="11"/>
  <c r="AJ219" i="11" s="1"/>
  <c r="D17" i="7"/>
  <c r="AF32" i="11" l="1"/>
  <c r="AF30" i="11"/>
  <c r="AJ27" i="11"/>
  <c r="AI35" i="11"/>
  <c r="AI31" i="11"/>
  <c r="AI29" i="11"/>
  <c r="AI34" i="11"/>
  <c r="AH214" i="11"/>
  <c r="AG220" i="11"/>
  <c r="AG5" i="11" s="1"/>
  <c r="AG21" i="11" s="1"/>
  <c r="T11" i="7"/>
  <c r="AG32" i="11" l="1"/>
  <c r="AG30" i="11"/>
  <c r="AJ35" i="11"/>
  <c r="AJ31" i="11"/>
  <c r="AJ29" i="11"/>
  <c r="AJ34" i="11"/>
  <c r="AI214" i="11"/>
  <c r="AH220" i="11"/>
  <c r="AH5" i="11" s="1"/>
  <c r="AH21" i="11" s="1"/>
  <c r="N44" i="7"/>
  <c r="N40" i="7"/>
  <c r="N79" i="7"/>
  <c r="N78" i="7"/>
  <c r="N72" i="7"/>
  <c r="N71" i="7"/>
  <c r="N70" i="7"/>
  <c r="N62" i="7"/>
  <c r="N63" i="7"/>
  <c r="N58" i="7"/>
  <c r="N13" i="7"/>
  <c r="N12" i="7"/>
  <c r="N107" i="7"/>
  <c r="N105" i="7"/>
  <c r="D90" i="7"/>
  <c r="D82" i="7"/>
  <c r="D81" i="7"/>
  <c r="D79" i="7"/>
  <c r="AH30" i="11" l="1"/>
  <c r="AH32" i="11"/>
  <c r="AJ214" i="11"/>
  <c r="AJ220" i="11" s="1"/>
  <c r="AJ5" i="11" s="1"/>
  <c r="AJ21" i="11" s="1"/>
  <c r="AI220" i="11"/>
  <c r="AI5" i="11" s="1"/>
  <c r="AI21" i="11" s="1"/>
  <c r="N6" i="7"/>
  <c r="D10" i="7"/>
  <c r="D7" i="7"/>
  <c r="AI30" i="11" l="1"/>
  <c r="AI32" i="11"/>
  <c r="AJ32" i="11"/>
  <c r="AJ30" i="11"/>
  <c r="G89" i="7"/>
  <c r="T131" i="7" l="1"/>
  <c r="D40" i="9" l="1"/>
  <c r="D41" i="9" s="1"/>
  <c r="T13" i="7"/>
  <c r="T12" i="7"/>
  <c r="T14" i="7"/>
  <c r="F64" i="11"/>
  <c r="Q250" i="11" l="1"/>
  <c r="Q251" i="11"/>
  <c r="Q252" i="11"/>
  <c r="Q253" i="11"/>
  <c r="Q254" i="11"/>
  <c r="Q255" i="11"/>
  <c r="Q256" i="11"/>
  <c r="Q257" i="11"/>
  <c r="Q258" i="11"/>
  <c r="Q249" i="11"/>
  <c r="P250" i="11"/>
  <c r="P251" i="11"/>
  <c r="P252" i="11"/>
  <c r="P253" i="11"/>
  <c r="P254" i="11"/>
  <c r="P255" i="11"/>
  <c r="P256" i="11"/>
  <c r="P257" i="11"/>
  <c r="P258" i="11"/>
  <c r="P249" i="11"/>
  <c r="M249" i="11"/>
  <c r="M250" i="11"/>
  <c r="M251" i="11"/>
  <c r="M252" i="11"/>
  <c r="M253" i="11"/>
  <c r="M254" i="11"/>
  <c r="M255" i="11"/>
  <c r="M256" i="11"/>
  <c r="M257" i="11"/>
  <c r="M258" i="11"/>
  <c r="L249" i="11"/>
  <c r="L250" i="11"/>
  <c r="L251" i="11"/>
  <c r="L252" i="11"/>
  <c r="L253" i="11"/>
  <c r="L254" i="11"/>
  <c r="L255" i="11"/>
  <c r="L256" i="11"/>
  <c r="L257" i="11"/>
  <c r="L258" i="11"/>
  <c r="I249" i="11"/>
  <c r="I250" i="11"/>
  <c r="I251" i="11"/>
  <c r="I252" i="11"/>
  <c r="I253" i="11"/>
  <c r="I254" i="11"/>
  <c r="I255" i="11"/>
  <c r="I256" i="11"/>
  <c r="I257" i="11"/>
  <c r="I258" i="11"/>
  <c r="H249" i="11"/>
  <c r="H250" i="11"/>
  <c r="H251" i="11"/>
  <c r="H252" i="11"/>
  <c r="H253" i="11"/>
  <c r="H254" i="11"/>
  <c r="H255" i="11"/>
  <c r="H256" i="11"/>
  <c r="H257" i="11"/>
  <c r="H258" i="11"/>
  <c r="F13" i="11"/>
  <c r="F12" i="11" s="1"/>
  <c r="AA201" i="11"/>
  <c r="AB201" i="11"/>
  <c r="AC201" i="11"/>
  <c r="AD201" i="11"/>
  <c r="AE201" i="11"/>
  <c r="AF201" i="11"/>
  <c r="AG201" i="11"/>
  <c r="AH201" i="11"/>
  <c r="AI201" i="11"/>
  <c r="AJ201" i="11"/>
  <c r="S201" i="11"/>
  <c r="I201" i="11"/>
  <c r="G16" i="11"/>
  <c r="H16" i="11" s="1"/>
  <c r="I16" i="11" s="1"/>
  <c r="J16" i="11" s="1"/>
  <c r="K16" i="11" s="1"/>
  <c r="L16" i="11" s="1"/>
  <c r="M16" i="11" s="1"/>
  <c r="N16" i="11" s="1"/>
  <c r="O16" i="11" s="1"/>
  <c r="P16" i="11" s="1"/>
  <c r="Q16" i="11" s="1"/>
  <c r="R16" i="11" s="1"/>
  <c r="S16" i="11" s="1"/>
  <c r="T16" i="11" s="1"/>
  <c r="U16" i="11" s="1"/>
  <c r="V16" i="11" s="1"/>
  <c r="W16" i="11" s="1"/>
  <c r="X16" i="11" s="1"/>
  <c r="Y16" i="11" s="1"/>
  <c r="Z16" i="11" s="1"/>
  <c r="AA16" i="11" s="1"/>
  <c r="AB16" i="11" s="1"/>
  <c r="AC16" i="11" s="1"/>
  <c r="AD16" i="11" s="1"/>
  <c r="AE16" i="11" s="1"/>
  <c r="AF16" i="11" s="1"/>
  <c r="AG16" i="11" s="1"/>
  <c r="AH16" i="11" s="1"/>
  <c r="AI16" i="11" s="1"/>
  <c r="AJ16" i="11" s="1"/>
  <c r="G36" i="11"/>
  <c r="J248" i="11" l="1"/>
  <c r="J249" i="11" s="1"/>
  <c r="J250" i="11" s="1"/>
  <c r="J251" i="11" s="1"/>
  <c r="J252" i="11" s="1"/>
  <c r="J253" i="11" s="1"/>
  <c r="J254" i="11" s="1"/>
  <c r="J255" i="11" s="1"/>
  <c r="J256" i="11" s="1"/>
  <c r="J257" i="11" s="1"/>
  <c r="Z201" i="11"/>
  <c r="X201" i="11"/>
  <c r="V201" i="11"/>
  <c r="T201" i="11"/>
  <c r="R201" i="11"/>
  <c r="P201" i="11"/>
  <c r="N201" i="11"/>
  <c r="L201" i="11"/>
  <c r="J201" i="11"/>
  <c r="H201" i="11"/>
  <c r="G201" i="11"/>
  <c r="Y201" i="11"/>
  <c r="W201" i="11"/>
  <c r="U201" i="11"/>
  <c r="Q201" i="11"/>
  <c r="O201" i="11"/>
  <c r="M201" i="11"/>
  <c r="K201" i="11"/>
  <c r="B189" i="11"/>
  <c r="B175" i="11"/>
  <c r="F63" i="11"/>
  <c r="D8" i="9"/>
  <c r="AI172" i="11" l="1"/>
  <c r="AI68" i="11" s="1"/>
  <c r="AG172" i="11"/>
  <c r="AG68" i="11" s="1"/>
  <c r="AE172" i="11"/>
  <c r="AE68" i="11" s="1"/>
  <c r="AC172" i="11"/>
  <c r="AC68" i="11" s="1"/>
  <c r="AA172" i="11"/>
  <c r="AA68" i="11" s="1"/>
  <c r="Y172" i="11"/>
  <c r="Y68" i="11" s="1"/>
  <c r="W172" i="11"/>
  <c r="W68" i="11" s="1"/>
  <c r="U172" i="11"/>
  <c r="U68" i="11" s="1"/>
  <c r="S172" i="11"/>
  <c r="S68" i="11" s="1"/>
  <c r="AJ186" i="11"/>
  <c r="AH186" i="11"/>
  <c r="AF186" i="11"/>
  <c r="AD186" i="11"/>
  <c r="AB186" i="11"/>
  <c r="Z186" i="11"/>
  <c r="X186" i="11"/>
  <c r="V186" i="11"/>
  <c r="T186" i="11"/>
  <c r="R186" i="11"/>
  <c r="AI186" i="11"/>
  <c r="AG186" i="11"/>
  <c r="AE186" i="11"/>
  <c r="AC186" i="11"/>
  <c r="AA186" i="11"/>
  <c r="Y186" i="11"/>
  <c r="W186" i="11"/>
  <c r="U186" i="11"/>
  <c r="S186" i="11"/>
  <c r="Q186" i="11"/>
  <c r="Q172" i="11"/>
  <c r="Q68" i="11" s="1"/>
  <c r="AJ172" i="11"/>
  <c r="AJ68" i="11" s="1"/>
  <c r="AH172" i="11"/>
  <c r="AH68" i="11" s="1"/>
  <c r="AF172" i="11"/>
  <c r="AF68" i="11" s="1"/>
  <c r="AD172" i="11"/>
  <c r="AD68" i="11" s="1"/>
  <c r="AB172" i="11"/>
  <c r="AB68" i="11" s="1"/>
  <c r="Z172" i="11"/>
  <c r="Z68" i="11" s="1"/>
  <c r="X172" i="11"/>
  <c r="X68" i="11" s="1"/>
  <c r="V172" i="11"/>
  <c r="V68" i="11" s="1"/>
  <c r="T172" i="11"/>
  <c r="T68" i="11" s="1"/>
  <c r="R172" i="11"/>
  <c r="R68" i="11" s="1"/>
  <c r="H202" i="11"/>
  <c r="I202" i="11"/>
  <c r="J202" i="11"/>
  <c r="K202" i="11"/>
  <c r="L202" i="11"/>
  <c r="M202" i="11"/>
  <c r="N202" i="11"/>
  <c r="O202" i="11"/>
  <c r="P202" i="11"/>
  <c r="Q202" i="11"/>
  <c r="R202" i="11"/>
  <c r="S202" i="11"/>
  <c r="T202" i="11"/>
  <c r="U202" i="11"/>
  <c r="V202" i="11"/>
  <c r="W202" i="11"/>
  <c r="X202" i="11"/>
  <c r="Y202" i="11"/>
  <c r="Z202" i="11"/>
  <c r="AA202" i="11"/>
  <c r="AB202" i="11"/>
  <c r="AC202" i="11"/>
  <c r="AD202" i="11"/>
  <c r="AE202" i="11"/>
  <c r="AF202" i="11"/>
  <c r="AG202" i="11"/>
  <c r="AH202" i="11"/>
  <c r="AI202" i="11"/>
  <c r="AJ202" i="11"/>
  <c r="G202" i="11"/>
  <c r="H200" i="11"/>
  <c r="I200" i="11"/>
  <c r="J200" i="11"/>
  <c r="K200" i="11"/>
  <c r="L200" i="11"/>
  <c r="M200" i="11"/>
  <c r="N200" i="11"/>
  <c r="P200" i="11"/>
  <c r="Q200" i="11"/>
  <c r="R200" i="11"/>
  <c r="S200" i="11"/>
  <c r="T200" i="11"/>
  <c r="U200" i="11"/>
  <c r="V200" i="11"/>
  <c r="W200" i="11"/>
  <c r="X200" i="11"/>
  <c r="Y200" i="11"/>
  <c r="AA200" i="11"/>
  <c r="AB200" i="11"/>
  <c r="AC200" i="11"/>
  <c r="AF200" i="11"/>
  <c r="AG200" i="11"/>
  <c r="AH200" i="11"/>
  <c r="AI200" i="11"/>
  <c r="I199" i="11"/>
  <c r="J199" i="11"/>
  <c r="K199" i="11"/>
  <c r="L199" i="11"/>
  <c r="M199" i="11"/>
  <c r="N199" i="11"/>
  <c r="O199" i="11"/>
  <c r="P199" i="11"/>
  <c r="Q199" i="11"/>
  <c r="R199" i="11"/>
  <c r="S199" i="11"/>
  <c r="T199" i="11"/>
  <c r="U199" i="11"/>
  <c r="W199" i="11"/>
  <c r="X199" i="11"/>
  <c r="Z199" i="11"/>
  <c r="AB199" i="11"/>
  <c r="AC199" i="11"/>
  <c r="AD199" i="11"/>
  <c r="AE199" i="11"/>
  <c r="AH199" i="11"/>
  <c r="AI199" i="11"/>
  <c r="AJ199" i="11"/>
  <c r="H17" i="11"/>
  <c r="I17" i="11"/>
  <c r="J17" i="11"/>
  <c r="K17" i="11"/>
  <c r="L17" i="11"/>
  <c r="M17" i="11"/>
  <c r="N17" i="11"/>
  <c r="O17" i="11"/>
  <c r="P17" i="11"/>
  <c r="Q17" i="11"/>
  <c r="R17" i="11"/>
  <c r="S17" i="11"/>
  <c r="T17" i="11"/>
  <c r="U17" i="11"/>
  <c r="G17" i="11"/>
  <c r="O14" i="7"/>
  <c r="G120" i="12"/>
  <c r="J120" i="12"/>
  <c r="G119" i="12"/>
  <c r="J119" i="12"/>
  <c r="H119" i="12"/>
  <c r="I119" i="12"/>
  <c r="G118" i="12"/>
  <c r="J118" i="12"/>
  <c r="H118" i="12"/>
  <c r="I118" i="12"/>
  <c r="G117" i="12"/>
  <c r="J117" i="12"/>
  <c r="H117" i="12"/>
  <c r="I117" i="12"/>
  <c r="J121" i="12" l="1"/>
  <c r="G121" i="12"/>
  <c r="D9" i="9"/>
  <c r="B33" i="9" l="1"/>
  <c r="C123" i="12"/>
  <c r="H51" i="11"/>
  <c r="I51" i="11"/>
  <c r="J51" i="11"/>
  <c r="K51" i="11"/>
  <c r="L51" i="11"/>
  <c r="M51" i="11"/>
  <c r="N51" i="11"/>
  <c r="O51" i="11"/>
  <c r="P51" i="11"/>
  <c r="Q51" i="11"/>
  <c r="R51" i="11"/>
  <c r="S51" i="11"/>
  <c r="T51" i="11"/>
  <c r="U51" i="11"/>
  <c r="V51" i="11"/>
  <c r="W51" i="11"/>
  <c r="X51" i="11"/>
  <c r="Y51" i="11"/>
  <c r="Z51" i="11"/>
  <c r="AA51" i="11"/>
  <c r="AB51" i="11"/>
  <c r="AC51" i="11"/>
  <c r="AD51" i="11"/>
  <c r="AE51" i="11"/>
  <c r="AF51" i="11"/>
  <c r="AG51" i="11"/>
  <c r="AH51" i="11"/>
  <c r="AI51" i="11"/>
  <c r="AJ51" i="11"/>
  <c r="G51" i="11"/>
  <c r="P35" i="10" l="1"/>
  <c r="P33" i="10"/>
  <c r="P36" i="10"/>
  <c r="P34" i="10"/>
  <c r="AI206" i="11"/>
  <c r="AI50" i="11" s="1"/>
  <c r="G35" i="10" s="1"/>
  <c r="AB206" i="11"/>
  <c r="AB50" i="11" s="1"/>
  <c r="G28" i="10" s="1"/>
  <c r="X206" i="11"/>
  <c r="X50" i="11" s="1"/>
  <c r="G24" i="10" s="1"/>
  <c r="T206" i="11"/>
  <c r="T50" i="11" s="1"/>
  <c r="G20" i="10" s="1"/>
  <c r="R206" i="11"/>
  <c r="R50" i="11" s="1"/>
  <c r="G18" i="10" s="1"/>
  <c r="P206" i="11"/>
  <c r="P50" i="11" s="1"/>
  <c r="G16" i="10" s="1"/>
  <c r="N206" i="11"/>
  <c r="N50" i="11" s="1"/>
  <c r="G14" i="10" s="1"/>
  <c r="L206" i="11"/>
  <c r="L50" i="11" s="1"/>
  <c r="G12" i="10" s="1"/>
  <c r="J206" i="11"/>
  <c r="J50" i="11" s="1"/>
  <c r="G10" i="10" s="1"/>
  <c r="AH206" i="11"/>
  <c r="AH50" i="11" s="1"/>
  <c r="G34" i="10" s="1"/>
  <c r="AC206" i="11"/>
  <c r="AC50" i="11" s="1"/>
  <c r="G29" i="10" s="1"/>
  <c r="W206" i="11"/>
  <c r="W50" i="11" s="1"/>
  <c r="G23" i="10" s="1"/>
  <c r="S206" i="11"/>
  <c r="S50" i="11" s="1"/>
  <c r="G19" i="10" s="1"/>
  <c r="Q206" i="11"/>
  <c r="Q50" i="11" s="1"/>
  <c r="G17" i="10" s="1"/>
  <c r="M206" i="11"/>
  <c r="M50" i="11" s="1"/>
  <c r="G13" i="10" s="1"/>
  <c r="K206" i="11"/>
  <c r="K50" i="11" s="1"/>
  <c r="G11" i="10" s="1"/>
  <c r="I206" i="11"/>
  <c r="I50" i="11" s="1"/>
  <c r="G9" i="10" s="1"/>
  <c r="B75" i="11" l="1"/>
  <c r="D43" i="9"/>
  <c r="D44" i="9" s="1"/>
  <c r="F120" i="12"/>
  <c r="F119" i="12"/>
  <c r="F118" i="12"/>
  <c r="F117" i="12"/>
  <c r="C108" i="12"/>
  <c r="C99" i="12"/>
  <c r="C100" i="12" s="1"/>
  <c r="C73" i="12"/>
  <c r="C19" i="9"/>
  <c r="H122" i="11"/>
  <c r="I122" i="11"/>
  <c r="J122" i="11"/>
  <c r="K122" i="11"/>
  <c r="L122" i="11"/>
  <c r="M122" i="11"/>
  <c r="N122" i="11"/>
  <c r="O122" i="11"/>
  <c r="Q122" i="11"/>
  <c r="S122" i="11"/>
  <c r="T122" i="11"/>
  <c r="U122" i="11"/>
  <c r="V122" i="11"/>
  <c r="W122" i="11"/>
  <c r="X122" i="11"/>
  <c r="Y122" i="11"/>
  <c r="Z122" i="11"/>
  <c r="AA122" i="11"/>
  <c r="AB122" i="11"/>
  <c r="AC122" i="11"/>
  <c r="AD122" i="11"/>
  <c r="AE122" i="11"/>
  <c r="AF122" i="11"/>
  <c r="AG122" i="11"/>
  <c r="AH122" i="11"/>
  <c r="AI122" i="11"/>
  <c r="AJ122" i="11"/>
  <c r="H125" i="11"/>
  <c r="I125" i="11"/>
  <c r="J125" i="11"/>
  <c r="K125" i="11"/>
  <c r="L125" i="11"/>
  <c r="M125" i="11"/>
  <c r="N125" i="11"/>
  <c r="O125" i="11"/>
  <c r="P125" i="11"/>
  <c r="Q125" i="11"/>
  <c r="R125" i="11"/>
  <c r="S125" i="11"/>
  <c r="T125" i="11"/>
  <c r="U125" i="11"/>
  <c r="V125" i="11"/>
  <c r="W125" i="11"/>
  <c r="X125" i="11"/>
  <c r="Y125" i="11"/>
  <c r="AA125" i="11"/>
  <c r="AB125" i="11"/>
  <c r="AC125" i="11"/>
  <c r="AD125" i="11"/>
  <c r="AE125" i="11"/>
  <c r="AF125" i="11"/>
  <c r="AG125" i="11"/>
  <c r="AH125" i="11"/>
  <c r="AI125" i="11"/>
  <c r="AJ125" i="11"/>
  <c r="G125" i="11"/>
  <c r="G126" i="11" s="1"/>
  <c r="G127" i="11" s="1"/>
  <c r="G122" i="11"/>
  <c r="G123" i="11" s="1"/>
  <c r="Z125" i="11"/>
  <c r="P122" i="11"/>
  <c r="H10" i="11"/>
  <c r="H20" i="11" s="1"/>
  <c r="H21" i="11" s="1"/>
  <c r="H9" i="11"/>
  <c r="F84" i="11"/>
  <c r="H8" i="11"/>
  <c r="H4" i="11"/>
  <c r="F90" i="11"/>
  <c r="AJ104" i="11"/>
  <c r="AI104" i="11"/>
  <c r="AH104" i="11"/>
  <c r="AG104" i="11"/>
  <c r="AF104" i="11"/>
  <c r="AE104" i="11"/>
  <c r="AD104" i="11"/>
  <c r="AC104" i="11"/>
  <c r="AB104" i="11"/>
  <c r="F121" i="12" l="1"/>
  <c r="C74" i="12"/>
  <c r="C106" i="12"/>
  <c r="P144" i="11"/>
  <c r="X144" i="11"/>
  <c r="V144" i="11"/>
  <c r="T144" i="11"/>
  <c r="AJ144" i="11"/>
  <c r="AH144" i="11"/>
  <c r="AF144" i="11"/>
  <c r="AD144" i="11"/>
  <c r="AB144" i="11"/>
  <c r="Z144" i="11"/>
  <c r="Q144" i="11"/>
  <c r="N144" i="11"/>
  <c r="L144" i="11"/>
  <c r="J144" i="11"/>
  <c r="H144" i="11"/>
  <c r="AI144" i="11"/>
  <c r="AG144" i="11"/>
  <c r="AE144" i="11"/>
  <c r="AC144" i="11"/>
  <c r="AA144" i="11"/>
  <c r="Y144" i="11"/>
  <c r="W144" i="11"/>
  <c r="U144" i="11"/>
  <c r="S144" i="11"/>
  <c r="O144" i="11"/>
  <c r="M144" i="11"/>
  <c r="K144" i="11"/>
  <c r="I144" i="11"/>
  <c r="D73" i="12"/>
  <c r="D118" i="12" s="1"/>
  <c r="C119" i="12"/>
  <c r="D99" i="12"/>
  <c r="D119" i="12" s="1"/>
  <c r="I9" i="11"/>
  <c r="D48" i="12"/>
  <c r="D117" i="12" s="1"/>
  <c r="R122" i="11"/>
  <c r="R144" i="11" s="1"/>
  <c r="C118" i="12"/>
  <c r="C117" i="12"/>
  <c r="G124" i="11"/>
  <c r="H123" i="11"/>
  <c r="H124" i="11" s="1"/>
  <c r="H126" i="11"/>
  <c r="H127" i="11" s="1"/>
  <c r="I10" i="11"/>
  <c r="I20" i="11" s="1"/>
  <c r="I21" i="11" s="1"/>
  <c r="I8" i="11"/>
  <c r="I4" i="11"/>
  <c r="C130" i="12" l="1"/>
  <c r="C131" i="12" s="1"/>
  <c r="C132" i="12" s="1"/>
  <c r="C133" i="12" s="1"/>
  <c r="C134" i="12" s="1"/>
  <c r="C135" i="12" s="1"/>
  <c r="C136" i="12" s="1"/>
  <c r="C137" i="12" s="1"/>
  <c r="C138" i="12" s="1"/>
  <c r="C139" i="12" s="1"/>
  <c r="C140" i="12" s="1"/>
  <c r="C141" i="12" s="1"/>
  <c r="C142" i="12" s="1"/>
  <c r="C143" i="12" s="1"/>
  <c r="C144" i="12" s="1"/>
  <c r="C145" i="12" s="1"/>
  <c r="C146" i="12" s="1"/>
  <c r="C147" i="12" s="1"/>
  <c r="C148" i="12" s="1"/>
  <c r="C149" i="12" s="1"/>
  <c r="C150" i="12" s="1"/>
  <c r="C151" i="12" s="1"/>
  <c r="C152" i="12" s="1"/>
  <c r="C153" i="12" s="1"/>
  <c r="C154" i="12" s="1"/>
  <c r="C155" i="12" s="1"/>
  <c r="C156" i="12" s="1"/>
  <c r="C157" i="12" s="1"/>
  <c r="C158" i="12" s="1"/>
  <c r="J9" i="11"/>
  <c r="J8" i="11"/>
  <c r="I123" i="11"/>
  <c r="I126" i="11"/>
  <c r="I127" i="11" s="1"/>
  <c r="J10" i="11"/>
  <c r="J20" i="11" s="1"/>
  <c r="J21" i="11" s="1"/>
  <c r="J4" i="11"/>
  <c r="K9" i="11" l="1"/>
  <c r="K8" i="11"/>
  <c r="J123" i="11"/>
  <c r="I124" i="11"/>
  <c r="J126" i="11"/>
  <c r="J127" i="11" s="1"/>
  <c r="K10" i="11"/>
  <c r="K20" i="11" s="1"/>
  <c r="K21" i="11" s="1"/>
  <c r="K4" i="11"/>
  <c r="L9" i="11" l="1"/>
  <c r="L8" i="11"/>
  <c r="K123" i="11"/>
  <c r="J124" i="11"/>
  <c r="K126" i="11"/>
  <c r="K127" i="11" s="1"/>
  <c r="L10" i="11"/>
  <c r="L20" i="11" s="1"/>
  <c r="L21" i="11" s="1"/>
  <c r="L4" i="11"/>
  <c r="M9" i="11" l="1"/>
  <c r="M8" i="11"/>
  <c r="L123" i="11"/>
  <c r="K124" i="11"/>
  <c r="L126" i="11"/>
  <c r="L127" i="11" s="1"/>
  <c r="M10" i="11"/>
  <c r="M20" i="11" s="1"/>
  <c r="M21" i="11" s="1"/>
  <c r="M4" i="11"/>
  <c r="N9" i="11" l="1"/>
  <c r="N8" i="11"/>
  <c r="M123" i="11"/>
  <c r="L124" i="11"/>
  <c r="M126" i="11"/>
  <c r="M127" i="11" s="1"/>
  <c r="N10" i="11"/>
  <c r="N20" i="11" s="1"/>
  <c r="N21" i="11" s="1"/>
  <c r="N4" i="11"/>
  <c r="O9" i="11" l="1"/>
  <c r="O8" i="11"/>
  <c r="N123" i="11"/>
  <c r="M124" i="11"/>
  <c r="N126" i="11"/>
  <c r="N127" i="11" s="1"/>
  <c r="O10" i="11"/>
  <c r="O20" i="11" s="1"/>
  <c r="O21" i="11" s="1"/>
  <c r="O4" i="11"/>
  <c r="P9" i="11" l="1"/>
  <c r="P8" i="11"/>
  <c r="O123" i="11"/>
  <c r="N124" i="11"/>
  <c r="O126" i="11"/>
  <c r="O127" i="11" s="1"/>
  <c r="P10" i="11"/>
  <c r="P20" i="11" s="1"/>
  <c r="P21" i="11" s="1"/>
  <c r="P4" i="11"/>
  <c r="Q9" i="11" l="1"/>
  <c r="R9" i="11" s="1"/>
  <c r="S9" i="11" s="1"/>
  <c r="T9" i="11" s="1"/>
  <c r="U9" i="11" s="1"/>
  <c r="V9" i="11" s="1"/>
  <c r="W9" i="11" s="1"/>
  <c r="X9" i="11" s="1"/>
  <c r="Y9" i="11" s="1"/>
  <c r="Z9" i="11" s="1"/>
  <c r="AA9" i="11" s="1"/>
  <c r="AB9" i="11" s="1"/>
  <c r="AC9" i="11" s="1"/>
  <c r="AD9" i="11" s="1"/>
  <c r="AE9" i="11" s="1"/>
  <c r="AF9" i="11" s="1"/>
  <c r="AG9" i="11" s="1"/>
  <c r="AH9" i="11" s="1"/>
  <c r="AI9" i="11" s="1"/>
  <c r="AJ9" i="11" s="1"/>
  <c r="O124" i="11"/>
  <c r="P123" i="11"/>
  <c r="Q8" i="11"/>
  <c r="P126" i="11"/>
  <c r="P127" i="11" s="1"/>
  <c r="Q10" i="11"/>
  <c r="R10" i="11" s="1"/>
  <c r="S10" i="11" s="1"/>
  <c r="T10" i="11" s="1"/>
  <c r="U10" i="11" s="1"/>
  <c r="V10" i="11" s="1"/>
  <c r="W10" i="11" s="1"/>
  <c r="X10" i="11" s="1"/>
  <c r="Y10" i="11" s="1"/>
  <c r="Z10" i="11" s="1"/>
  <c r="AA10" i="11" s="1"/>
  <c r="AB10" i="11" s="1"/>
  <c r="AC10" i="11" s="1"/>
  <c r="AD10" i="11" s="1"/>
  <c r="AE10" i="11" s="1"/>
  <c r="AF10" i="11" s="1"/>
  <c r="AG10" i="11" s="1"/>
  <c r="AH10" i="11" s="1"/>
  <c r="AI10" i="11" s="1"/>
  <c r="AJ10" i="11" s="1"/>
  <c r="Q4" i="11"/>
  <c r="P124" i="11" l="1"/>
  <c r="Q123" i="11"/>
  <c r="R8" i="11"/>
  <c r="Q126" i="11"/>
  <c r="Q127" i="11" s="1"/>
  <c r="R4" i="11"/>
  <c r="Q124" i="11" l="1"/>
  <c r="R123" i="11"/>
  <c r="S8" i="11"/>
  <c r="R126" i="11"/>
  <c r="R127" i="11" s="1"/>
  <c r="S4" i="11"/>
  <c r="R124" i="11" l="1"/>
  <c r="S123" i="11"/>
  <c r="T8" i="11"/>
  <c r="S126" i="11"/>
  <c r="S127" i="11" s="1"/>
  <c r="T4" i="11"/>
  <c r="S124" i="11" l="1"/>
  <c r="T123" i="11"/>
  <c r="U8" i="11"/>
  <c r="T126" i="11"/>
  <c r="T127" i="11" s="1"/>
  <c r="U4" i="11"/>
  <c r="T124" i="11" l="1"/>
  <c r="U123" i="11"/>
  <c r="V8" i="11"/>
  <c r="U126" i="11"/>
  <c r="U127" i="11" s="1"/>
  <c r="V4" i="11"/>
  <c r="V123" i="11" l="1"/>
  <c r="U124" i="11"/>
  <c r="W8" i="11"/>
  <c r="V126" i="11"/>
  <c r="V127" i="11" s="1"/>
  <c r="W4" i="11"/>
  <c r="V124" i="11" l="1"/>
  <c r="W123" i="11"/>
  <c r="X8" i="11"/>
  <c r="W126" i="11"/>
  <c r="W127" i="11" s="1"/>
  <c r="X4" i="11"/>
  <c r="W124" i="11" l="1"/>
  <c r="X123" i="11"/>
  <c r="Y8" i="11"/>
  <c r="X126" i="11"/>
  <c r="X127" i="11" s="1"/>
  <c r="Y4" i="11"/>
  <c r="Y123" i="11" l="1"/>
  <c r="X124" i="11"/>
  <c r="Z8" i="11"/>
  <c r="Y126" i="11"/>
  <c r="Z4" i="11"/>
  <c r="Y127" i="11" l="1"/>
  <c r="Z126" i="11"/>
  <c r="Y124" i="11"/>
  <c r="Z123" i="11"/>
  <c r="AA8" i="11"/>
  <c r="AA4" i="11"/>
  <c r="Z124" i="11" l="1"/>
  <c r="AA123" i="11"/>
  <c r="Z127" i="11"/>
  <c r="AA126" i="11"/>
  <c r="AB8" i="11"/>
  <c r="AB4" i="11"/>
  <c r="AA127" i="11" l="1"/>
  <c r="AB126" i="11"/>
  <c r="AB123" i="11"/>
  <c r="AA124" i="11"/>
  <c r="AC8" i="11"/>
  <c r="AC4" i="11"/>
  <c r="AB127" i="11" l="1"/>
  <c r="AC126" i="11"/>
  <c r="AC123" i="11"/>
  <c r="AB124" i="11"/>
  <c r="AD8" i="11"/>
  <c r="AD4" i="11"/>
  <c r="AC127" i="11" l="1"/>
  <c r="AD126" i="11"/>
  <c r="AC124" i="11"/>
  <c r="AD123" i="11"/>
  <c r="AE8" i="11"/>
  <c r="AE4" i="11"/>
  <c r="AE123" i="11" l="1"/>
  <c r="AD124" i="11"/>
  <c r="AD127" i="11"/>
  <c r="AE126" i="11"/>
  <c r="AF8" i="11"/>
  <c r="AG8" i="11" s="1"/>
  <c r="AH8" i="11" s="1"/>
  <c r="AI8" i="11" s="1"/>
  <c r="AJ8" i="11" s="1"/>
  <c r="AF4" i="11"/>
  <c r="AE127" i="11" l="1"/>
  <c r="AF126" i="11"/>
  <c r="AF123" i="11"/>
  <c r="AE124" i="11"/>
  <c r="AG4" i="11"/>
  <c r="AF127" i="11" l="1"/>
  <c r="AG126" i="11"/>
  <c r="AF124" i="11"/>
  <c r="AG123" i="11"/>
  <c r="AH4" i="11"/>
  <c r="AH123" i="11" l="1"/>
  <c r="AG124" i="11"/>
  <c r="AG127" i="11"/>
  <c r="AH126" i="11"/>
  <c r="AI4" i="11"/>
  <c r="AH127" i="11" l="1"/>
  <c r="AI126" i="11"/>
  <c r="AI123" i="11"/>
  <c r="AH124" i="11"/>
  <c r="AJ4" i="11"/>
  <c r="AI127" i="11" l="1"/>
  <c r="AJ126" i="11"/>
  <c r="AJ127" i="11" s="1"/>
  <c r="AI124" i="11"/>
  <c r="AJ123" i="11"/>
  <c r="AJ124" i="11" s="1"/>
  <c r="B35" i="9" l="1"/>
  <c r="B32" i="9"/>
  <c r="B31" i="9"/>
  <c r="D36" i="9"/>
  <c r="D32" i="9"/>
  <c r="D33" i="9"/>
  <c r="B36" i="9"/>
  <c r="B23" i="9"/>
  <c r="B19" i="9"/>
  <c r="B18" i="9"/>
  <c r="D19" i="9"/>
  <c r="D23" i="9"/>
  <c r="D31" i="9"/>
  <c r="Q109" i="7"/>
  <c r="G57" i="7" s="1"/>
  <c r="G44" i="7" l="1"/>
  <c r="G45" i="7" s="1"/>
  <c r="G64" i="7"/>
  <c r="D37" i="9"/>
  <c r="D38" i="9"/>
  <c r="P186" i="11"/>
  <c r="O186" i="11"/>
  <c r="M186" i="11"/>
  <c r="N186" i="11"/>
  <c r="L186" i="11"/>
  <c r="AG17" i="11"/>
  <c r="AG19" i="11"/>
  <c r="AI19" i="11"/>
  <c r="AI17" i="11"/>
  <c r="AJ19" i="11"/>
  <c r="AJ17" i="11"/>
  <c r="AF17" i="11"/>
  <c r="AF19" i="11"/>
  <c r="AH17" i="11"/>
  <c r="AH19" i="11"/>
  <c r="AE17" i="11"/>
  <c r="AA17" i="11"/>
  <c r="AD17" i="11"/>
  <c r="AB17" i="11"/>
  <c r="AC17" i="11"/>
  <c r="Z17" i="11"/>
  <c r="X17" i="11"/>
  <c r="V17" i="11"/>
  <c r="Y17" i="11"/>
  <c r="W17" i="11"/>
  <c r="AE19" i="11"/>
  <c r="AC19" i="11"/>
  <c r="AA19" i="11"/>
  <c r="AD19" i="11"/>
  <c r="AB19" i="11"/>
  <c r="Z19" i="11"/>
  <c r="X19" i="11"/>
  <c r="V19" i="11"/>
  <c r="T19" i="11"/>
  <c r="P19" i="11"/>
  <c r="N19" i="11"/>
  <c r="L19" i="11"/>
  <c r="J19" i="11"/>
  <c r="H19" i="11"/>
  <c r="Y19" i="11"/>
  <c r="W19" i="11"/>
  <c r="U19" i="11"/>
  <c r="S19" i="11"/>
  <c r="Q19" i="11"/>
  <c r="O19" i="11"/>
  <c r="M19" i="11"/>
  <c r="K19" i="11"/>
  <c r="I19" i="11"/>
  <c r="G19" i="11"/>
  <c r="R19" i="11"/>
  <c r="B105" i="12"/>
  <c r="B120" i="12" s="1"/>
  <c r="E120" i="12" s="1"/>
  <c r="C107" i="12" l="1"/>
  <c r="H120" i="12" s="1"/>
  <c r="H121" i="12" s="1"/>
  <c r="G47" i="7"/>
  <c r="G49" i="7" s="1"/>
  <c r="U206" i="11"/>
  <c r="U50" i="11" s="1"/>
  <c r="G21" i="10" s="1"/>
  <c r="G48" i="7" l="1"/>
  <c r="J258" i="11"/>
  <c r="N258" i="11" s="1"/>
  <c r="N248" i="11" l="1"/>
  <c r="N249" i="11" s="1"/>
  <c r="N250" i="11" s="1"/>
  <c r="N251" i="11" s="1"/>
  <c r="N252" i="11" s="1"/>
  <c r="N253" i="11" s="1"/>
  <c r="N254" i="11" s="1"/>
  <c r="N255" i="11" s="1"/>
  <c r="N256" i="11" s="1"/>
  <c r="N257" i="11" s="1"/>
  <c r="S247" i="11" l="1"/>
  <c r="R247" i="11"/>
  <c r="G75" i="11" s="1"/>
  <c r="G12" i="11" l="1"/>
  <c r="D7" i="9" l="1"/>
  <c r="H12" i="11"/>
  <c r="I12" i="11" s="1"/>
  <c r="J12" i="11" s="1"/>
  <c r="G13" i="11"/>
  <c r="H13" i="11" s="1"/>
  <c r="I13" i="11" s="1"/>
  <c r="J13" i="11" s="1"/>
  <c r="K13" i="11" s="1"/>
  <c r="L13" i="11" s="1"/>
  <c r="M13" i="11" s="1"/>
  <c r="N13" i="11" s="1"/>
  <c r="O13" i="11" s="1"/>
  <c r="P13" i="11" s="1"/>
  <c r="Q13" i="11" s="1"/>
  <c r="R13" i="11" s="1"/>
  <c r="S13" i="11" s="1"/>
  <c r="T13" i="11" s="1"/>
  <c r="U13" i="11" s="1"/>
  <c r="V13" i="11" s="1"/>
  <c r="W13" i="11" s="1"/>
  <c r="X13" i="11" s="1"/>
  <c r="Y13" i="11" s="1"/>
  <c r="Z13" i="11" s="1"/>
  <c r="AA13" i="11" s="1"/>
  <c r="AB13" i="11" s="1"/>
  <c r="AC13" i="11" s="1"/>
  <c r="AD13" i="11" s="1"/>
  <c r="AE13" i="11" s="1"/>
  <c r="AF13" i="11" s="1"/>
  <c r="AG13" i="11" s="1"/>
  <c r="AH13" i="11" s="1"/>
  <c r="AI13" i="11" s="1"/>
  <c r="AJ13" i="11" s="1"/>
  <c r="G14" i="11" l="1"/>
  <c r="G15" i="11" s="1"/>
  <c r="I14" i="11"/>
  <c r="C9" i="10" s="1"/>
  <c r="H14" i="11"/>
  <c r="C8" i="10" s="1"/>
  <c r="K12" i="11"/>
  <c r="J14" i="11"/>
  <c r="G37" i="11" l="1"/>
  <c r="Q37" i="7" s="1"/>
  <c r="C7" i="10"/>
  <c r="I15" i="11"/>
  <c r="H15" i="11"/>
  <c r="L12" i="11"/>
  <c r="K14" i="11"/>
  <c r="J15" i="11"/>
  <c r="C10" i="10"/>
  <c r="I37" i="11" l="1"/>
  <c r="H37" i="11"/>
  <c r="J37" i="11"/>
  <c r="M12" i="11"/>
  <c r="L14" i="11"/>
  <c r="K15" i="11"/>
  <c r="C11" i="10"/>
  <c r="K37" i="11" l="1"/>
  <c r="L15" i="11"/>
  <c r="C12" i="10"/>
  <c r="N12" i="11"/>
  <c r="M14" i="11"/>
  <c r="L37" i="11" l="1"/>
  <c r="C13" i="10"/>
  <c r="M15" i="11"/>
  <c r="O12" i="11"/>
  <c r="N14" i="11"/>
  <c r="M37" i="11" l="1"/>
  <c r="C14" i="10"/>
  <c r="N15" i="11"/>
  <c r="O14" i="11"/>
  <c r="P12" i="11"/>
  <c r="N37" i="11" l="1"/>
  <c r="P14" i="11"/>
  <c r="Q12" i="11"/>
  <c r="C15" i="10"/>
  <c r="O15" i="11"/>
  <c r="O37" i="11" l="1"/>
  <c r="P15" i="11"/>
  <c r="C16" i="10"/>
  <c r="Q14" i="11"/>
  <c r="R12" i="11"/>
  <c r="P37" i="11" l="1"/>
  <c r="S12" i="11"/>
  <c r="R14" i="11"/>
  <c r="C17" i="10"/>
  <c r="Q15" i="11"/>
  <c r="Q37" i="11" l="1"/>
  <c r="C18" i="10"/>
  <c r="R15" i="11"/>
  <c r="T12" i="11"/>
  <c r="S14" i="11"/>
  <c r="R37" i="11" l="1"/>
  <c r="U12" i="11"/>
  <c r="T14" i="11"/>
  <c r="C19" i="10"/>
  <c r="S15" i="11"/>
  <c r="S37" i="11" l="1"/>
  <c r="T15" i="11"/>
  <c r="C20" i="10"/>
  <c r="V12" i="11"/>
  <c r="U14" i="11"/>
  <c r="T37" i="11" l="1"/>
  <c r="V14" i="11"/>
  <c r="W12" i="11"/>
  <c r="U15" i="11"/>
  <c r="C21" i="10"/>
  <c r="U37" i="11" l="1"/>
  <c r="V15" i="11"/>
  <c r="C22" i="10"/>
  <c r="W14" i="11"/>
  <c r="X12" i="11"/>
  <c r="V37" i="11" l="1"/>
  <c r="X14" i="11"/>
  <c r="Y12" i="11"/>
  <c r="W15" i="11"/>
  <c r="C23" i="10"/>
  <c r="W37" i="11" l="1"/>
  <c r="X15" i="11"/>
  <c r="C24" i="10"/>
  <c r="Y14" i="11"/>
  <c r="Z12" i="11"/>
  <c r="X37" i="11" l="1"/>
  <c r="Y15" i="11"/>
  <c r="C25" i="10"/>
  <c r="AA12" i="11"/>
  <c r="Z14" i="11"/>
  <c r="Y37" i="11" l="1"/>
  <c r="AA14" i="11"/>
  <c r="AB12" i="11"/>
  <c r="Z15" i="11"/>
  <c r="C26" i="10"/>
  <c r="Z37" i="11" l="1"/>
  <c r="AC12" i="11"/>
  <c r="AB14" i="11"/>
  <c r="C27" i="10"/>
  <c r="AA15" i="11"/>
  <c r="AA37" i="11" l="1"/>
  <c r="AB15" i="11"/>
  <c r="C28" i="10"/>
  <c r="AC14" i="11"/>
  <c r="AD12" i="11"/>
  <c r="AB37" i="11" l="1"/>
  <c r="AC15" i="11"/>
  <c r="C29" i="10"/>
  <c r="AE12" i="11"/>
  <c r="AD14" i="11"/>
  <c r="AC37" i="11" l="1"/>
  <c r="AE14" i="11"/>
  <c r="AE15" i="11" s="1"/>
  <c r="AF12" i="11"/>
  <c r="AD15" i="11"/>
  <c r="C30" i="10"/>
  <c r="C31" i="10" l="1"/>
  <c r="AD37" i="11"/>
  <c r="AE37" i="11"/>
  <c r="AF14" i="11"/>
  <c r="AG12" i="11"/>
  <c r="AH12" i="11" l="1"/>
  <c r="AG14" i="11"/>
  <c r="AF15" i="11"/>
  <c r="AF37" i="11" s="1"/>
  <c r="C32" i="10"/>
  <c r="AD200" i="11"/>
  <c r="AD206" i="11" s="1"/>
  <c r="AD50" i="11" s="1"/>
  <c r="G30" i="10" s="1"/>
  <c r="C33" i="10" l="1"/>
  <c r="AG15" i="11"/>
  <c r="AG37" i="11" s="1"/>
  <c r="AI12" i="11"/>
  <c r="AH14" i="11"/>
  <c r="AJ12" i="11" l="1"/>
  <c r="AJ14" i="11" s="1"/>
  <c r="AI14" i="11"/>
  <c r="C34" i="10"/>
  <c r="AH15" i="11"/>
  <c r="AH37" i="11" s="1"/>
  <c r="D14" i="9" l="1"/>
  <c r="C36" i="10"/>
  <c r="AJ15" i="11"/>
  <c r="AJ37" i="11" s="1"/>
  <c r="C35" i="10"/>
  <c r="AI15" i="11"/>
  <c r="AI37" i="11" s="1"/>
  <c r="H199" i="11"/>
  <c r="H206" i="11" s="1"/>
  <c r="H50" i="11" s="1"/>
  <c r="G8" i="10" s="1"/>
  <c r="AG199" i="11"/>
  <c r="AG206" i="11" s="1"/>
  <c r="AG50" i="11" s="1"/>
  <c r="G33" i="10" s="1"/>
  <c r="AF199" i="11"/>
  <c r="AF206" i="11" s="1"/>
  <c r="AF50" i="11" s="1"/>
  <c r="G32" i="10" s="1"/>
  <c r="G199" i="11" l="1"/>
  <c r="G200" i="11" l="1"/>
  <c r="G206" i="11" s="1"/>
  <c r="G50" i="11" s="1"/>
  <c r="G7" i="10" s="1"/>
  <c r="AA199" i="11" l="1"/>
  <c r="AA206" i="11" s="1"/>
  <c r="AA50" i="11" s="1"/>
  <c r="G27" i="10" s="1"/>
  <c r="AH89" i="11" l="1"/>
  <c r="AH90" i="11"/>
  <c r="AG89" i="11"/>
  <c r="AG90" i="11"/>
  <c r="AJ89" i="11"/>
  <c r="AJ90" i="11"/>
  <c r="AI89" i="11"/>
  <c r="AI90" i="11"/>
  <c r="AF89" i="11"/>
  <c r="AD89" i="11"/>
  <c r="AF90" i="11"/>
  <c r="AA90" i="11"/>
  <c r="AB89" i="11"/>
  <c r="AA89" i="11"/>
  <c r="AE89" i="11"/>
  <c r="AB90" i="11"/>
  <c r="AC89" i="11"/>
  <c r="AE90" i="11"/>
  <c r="AD90" i="11"/>
  <c r="AC90" i="11"/>
  <c r="Z90" i="11"/>
  <c r="Z89" i="11"/>
  <c r="Y89" i="11"/>
  <c r="Y90" i="11"/>
  <c r="Z46" i="11" l="1"/>
  <c r="Z88" i="11"/>
  <c r="F26" i="10" s="1"/>
  <c r="Z49" i="11"/>
  <c r="Z95" i="11"/>
  <c r="AD49" i="11"/>
  <c r="AD95" i="11"/>
  <c r="AC46" i="11"/>
  <c r="AC88" i="11"/>
  <c r="F29" i="10" s="1"/>
  <c r="AE88" i="11"/>
  <c r="F31" i="10" s="1"/>
  <c r="AE46" i="11"/>
  <c r="AB88" i="11"/>
  <c r="F28" i="10" s="1"/>
  <c r="AB46" i="11"/>
  <c r="AF49" i="11"/>
  <c r="AF95" i="11"/>
  <c r="AF88" i="11"/>
  <c r="F32" i="10" s="1"/>
  <c r="AF46" i="11"/>
  <c r="AI46" i="11"/>
  <c r="AI88" i="11"/>
  <c r="AJ46" i="11"/>
  <c r="AJ88" i="11"/>
  <c r="AG46" i="11"/>
  <c r="AG88" i="11"/>
  <c r="AH46" i="11"/>
  <c r="AH88" i="11"/>
  <c r="Y49" i="11"/>
  <c r="Y95" i="11"/>
  <c r="Y46" i="11"/>
  <c r="Y88" i="11"/>
  <c r="F25" i="10" s="1"/>
  <c r="AC95" i="11"/>
  <c r="AC49" i="11"/>
  <c r="AE95" i="11"/>
  <c r="AE49" i="11"/>
  <c r="AB95" i="11"/>
  <c r="AB49" i="11"/>
  <c r="AA46" i="11"/>
  <c r="AA88" i="11"/>
  <c r="F27" i="10" s="1"/>
  <c r="AA95" i="11"/>
  <c r="AA49" i="11"/>
  <c r="AD88" i="11"/>
  <c r="F30" i="10" s="1"/>
  <c r="AD46" i="11"/>
  <c r="AI95" i="11"/>
  <c r="AI49" i="11"/>
  <c r="AJ95" i="11"/>
  <c r="AJ49" i="11"/>
  <c r="AG95" i="11"/>
  <c r="AG49" i="11"/>
  <c r="AH95" i="11"/>
  <c r="AH49" i="11"/>
  <c r="F34" i="10" l="1"/>
  <c r="F33" i="10"/>
  <c r="F36" i="10"/>
  <c r="F35" i="10"/>
  <c r="P25" i="10" l="1"/>
  <c r="P26" i="10" l="1"/>
  <c r="P27" i="10" l="1"/>
  <c r="P28" i="10" l="1"/>
  <c r="P30" i="10" l="1"/>
  <c r="P29" i="10"/>
  <c r="P32" i="10"/>
  <c r="P31" i="10" l="1"/>
  <c r="N91" i="7" l="1"/>
  <c r="O200" i="11" l="1"/>
  <c r="O206" i="11" s="1"/>
  <c r="O50" i="11" s="1"/>
  <c r="G15" i="10" s="1"/>
  <c r="Z200" i="11" l="1"/>
  <c r="Z206" i="11" s="1"/>
  <c r="Z50" i="11" s="1"/>
  <c r="G26" i="10" s="1"/>
  <c r="H183" i="11" l="1"/>
  <c r="H186" i="11" s="1"/>
  <c r="J183" i="11"/>
  <c r="J186" i="11" s="1"/>
  <c r="I183" i="11"/>
  <c r="I186" i="11" s="1"/>
  <c r="K183" i="11"/>
  <c r="K186" i="11" s="1"/>
  <c r="G183" i="11"/>
  <c r="G186" i="11" l="1"/>
  <c r="Q73" i="7"/>
  <c r="I170" i="11" l="1"/>
  <c r="I172" i="11" s="1"/>
  <c r="I68" i="11" s="1"/>
  <c r="K170" i="11"/>
  <c r="K172" i="11" s="1"/>
  <c r="K68" i="11" s="1"/>
  <c r="M170" i="11"/>
  <c r="M172" i="11" s="1"/>
  <c r="M68" i="11" s="1"/>
  <c r="O170" i="11"/>
  <c r="O172" i="11" s="1"/>
  <c r="O68" i="11" s="1"/>
  <c r="G170" i="11"/>
  <c r="H170" i="11"/>
  <c r="H172" i="11" s="1"/>
  <c r="H68" i="11" s="1"/>
  <c r="J170" i="11"/>
  <c r="J172" i="11" s="1"/>
  <c r="J68" i="11" s="1"/>
  <c r="L170" i="11"/>
  <c r="L172" i="11" s="1"/>
  <c r="L68" i="11" s="1"/>
  <c r="N170" i="11"/>
  <c r="N172" i="11" s="1"/>
  <c r="N68" i="11" s="1"/>
  <c r="P170" i="11"/>
  <c r="P172" i="11" s="1"/>
  <c r="P68" i="11" s="1"/>
  <c r="G189" i="11" l="1"/>
  <c r="G175" i="11" l="1"/>
  <c r="H192" i="11"/>
  <c r="H193" i="11"/>
  <c r="H69" i="11" s="1"/>
  <c r="G192" i="11"/>
  <c r="G193" i="11"/>
  <c r="G69" i="11" s="1"/>
  <c r="H179" i="11" l="1"/>
  <c r="G178" i="11"/>
  <c r="G179" i="11"/>
  <c r="G194" i="11"/>
  <c r="H191" i="11" s="1"/>
  <c r="H194" i="11" s="1"/>
  <c r="I191" i="11" s="1"/>
  <c r="G180" i="11" l="1"/>
  <c r="H177" i="11" s="1"/>
  <c r="I193" i="11"/>
  <c r="I69" i="11" s="1"/>
  <c r="I192" i="11"/>
  <c r="I194" i="11" l="1"/>
  <c r="J191" i="11" s="1"/>
  <c r="I179" i="11"/>
  <c r="I178" i="11"/>
  <c r="H189" i="11" l="1"/>
  <c r="J189" i="11"/>
  <c r="H175" i="11" l="1"/>
  <c r="H178" i="11" s="1"/>
  <c r="H180" i="11" s="1"/>
  <c r="I177" i="11" s="1"/>
  <c r="I180" i="11" s="1"/>
  <c r="J177" i="11" s="1"/>
  <c r="K192" i="11"/>
  <c r="J193" i="11"/>
  <c r="J69" i="11" s="1"/>
  <c r="J192" i="11"/>
  <c r="J175" i="11"/>
  <c r="I189" i="11" l="1"/>
  <c r="K175" i="11"/>
  <c r="J179" i="11"/>
  <c r="J178" i="11"/>
  <c r="J194" i="11"/>
  <c r="I175" i="11" l="1"/>
  <c r="J180" i="11"/>
  <c r="K177" i="11" s="1"/>
  <c r="K191" i="11"/>
  <c r="K193" i="11"/>
  <c r="K69" i="11" s="1"/>
  <c r="K179" i="11"/>
  <c r="K178" i="11"/>
  <c r="K180" i="11" l="1"/>
  <c r="L177" i="11" s="1"/>
  <c r="K194" i="11"/>
  <c r="L191" i="11" s="1"/>
  <c r="L189" i="11"/>
  <c r="K189" i="11" l="1"/>
  <c r="L193" i="11"/>
  <c r="L69" i="11" s="1"/>
  <c r="L192" i="11"/>
  <c r="L175" i="11"/>
  <c r="M192" i="11"/>
  <c r="M175" i="11" l="1"/>
  <c r="L194" i="11"/>
  <c r="L178" i="11"/>
  <c r="L179" i="11"/>
  <c r="L180" i="11" l="1"/>
  <c r="M177" i="11" s="1"/>
  <c r="M191" i="11"/>
  <c r="M193" i="11"/>
  <c r="M69" i="11" s="1"/>
  <c r="M179" i="11"/>
  <c r="M178" i="11"/>
  <c r="M189" i="11" l="1"/>
  <c r="M180" i="11"/>
  <c r="N177" i="11" s="1"/>
  <c r="M194" i="11"/>
  <c r="N191" i="11" s="1"/>
  <c r="N189" i="11"/>
  <c r="N192" i="11" l="1"/>
  <c r="N193" i="11"/>
  <c r="N69" i="11" s="1"/>
  <c r="O192" i="11"/>
  <c r="N175" i="11"/>
  <c r="O175" i="11" l="1"/>
  <c r="N179" i="11"/>
  <c r="N178" i="11"/>
  <c r="N194" i="11"/>
  <c r="O191" i="11" l="1"/>
  <c r="O193" i="11"/>
  <c r="O69" i="11" s="1"/>
  <c r="O178" i="11"/>
  <c r="N180" i="11"/>
  <c r="O177" i="11" s="1"/>
  <c r="O189" i="11" l="1"/>
  <c r="O179" i="11"/>
  <c r="O194" i="11"/>
  <c r="P191" i="11" s="1"/>
  <c r="P189" i="11"/>
  <c r="O180" i="11" l="1"/>
  <c r="P177" i="11" s="1"/>
  <c r="P193" i="11"/>
  <c r="P69" i="11" s="1"/>
  <c r="P192" i="11"/>
  <c r="Q189" i="11"/>
  <c r="P175" i="11"/>
  <c r="Q192" i="11" l="1"/>
  <c r="P178" i="11"/>
  <c r="P179" i="11"/>
  <c r="Q175" i="11"/>
  <c r="R189" i="11"/>
  <c r="P194" i="11"/>
  <c r="Q191" i="11" s="1"/>
  <c r="P180" i="11" l="1"/>
  <c r="Q177" i="11" s="1"/>
  <c r="R175" i="11"/>
  <c r="S189" i="11"/>
  <c r="Q193" i="11"/>
  <c r="Q69" i="11" s="1"/>
  <c r="R192" i="11"/>
  <c r="Q179" i="11"/>
  <c r="Q178" i="11"/>
  <c r="Q180" i="11" l="1"/>
  <c r="R177" i="11" s="1"/>
  <c r="S175" i="11"/>
  <c r="R178" i="11"/>
  <c r="R179" i="11"/>
  <c r="T189" i="11"/>
  <c r="Q194" i="11"/>
  <c r="S192" i="11"/>
  <c r="R180" i="11" l="1"/>
  <c r="S177" i="11" s="1"/>
  <c r="R191" i="11"/>
  <c r="R193" i="11"/>
  <c r="R69" i="11" s="1"/>
  <c r="T192" i="11"/>
  <c r="T175" i="11"/>
  <c r="S178" i="11"/>
  <c r="S179" i="11" l="1"/>
  <c r="R194" i="11"/>
  <c r="S193" i="11" s="1"/>
  <c r="S69" i="11" s="1"/>
  <c r="T178" i="11"/>
  <c r="S180" i="11" l="1"/>
  <c r="T177" i="11" s="1"/>
  <c r="S191" i="11"/>
  <c r="S194" i="11" s="1"/>
  <c r="T179" i="11"/>
  <c r="T180" i="11" l="1"/>
  <c r="U177" i="11" s="1"/>
  <c r="U189" i="11"/>
  <c r="U192" i="11" s="1"/>
  <c r="V189" i="11"/>
  <c r="V192" i="11" s="1"/>
  <c r="T191" i="11"/>
  <c r="T193" i="11"/>
  <c r="T69" i="11" s="1"/>
  <c r="U178" i="11" l="1"/>
  <c r="U179" i="11"/>
  <c r="T194" i="11"/>
  <c r="U180" i="11" l="1"/>
  <c r="V177" i="11" s="1"/>
  <c r="U191" i="11"/>
  <c r="U193" i="11"/>
  <c r="U69" i="11" s="1"/>
  <c r="X189" i="11"/>
  <c r="V179" i="11" l="1"/>
  <c r="W189" i="11"/>
  <c r="W192" i="11" s="1"/>
  <c r="U194" i="11"/>
  <c r="V193" i="11" s="1"/>
  <c r="V69" i="11" s="1"/>
  <c r="X175" i="11"/>
  <c r="X192" i="11"/>
  <c r="V191" i="11" l="1"/>
  <c r="V194" i="11" s="1"/>
  <c r="W175" i="11"/>
  <c r="X178" i="11"/>
  <c r="W178" i="11" l="1"/>
  <c r="W179" i="11"/>
  <c r="W191" i="11"/>
  <c r="W193" i="11"/>
  <c r="W69" i="11" s="1"/>
  <c r="W194" i="11" l="1"/>
  <c r="U175" i="11" l="1"/>
  <c r="Z189" i="11"/>
  <c r="Z192" i="11" s="1"/>
  <c r="X177" i="11"/>
  <c r="X179" i="11"/>
  <c r="X191" i="11"/>
  <c r="X193" i="11"/>
  <c r="X69" i="11" s="1"/>
  <c r="Z178" i="11"/>
  <c r="V175" i="11" l="1"/>
  <c r="V178" i="11" s="1"/>
  <c r="V180" i="11" s="1"/>
  <c r="W177" i="11" s="1"/>
  <c r="W180" i="11" s="1"/>
  <c r="Y189" i="11"/>
  <c r="Y192" i="11" s="1"/>
  <c r="X180" i="11"/>
  <c r="X194" i="11"/>
  <c r="Y191" i="11" s="1"/>
  <c r="Y193" i="11" l="1"/>
  <c r="Y69" i="11" s="1"/>
  <c r="Y179" i="11"/>
  <c r="Y177" i="11"/>
  <c r="AB175" i="11"/>
  <c r="Y194" i="11" l="1"/>
  <c r="AA189" i="11"/>
  <c r="AA192" i="11" s="1"/>
  <c r="AB178" i="11"/>
  <c r="Z191" i="11"/>
  <c r="Z193" i="11"/>
  <c r="Z69" i="11" s="1"/>
  <c r="Z179" i="11" l="1"/>
  <c r="Z194" i="11"/>
  <c r="AA193" i="11" s="1"/>
  <c r="AA69" i="11" s="1"/>
  <c r="AA177" i="11" l="1"/>
  <c r="AA179" i="11"/>
  <c r="AA191" i="11"/>
  <c r="AA194" i="11" s="1"/>
  <c r="AD175" i="11"/>
  <c r="Y175" i="11" l="1"/>
  <c r="Y178" i="11" s="1"/>
  <c r="Y180" i="11" s="1"/>
  <c r="Z177" i="11" s="1"/>
  <c r="Z180" i="11" s="1"/>
  <c r="AC189" i="11"/>
  <c r="AC192" i="11" s="1"/>
  <c r="AD178" i="11"/>
  <c r="AB191" i="11"/>
  <c r="AB193" i="11"/>
  <c r="AB69" i="11" s="1"/>
  <c r="AB189" i="11" l="1"/>
  <c r="AB192" i="11" s="1"/>
  <c r="AB194" i="11" s="1"/>
  <c r="AD189" i="11"/>
  <c r="AD192" i="11" s="1"/>
  <c r="AB177" i="11"/>
  <c r="AB179" i="11"/>
  <c r="AA175" i="11" l="1"/>
  <c r="AA178" i="11" s="1"/>
  <c r="AA180" i="11" s="1"/>
  <c r="AB180" i="11"/>
  <c r="AC191" i="11"/>
  <c r="AC193" i="11"/>
  <c r="AC69" i="11" s="1"/>
  <c r="AE175" i="11"/>
  <c r="AC177" i="11" l="1"/>
  <c r="AC179" i="11"/>
  <c r="AE178" i="11"/>
  <c r="AC194" i="11"/>
  <c r="Z175" i="11" l="1"/>
  <c r="AE189" i="11"/>
  <c r="AE192" i="11" s="1"/>
  <c r="AF189" i="11"/>
  <c r="AF192" i="11" s="1"/>
  <c r="AD191" i="11"/>
  <c r="AD193" i="11"/>
  <c r="AD69" i="11" s="1"/>
  <c r="AD177" i="11" l="1"/>
  <c r="AD179" i="11"/>
  <c r="AD194" i="11"/>
  <c r="AD180" i="11" l="1"/>
  <c r="AE191" i="11"/>
  <c r="AE193" i="11"/>
  <c r="AE69" i="11" s="1"/>
  <c r="AE177" i="11" l="1"/>
  <c r="AE179" i="11"/>
  <c r="AE194" i="11"/>
  <c r="AF193" i="11" s="1"/>
  <c r="AF69" i="11" s="1"/>
  <c r="AH175" i="11"/>
  <c r="AG189" i="11" l="1"/>
  <c r="AG192" i="11" s="1"/>
  <c r="AF191" i="11"/>
  <c r="AF194" i="11" s="1"/>
  <c r="AE180" i="11"/>
  <c r="AH178" i="11"/>
  <c r="AI175" i="11"/>
  <c r="AF177" i="11" l="1"/>
  <c r="AF179" i="11"/>
  <c r="AG193" i="11"/>
  <c r="AG69" i="11" s="1"/>
  <c r="AG191" i="11"/>
  <c r="AI178" i="11"/>
  <c r="AG194" i="11" l="1"/>
  <c r="AH193" i="11" s="1"/>
  <c r="AH69" i="11" s="1"/>
  <c r="AH191" i="11"/>
  <c r="AJ175" i="11"/>
  <c r="AG179" i="11" l="1"/>
  <c r="AG177" i="11"/>
  <c r="AJ178" i="11"/>
  <c r="AC175" i="11" l="1"/>
  <c r="AC178" i="11" s="1"/>
  <c r="AC180" i="11" s="1"/>
  <c r="AH189" i="11"/>
  <c r="AH192" i="11" s="1"/>
  <c r="AH194" i="11" s="1"/>
  <c r="AI189" i="11"/>
  <c r="AI192" i="11" s="1"/>
  <c r="AH177" i="11"/>
  <c r="AH179" i="11"/>
  <c r="AI193" i="11"/>
  <c r="AI69" i="11" s="1"/>
  <c r="AI191" i="11"/>
  <c r="AI194" i="11" l="1"/>
  <c r="AJ193" i="11" s="1"/>
  <c r="AJ69" i="11" s="1"/>
  <c r="AH180" i="11"/>
  <c r="AJ191" i="11"/>
  <c r="AI177" i="11" l="1"/>
  <c r="AI179" i="11"/>
  <c r="AJ189" i="11" l="1"/>
  <c r="AJ192" i="11" s="1"/>
  <c r="AJ194" i="11" s="1"/>
  <c r="AI180" i="11"/>
  <c r="AJ177" i="11"/>
  <c r="AJ179" i="11"/>
  <c r="AJ180" i="11" l="1"/>
  <c r="AF175" i="11" l="1"/>
  <c r="AF178" i="11" s="1"/>
  <c r="AF180" i="11" s="1"/>
  <c r="AG175" i="11" l="1"/>
  <c r="AG178" i="11" s="1"/>
  <c r="AG180" i="11" s="1"/>
  <c r="AG33" i="11" l="1"/>
  <c r="AG38" i="11" s="1"/>
  <c r="AI33" i="11"/>
  <c r="AI38" i="11" s="1"/>
  <c r="AJ33" i="11"/>
  <c r="AJ38" i="11" s="1"/>
  <c r="AF33" i="11"/>
  <c r="AF38" i="11" s="1"/>
  <c r="AH33" i="11"/>
  <c r="AH38" i="11" s="1"/>
  <c r="E34" i="10" l="1"/>
  <c r="S34" i="10" s="1"/>
  <c r="AH39" i="11"/>
  <c r="AH40" i="11"/>
  <c r="E32" i="10"/>
  <c r="S32" i="10" s="1"/>
  <c r="AF40" i="11"/>
  <c r="AF39" i="11"/>
  <c r="E36" i="10"/>
  <c r="AJ39" i="11"/>
  <c r="AJ40" i="11"/>
  <c r="AI40" i="11"/>
  <c r="AI39" i="11"/>
  <c r="E35" i="10"/>
  <c r="S35" i="10" s="1"/>
  <c r="AG40" i="11"/>
  <c r="E33" i="10"/>
  <c r="S33" i="10" s="1"/>
  <c r="AG39" i="11"/>
  <c r="AJ200" i="11" l="1"/>
  <c r="AJ206" i="11" s="1"/>
  <c r="AJ50" i="11" s="1"/>
  <c r="G36" i="10" s="1"/>
  <c r="S36" i="10" s="1"/>
  <c r="F83" i="11"/>
  <c r="F85" i="11" s="1"/>
  <c r="E137" i="11"/>
  <c r="C144" i="11"/>
  <c r="E144" i="11" s="1"/>
  <c r="G144" i="11" s="1"/>
  <c r="C137" i="11"/>
  <c r="Q31" i="7"/>
  <c r="V33" i="11" l="1"/>
  <c r="V38" i="11" s="1"/>
  <c r="U33" i="11"/>
  <c r="U38" i="11" s="1"/>
  <c r="I33" i="11"/>
  <c r="I38" i="11" s="1"/>
  <c r="M33" i="11"/>
  <c r="M38" i="11" s="1"/>
  <c r="P33" i="11"/>
  <c r="P38" i="11" s="1"/>
  <c r="X33" i="11"/>
  <c r="X38" i="11" s="1"/>
  <c r="Q33" i="11"/>
  <c r="Q38" i="11" s="1"/>
  <c r="AD33" i="11"/>
  <c r="AD38" i="11" s="1"/>
  <c r="J33" i="11"/>
  <c r="J38" i="11" s="1"/>
  <c r="T33" i="11"/>
  <c r="T38" i="11" s="1"/>
  <c r="S33" i="11"/>
  <c r="S38" i="11" s="1"/>
  <c r="K33" i="11"/>
  <c r="K38" i="11" s="1"/>
  <c r="R33" i="11"/>
  <c r="R38" i="11" s="1"/>
  <c r="AE33" i="11"/>
  <c r="AE38" i="11" s="1"/>
  <c r="O33" i="11"/>
  <c r="O38" i="11" s="1"/>
  <c r="Y33" i="11"/>
  <c r="Y38" i="11" s="1"/>
  <c r="AB33" i="11"/>
  <c r="AB38" i="11" s="1"/>
  <c r="Z33" i="11"/>
  <c r="Z38" i="11" s="1"/>
  <c r="W33" i="11"/>
  <c r="W38" i="11" s="1"/>
  <c r="L33" i="11"/>
  <c r="L38" i="11" s="1"/>
  <c r="AA33" i="11"/>
  <c r="AA38" i="11" s="1"/>
  <c r="AC33" i="11"/>
  <c r="AC38" i="11" s="1"/>
  <c r="G33" i="11"/>
  <c r="G38" i="11" s="1"/>
  <c r="N33" i="11"/>
  <c r="N38" i="11" s="1"/>
  <c r="H33" i="11"/>
  <c r="H38" i="11" s="1"/>
  <c r="O89" i="11"/>
  <c r="N89" i="11"/>
  <c r="M90" i="11"/>
  <c r="F94" i="11"/>
  <c r="F96" i="11" s="1"/>
  <c r="G93" i="11" s="1"/>
  <c r="T89" i="11"/>
  <c r="J90" i="11"/>
  <c r="G89" i="11"/>
  <c r="V90" i="11"/>
  <c r="U90" i="11"/>
  <c r="P89" i="11"/>
  <c r="H90" i="11"/>
  <c r="W89" i="11"/>
  <c r="X90" i="11"/>
  <c r="K90" i="11"/>
  <c r="S89" i="11"/>
  <c r="N90" i="11"/>
  <c r="M89" i="11"/>
  <c r="H89" i="11"/>
  <c r="Q90" i="11"/>
  <c r="R90" i="11"/>
  <c r="P90" i="11"/>
  <c r="O90" i="11"/>
  <c r="Q89" i="11"/>
  <c r="G104" i="7"/>
  <c r="U89" i="11"/>
  <c r="R89" i="11"/>
  <c r="G90" i="11"/>
  <c r="J89" i="11"/>
  <c r="V89" i="11"/>
  <c r="K89" i="11"/>
  <c r="W90" i="11"/>
  <c r="L90" i="11"/>
  <c r="T90" i="11"/>
  <c r="L89" i="11"/>
  <c r="X89" i="11"/>
  <c r="I90" i="11"/>
  <c r="I89" i="11"/>
  <c r="S90" i="11"/>
  <c r="AJ137" i="11"/>
  <c r="O137" i="11"/>
  <c r="X137" i="11"/>
  <c r="W137" i="11"/>
  <c r="AI137" i="11"/>
  <c r="AH137" i="11"/>
  <c r="S137" i="11"/>
  <c r="L137" i="11"/>
  <c r="U137" i="11"/>
  <c r="M137" i="11"/>
  <c r="J137" i="11"/>
  <c r="AE137" i="11"/>
  <c r="N137" i="11"/>
  <c r="V137" i="11"/>
  <c r="H137" i="11"/>
  <c r="H139" i="11" s="1"/>
  <c r="I137" i="11"/>
  <c r="I139" i="11" s="1"/>
  <c r="AA137" i="11"/>
  <c r="G137" i="11"/>
  <c r="G139" i="11" s="1"/>
  <c r="AC137" i="11"/>
  <c r="Z137" i="11"/>
  <c r="K137" i="11"/>
  <c r="Q137" i="11"/>
  <c r="R137" i="11"/>
  <c r="Y137" i="11"/>
  <c r="T137" i="11"/>
  <c r="P137" i="11"/>
  <c r="AG137" i="11"/>
  <c r="AB137" i="11"/>
  <c r="AF137" i="11"/>
  <c r="AD137" i="11"/>
  <c r="H40" i="11" l="1"/>
  <c r="E8" i="10"/>
  <c r="H39" i="11"/>
  <c r="E7" i="10"/>
  <c r="G39" i="11"/>
  <c r="G40" i="11"/>
  <c r="D29" i="9" s="1"/>
  <c r="AA40" i="11"/>
  <c r="AA39" i="11"/>
  <c r="E27" i="10"/>
  <c r="S27" i="10" s="1"/>
  <c r="W40" i="11"/>
  <c r="W39" i="11"/>
  <c r="E23" i="10"/>
  <c r="AB40" i="11"/>
  <c r="AB39" i="11"/>
  <c r="E28" i="10"/>
  <c r="S28" i="10" s="1"/>
  <c r="O40" i="11"/>
  <c r="O39" i="11"/>
  <c r="E15" i="10"/>
  <c r="R39" i="11"/>
  <c r="R40" i="11"/>
  <c r="E18" i="10"/>
  <c r="S39" i="11"/>
  <c r="S40" i="11"/>
  <c r="E19" i="10"/>
  <c r="J39" i="11"/>
  <c r="J40" i="11"/>
  <c r="E10" i="10"/>
  <c r="Q39" i="11"/>
  <c r="Q40" i="11"/>
  <c r="E17" i="10"/>
  <c r="E16" i="10"/>
  <c r="P40" i="11"/>
  <c r="P39" i="11"/>
  <c r="E9" i="10"/>
  <c r="I39" i="11"/>
  <c r="I40" i="11"/>
  <c r="V39" i="11"/>
  <c r="V40" i="11"/>
  <c r="E22" i="10"/>
  <c r="E14" i="10"/>
  <c r="N40" i="11"/>
  <c r="N39" i="11"/>
  <c r="AC40" i="11"/>
  <c r="AC39" i="11"/>
  <c r="E29" i="10"/>
  <c r="S29" i="10" s="1"/>
  <c r="L40" i="11"/>
  <c r="L39" i="11"/>
  <c r="E12" i="10"/>
  <c r="E26" i="10"/>
  <c r="S26" i="10" s="1"/>
  <c r="Z39" i="11"/>
  <c r="Z40" i="11"/>
  <c r="Y40" i="11"/>
  <c r="Y39" i="11"/>
  <c r="E25" i="10"/>
  <c r="AE39" i="11"/>
  <c r="E31" i="10"/>
  <c r="AE40" i="11"/>
  <c r="K39" i="11"/>
  <c r="K40" i="11"/>
  <c r="E11" i="10"/>
  <c r="T39" i="11"/>
  <c r="T40" i="11"/>
  <c r="E20" i="10"/>
  <c r="E30" i="10"/>
  <c r="S30" i="10" s="1"/>
  <c r="AD39" i="11"/>
  <c r="AD40" i="11"/>
  <c r="E24" i="10"/>
  <c r="X39" i="11"/>
  <c r="X40" i="11"/>
  <c r="M39" i="11"/>
  <c r="E13" i="10"/>
  <c r="M40" i="11"/>
  <c r="U39" i="11"/>
  <c r="E21" i="10"/>
  <c r="U40" i="11"/>
  <c r="I46" i="11"/>
  <c r="I88" i="11"/>
  <c r="F9" i="10" s="1"/>
  <c r="X46" i="11"/>
  <c r="X88" i="11"/>
  <c r="F24" i="10" s="1"/>
  <c r="S24" i="10" s="1"/>
  <c r="T49" i="11"/>
  <c r="T95" i="11"/>
  <c r="W49" i="11"/>
  <c r="W95" i="11"/>
  <c r="V46" i="11"/>
  <c r="V88" i="11"/>
  <c r="F22" i="10" s="1"/>
  <c r="G95" i="11"/>
  <c r="G96" i="11" s="1"/>
  <c r="H93" i="11" s="1"/>
  <c r="G49" i="11"/>
  <c r="U88" i="11"/>
  <c r="F21" i="10" s="1"/>
  <c r="U46" i="11"/>
  <c r="Q88" i="11"/>
  <c r="F17" i="10" s="1"/>
  <c r="S17" i="10" s="1"/>
  <c r="Q46" i="11"/>
  <c r="P49" i="11"/>
  <c r="P95" i="11"/>
  <c r="Q49" i="11"/>
  <c r="Q95" i="11"/>
  <c r="M88" i="11"/>
  <c r="F13" i="10" s="1"/>
  <c r="M46" i="11"/>
  <c r="S46" i="11"/>
  <c r="S88" i="11"/>
  <c r="F19" i="10" s="1"/>
  <c r="X49" i="11"/>
  <c r="X95" i="11"/>
  <c r="H95" i="11"/>
  <c r="H49" i="11"/>
  <c r="U49" i="11"/>
  <c r="U95" i="11"/>
  <c r="G46" i="11"/>
  <c r="G88" i="11"/>
  <c r="T88" i="11"/>
  <c r="F20" i="10" s="1"/>
  <c r="T46" i="11"/>
  <c r="M95" i="11"/>
  <c r="M49" i="11"/>
  <c r="O88" i="11"/>
  <c r="F15" i="10" s="1"/>
  <c r="O46" i="11"/>
  <c r="S49" i="11"/>
  <c r="S95" i="11"/>
  <c r="I49" i="11"/>
  <c r="I95" i="11"/>
  <c r="L88" i="11"/>
  <c r="F12" i="10" s="1"/>
  <c r="L46" i="11"/>
  <c r="L49" i="11"/>
  <c r="L95" i="11"/>
  <c r="K46" i="11"/>
  <c r="K88" i="11"/>
  <c r="F11" i="10" s="1"/>
  <c r="J88" i="11"/>
  <c r="F10" i="10" s="1"/>
  <c r="J46" i="11"/>
  <c r="R46" i="11"/>
  <c r="R88" i="11"/>
  <c r="F18" i="10" s="1"/>
  <c r="O95" i="11"/>
  <c r="O49" i="11"/>
  <c r="R95" i="11"/>
  <c r="R49" i="11"/>
  <c r="H88" i="11"/>
  <c r="F8" i="10" s="1"/>
  <c r="H46" i="11"/>
  <c r="N95" i="11"/>
  <c r="N49" i="11"/>
  <c r="K95" i="11"/>
  <c r="K49" i="11"/>
  <c r="W46" i="11"/>
  <c r="W88" i="11"/>
  <c r="F23" i="10" s="1"/>
  <c r="P88" i="11"/>
  <c r="F16" i="10" s="1"/>
  <c r="P46" i="11"/>
  <c r="V95" i="11"/>
  <c r="V49" i="11"/>
  <c r="J49" i="11"/>
  <c r="J95" i="11"/>
  <c r="N88" i="11"/>
  <c r="F14" i="10" s="1"/>
  <c r="N46" i="11"/>
  <c r="S14" i="10" l="1"/>
  <c r="S12" i="10"/>
  <c r="S8" i="10"/>
  <c r="S15" i="10"/>
  <c r="S18" i="10"/>
  <c r="S21" i="10"/>
  <c r="S23" i="10"/>
  <c r="S11" i="10"/>
  <c r="S19" i="10"/>
  <c r="S9" i="10"/>
  <c r="S16" i="10"/>
  <c r="S10" i="10"/>
  <c r="S20" i="10"/>
  <c r="S13" i="10"/>
  <c r="G100" i="7"/>
  <c r="F200" i="11" s="1"/>
  <c r="AE200" i="11" s="1"/>
  <c r="AE206" i="11" s="1"/>
  <c r="AE50" i="11" s="1"/>
  <c r="G31" i="10" s="1"/>
  <c r="S31" i="10" s="1"/>
  <c r="G97" i="7"/>
  <c r="F7" i="10"/>
  <c r="S7" i="10" s="1"/>
  <c r="H96" i="11"/>
  <c r="I93" i="11" s="1"/>
  <c r="I96" i="11" s="1"/>
  <c r="J93" i="11" s="1"/>
  <c r="J96" i="11" s="1"/>
  <c r="K93" i="11" s="1"/>
  <c r="K96" i="11" s="1"/>
  <c r="L93" i="11" s="1"/>
  <c r="L96" i="11" s="1"/>
  <c r="M93" i="11" s="1"/>
  <c r="M96" i="11" s="1"/>
  <c r="N93" i="11" s="1"/>
  <c r="N96" i="11" s="1"/>
  <c r="O93" i="11" s="1"/>
  <c r="O96" i="11" s="1"/>
  <c r="P93" i="11" s="1"/>
  <c r="P96" i="11" s="1"/>
  <c r="Q93" i="11" s="1"/>
  <c r="Q96" i="11" s="1"/>
  <c r="R93" i="11" s="1"/>
  <c r="R96" i="11" s="1"/>
  <c r="S93" i="11" s="1"/>
  <c r="S96" i="11" s="1"/>
  <c r="T93" i="11" s="1"/>
  <c r="T96" i="11" s="1"/>
  <c r="U93" i="11" s="1"/>
  <c r="U96" i="11" s="1"/>
  <c r="V93" i="11" s="1"/>
  <c r="V96" i="11" s="1"/>
  <c r="W93" i="11" s="1"/>
  <c r="W96" i="11" s="1"/>
  <c r="X93" i="11" s="1"/>
  <c r="X96" i="11" s="1"/>
  <c r="Y93" i="11" s="1"/>
  <c r="Y96" i="11" s="1"/>
  <c r="Z93" i="11" s="1"/>
  <c r="Z96" i="11" s="1"/>
  <c r="AA93" i="11" s="1"/>
  <c r="AA96" i="11" s="1"/>
  <c r="AB93" i="11" s="1"/>
  <c r="AB96" i="11" s="1"/>
  <c r="AC93" i="11" s="1"/>
  <c r="AC96" i="11" s="1"/>
  <c r="AD93" i="11" s="1"/>
  <c r="AD96" i="11" s="1"/>
  <c r="AE93" i="11" s="1"/>
  <c r="AE96" i="11" s="1"/>
  <c r="AF93" i="11" s="1"/>
  <c r="AF96" i="11" s="1"/>
  <c r="AG93" i="11" s="1"/>
  <c r="AG96" i="11" s="1"/>
  <c r="AH93" i="11" s="1"/>
  <c r="AH96" i="11" s="1"/>
  <c r="AI93" i="11" s="1"/>
  <c r="AI96" i="11" s="1"/>
  <c r="AJ93" i="11" s="1"/>
  <c r="AJ96" i="11" s="1"/>
  <c r="G68" i="7" l="1"/>
  <c r="G70" i="7" s="1"/>
  <c r="F199" i="11"/>
  <c r="V199" i="11" s="1"/>
  <c r="V206" i="11" s="1"/>
  <c r="V50" i="11" s="1"/>
  <c r="G22" i="10" s="1"/>
  <c r="S22" i="10" s="1"/>
  <c r="C109" i="12"/>
  <c r="G71" i="7" l="1"/>
  <c r="C103" i="11"/>
  <c r="C104" i="11"/>
  <c r="C106" i="11"/>
  <c r="C102" i="11"/>
  <c r="C110" i="12"/>
  <c r="C120" i="12" s="1"/>
  <c r="C121" i="12" s="1"/>
  <c r="I120" i="12"/>
  <c r="I121" i="12" s="1"/>
  <c r="F203" i="11"/>
  <c r="G198" i="11" s="1"/>
  <c r="Y199" i="11"/>
  <c r="Y206" i="11" s="1"/>
  <c r="Y50" i="11" s="1"/>
  <c r="G25" i="10" s="1"/>
  <c r="S25" i="10" s="1"/>
  <c r="D110" i="12" l="1"/>
  <c r="D120" i="12" s="1"/>
  <c r="D121" i="12" s="1"/>
  <c r="Q59" i="7"/>
  <c r="G169" i="11" s="1"/>
  <c r="G172" i="11" s="1"/>
  <c r="G68" i="11" s="1"/>
  <c r="C108" i="11"/>
  <c r="D104" i="11" s="1"/>
  <c r="G75" i="7"/>
  <c r="G72" i="7"/>
  <c r="G203" i="11"/>
  <c r="H198" i="11" s="1"/>
  <c r="D106" i="11" l="1"/>
  <c r="C110" i="11"/>
  <c r="D103" i="11"/>
  <c r="D26" i="9"/>
  <c r="D27" i="9" s="1"/>
  <c r="G76" i="7"/>
  <c r="F55" i="11"/>
  <c r="C109" i="11"/>
  <c r="D102" i="11"/>
  <c r="G205" i="11"/>
  <c r="G22" i="11" s="1"/>
  <c r="G23" i="11" s="1"/>
  <c r="D7" i="10" s="1"/>
  <c r="H7" i="10" s="1"/>
  <c r="H203" i="11"/>
  <c r="I198" i="11" s="1"/>
  <c r="E106" i="11" l="1"/>
  <c r="E118" i="11" s="1"/>
  <c r="E104" i="11"/>
  <c r="V116" i="11" s="1"/>
  <c r="E105" i="11"/>
  <c r="G117" i="11" s="1"/>
  <c r="E103" i="11"/>
  <c r="G115" i="11" s="1"/>
  <c r="D108" i="11"/>
  <c r="D109" i="11" s="1"/>
  <c r="E102" i="11"/>
  <c r="X114" i="11" s="1"/>
  <c r="F57" i="11"/>
  <c r="F70" i="11" s="1"/>
  <c r="M6" i="10" s="1"/>
  <c r="N6" i="10" s="1"/>
  <c r="G105" i="7"/>
  <c r="G107" i="7" s="1"/>
  <c r="G42" i="11"/>
  <c r="G44" i="11" s="1"/>
  <c r="P7" i="10" s="1"/>
  <c r="H205" i="11"/>
  <c r="H22" i="11" s="1"/>
  <c r="H23" i="11" s="1"/>
  <c r="H42" i="11" s="1"/>
  <c r="I203" i="11"/>
  <c r="J198" i="11" s="1"/>
  <c r="AI115" i="11" l="1"/>
  <c r="N116" i="11"/>
  <c r="I115" i="11"/>
  <c r="P116" i="11"/>
  <c r="AI116" i="11"/>
  <c r="AG115" i="11"/>
  <c r="AB116" i="11"/>
  <c r="W116" i="11"/>
  <c r="AJ116" i="11"/>
  <c r="Y115" i="11"/>
  <c r="AH115" i="11"/>
  <c r="Z115" i="11"/>
  <c r="AC115" i="11"/>
  <c r="I116" i="11"/>
  <c r="Q116" i="11"/>
  <c r="AE116" i="11"/>
  <c r="L116" i="11"/>
  <c r="O116" i="11"/>
  <c r="K116" i="11"/>
  <c r="J114" i="11"/>
  <c r="Z116" i="11"/>
  <c r="M116" i="11"/>
  <c r="R116" i="11"/>
  <c r="AB114" i="11"/>
  <c r="I114" i="11"/>
  <c r="V117" i="11"/>
  <c r="M117" i="11"/>
  <c r="O117" i="11"/>
  <c r="N117" i="11"/>
  <c r="AF117" i="11"/>
  <c r="AI117" i="11"/>
  <c r="W117" i="11"/>
  <c r="G47" i="11"/>
  <c r="G52" i="11" s="1"/>
  <c r="G56" i="11" s="1"/>
  <c r="G57" i="11" s="1"/>
  <c r="R117" i="11"/>
  <c r="AC117" i="11"/>
  <c r="Q117" i="11"/>
  <c r="Z117" i="11"/>
  <c r="AH117" i="11"/>
  <c r="Y117" i="11"/>
  <c r="J117" i="11"/>
  <c r="P117" i="11"/>
  <c r="AG117" i="11"/>
  <c r="L117" i="11"/>
  <c r="AD117" i="11"/>
  <c r="AJ117" i="11"/>
  <c r="X117" i="11"/>
  <c r="AB117" i="11"/>
  <c r="AE117" i="11"/>
  <c r="T117" i="11"/>
  <c r="AA117" i="11"/>
  <c r="I117" i="11"/>
  <c r="U117" i="11"/>
  <c r="H117" i="11"/>
  <c r="S117" i="11"/>
  <c r="K117" i="11"/>
  <c r="K115" i="11"/>
  <c r="AB115" i="11"/>
  <c r="AA115" i="11"/>
  <c r="AF115" i="11"/>
  <c r="Q115" i="11"/>
  <c r="M115" i="11"/>
  <c r="AD115" i="11"/>
  <c r="X115" i="11"/>
  <c r="X116" i="11"/>
  <c r="AG116" i="11"/>
  <c r="S116" i="11"/>
  <c r="AC116" i="11"/>
  <c r="G116" i="11"/>
  <c r="H116" i="11"/>
  <c r="AA116" i="11"/>
  <c r="AH116" i="11"/>
  <c r="AD116" i="11"/>
  <c r="J116" i="11"/>
  <c r="AF116" i="11"/>
  <c r="T116" i="11"/>
  <c r="Y116" i="11"/>
  <c r="U116" i="11"/>
  <c r="AG114" i="11"/>
  <c r="AA114" i="11"/>
  <c r="Y114" i="11"/>
  <c r="Q114" i="11"/>
  <c r="R115" i="11"/>
  <c r="T115" i="11"/>
  <c r="W115" i="11"/>
  <c r="H115" i="11"/>
  <c r="N115" i="11"/>
  <c r="S115" i="11"/>
  <c r="V115" i="11"/>
  <c r="AE115" i="11"/>
  <c r="P115" i="11"/>
  <c r="L115" i="11"/>
  <c r="U115" i="11"/>
  <c r="AJ115" i="11"/>
  <c r="O115" i="11"/>
  <c r="J115" i="11"/>
  <c r="K114" i="11"/>
  <c r="G114" i="11"/>
  <c r="AE114" i="11"/>
  <c r="W114" i="11"/>
  <c r="U114" i="11"/>
  <c r="AJ114" i="11"/>
  <c r="AJ129" i="11" s="1"/>
  <c r="AJ131" i="11" s="1"/>
  <c r="H114" i="11"/>
  <c r="AH114" i="11"/>
  <c r="E108" i="11"/>
  <c r="E109" i="11" s="1"/>
  <c r="AF114" i="11"/>
  <c r="AC114" i="11"/>
  <c r="O114" i="11"/>
  <c r="R114" i="11"/>
  <c r="P114" i="11"/>
  <c r="AD114" i="11"/>
  <c r="Z114" i="11"/>
  <c r="M114" i="11"/>
  <c r="AI114" i="11"/>
  <c r="AI129" i="11" s="1"/>
  <c r="AI131" i="11" s="1"/>
  <c r="S114" i="11"/>
  <c r="V114" i="11"/>
  <c r="N114" i="11"/>
  <c r="L114" i="11"/>
  <c r="T114" i="11"/>
  <c r="F105" i="7"/>
  <c r="F106" i="7"/>
  <c r="F104" i="7"/>
  <c r="D8" i="10"/>
  <c r="H8" i="10" s="1"/>
  <c r="I205" i="11"/>
  <c r="I22" i="11" s="1"/>
  <c r="I23" i="11" s="1"/>
  <c r="H44" i="11"/>
  <c r="P8" i="10" s="1"/>
  <c r="H47" i="11"/>
  <c r="H52" i="11" s="1"/>
  <c r="H56" i="11" s="1"/>
  <c r="H57" i="11" s="1"/>
  <c r="J203" i="11"/>
  <c r="K198" i="11" s="1"/>
  <c r="AD129" i="11" l="1"/>
  <c r="AD131" i="11" s="1"/>
  <c r="L129" i="11"/>
  <c r="L131" i="11" s="1"/>
  <c r="G91" i="7"/>
  <c r="N129" i="11"/>
  <c r="N131" i="11" s="1"/>
  <c r="R129" i="11"/>
  <c r="R131" i="11" s="1"/>
  <c r="I129" i="11"/>
  <c r="I60" i="11" s="1"/>
  <c r="Y129" i="11"/>
  <c r="Y131" i="11" s="1"/>
  <c r="AG129" i="11"/>
  <c r="AG131" i="11" s="1"/>
  <c r="J129" i="11"/>
  <c r="J131" i="11" s="1"/>
  <c r="AB129" i="11"/>
  <c r="AB131" i="11" s="1"/>
  <c r="E117" i="11"/>
  <c r="Z129" i="11"/>
  <c r="Z131" i="11" s="1"/>
  <c r="O129" i="11"/>
  <c r="O131" i="11" s="1"/>
  <c r="AH129" i="11"/>
  <c r="AH131" i="11" s="1"/>
  <c r="W129" i="11"/>
  <c r="W131" i="11" s="1"/>
  <c r="Q129" i="11"/>
  <c r="Q131" i="11" s="1"/>
  <c r="AA129" i="11"/>
  <c r="AA131" i="11" s="1"/>
  <c r="M129" i="11"/>
  <c r="M131" i="11" s="1"/>
  <c r="H129" i="11"/>
  <c r="H141" i="11" s="1"/>
  <c r="H138" i="11" s="1"/>
  <c r="U129" i="11"/>
  <c r="U131" i="11" s="1"/>
  <c r="AE129" i="11"/>
  <c r="AE131" i="11" s="1"/>
  <c r="K129" i="11"/>
  <c r="K131" i="11" s="1"/>
  <c r="P129" i="11"/>
  <c r="P131" i="11" s="1"/>
  <c r="X129" i="11"/>
  <c r="X131" i="11" s="1"/>
  <c r="E114" i="11"/>
  <c r="V129" i="11"/>
  <c r="V131" i="11" s="1"/>
  <c r="AF129" i="11"/>
  <c r="AF131" i="11" s="1"/>
  <c r="G129" i="11"/>
  <c r="G141" i="11" s="1"/>
  <c r="G138" i="11" s="1"/>
  <c r="E115" i="11"/>
  <c r="S129" i="11"/>
  <c r="S131" i="11" s="1"/>
  <c r="T129" i="11"/>
  <c r="T131" i="11" s="1"/>
  <c r="E116" i="11"/>
  <c r="AC129" i="11"/>
  <c r="AC131" i="11" s="1"/>
  <c r="I42" i="11"/>
  <c r="D9" i="10"/>
  <c r="J205" i="11"/>
  <c r="J22" i="11" s="1"/>
  <c r="J23" i="11" s="1"/>
  <c r="K203" i="11"/>
  <c r="L198" i="11" s="1"/>
  <c r="G58" i="11"/>
  <c r="H58" i="11"/>
  <c r="I131" i="11" l="1"/>
  <c r="G131" i="11"/>
  <c r="H60" i="11"/>
  <c r="H61" i="11" s="1"/>
  <c r="H63" i="11" s="1"/>
  <c r="H131" i="11"/>
  <c r="E119" i="11"/>
  <c r="F119" i="11" s="1"/>
  <c r="G60" i="11"/>
  <c r="G61" i="11" s="1"/>
  <c r="G63" i="11" s="1"/>
  <c r="D10" i="10"/>
  <c r="H10" i="10" s="1"/>
  <c r="J42" i="11"/>
  <c r="H9" i="10"/>
  <c r="K205" i="11"/>
  <c r="K22" i="11" s="1"/>
  <c r="K23" i="11" s="1"/>
  <c r="L203" i="11"/>
  <c r="M198" i="11" s="1"/>
  <c r="I44" i="11"/>
  <c r="P9" i="10" s="1"/>
  <c r="I47" i="11"/>
  <c r="I61" i="11" s="1"/>
  <c r="H149" i="11" l="1"/>
  <c r="H153" i="11" s="1"/>
  <c r="H64" i="11"/>
  <c r="H67" i="11" s="1"/>
  <c r="L8" i="10" s="1"/>
  <c r="G64" i="11"/>
  <c r="G67" i="11" s="1"/>
  <c r="L7" i="10" s="1"/>
  <c r="G149" i="11"/>
  <c r="G161" i="11" s="1"/>
  <c r="I8" i="10"/>
  <c r="I7" i="10"/>
  <c r="K42" i="11"/>
  <c r="D11" i="10"/>
  <c r="L205" i="11"/>
  <c r="L22" i="11" s="1"/>
  <c r="L23" i="11" s="1"/>
  <c r="I63" i="11"/>
  <c r="I64" i="11"/>
  <c r="I149" i="11"/>
  <c r="H161" i="11"/>
  <c r="I141" i="11"/>
  <c r="I138" i="11" s="1"/>
  <c r="I52" i="11"/>
  <c r="I56" i="11" s="1"/>
  <c r="I57" i="11" s="1"/>
  <c r="M203" i="11"/>
  <c r="N198" i="11" s="1"/>
  <c r="J47" i="11"/>
  <c r="J44" i="11"/>
  <c r="P10" i="10" s="1"/>
  <c r="J7" i="10" l="1"/>
  <c r="J8" i="10"/>
  <c r="G154" i="11"/>
  <c r="G153" i="11"/>
  <c r="G162" i="11"/>
  <c r="G165" i="11" s="1"/>
  <c r="H66" i="11"/>
  <c r="K8" i="10" s="1"/>
  <c r="J52" i="11"/>
  <c r="J56" i="11" s="1"/>
  <c r="J57" i="11" s="1"/>
  <c r="J58" i="11" s="1"/>
  <c r="J141" i="11"/>
  <c r="J138" i="11" s="1"/>
  <c r="J139" i="11" s="1"/>
  <c r="J60" i="11" s="1"/>
  <c r="J61" i="11" s="1"/>
  <c r="I58" i="11"/>
  <c r="I161" i="11"/>
  <c r="I153" i="11"/>
  <c r="I9" i="10"/>
  <c r="D12" i="10"/>
  <c r="H12" i="10" s="1"/>
  <c r="L42" i="11"/>
  <c r="K44" i="11"/>
  <c r="P11" i="10" s="1"/>
  <c r="K47" i="11"/>
  <c r="M205" i="11"/>
  <c r="M22" i="11" s="1"/>
  <c r="M23" i="11" s="1"/>
  <c r="N203" i="11"/>
  <c r="O198" i="11" s="1"/>
  <c r="I67" i="11"/>
  <c r="L9" i="10" s="1"/>
  <c r="J9" i="10"/>
  <c r="H11" i="10"/>
  <c r="G66" i="11"/>
  <c r="G163" i="11" l="1"/>
  <c r="H160" i="11" s="1"/>
  <c r="G155" i="11"/>
  <c r="H70" i="11"/>
  <c r="G157" i="11"/>
  <c r="K7" i="10"/>
  <c r="G70" i="11"/>
  <c r="K52" i="11"/>
  <c r="K56" i="11" s="1"/>
  <c r="K57" i="11" s="1"/>
  <c r="K141" i="11"/>
  <c r="K138" i="11" s="1"/>
  <c r="K139" i="11" s="1"/>
  <c r="K60" i="11" s="1"/>
  <c r="K61" i="11" s="1"/>
  <c r="L44" i="11"/>
  <c r="P12" i="10" s="1"/>
  <c r="L47" i="11"/>
  <c r="N205" i="11"/>
  <c r="N22" i="11" s="1"/>
  <c r="N23" i="11" s="1"/>
  <c r="I66" i="11"/>
  <c r="R8" i="10"/>
  <c r="M8" i="10"/>
  <c r="O203" i="11"/>
  <c r="P198" i="11" s="1"/>
  <c r="M42" i="11"/>
  <c r="D13" i="10"/>
  <c r="H13" i="10" s="1"/>
  <c r="J149" i="11"/>
  <c r="J64" i="11"/>
  <c r="J63" i="11"/>
  <c r="H152" i="11" l="1"/>
  <c r="H162" i="11"/>
  <c r="H165" i="11" s="1"/>
  <c r="H154" i="11"/>
  <c r="H157" i="11" s="1"/>
  <c r="J67" i="11"/>
  <c r="L10" i="10" s="1"/>
  <c r="J10" i="10"/>
  <c r="K9" i="10"/>
  <c r="I70" i="11"/>
  <c r="N42" i="11"/>
  <c r="D14" i="10"/>
  <c r="K58" i="11"/>
  <c r="R7" i="10"/>
  <c r="M7" i="10"/>
  <c r="N7" i="10" s="1"/>
  <c r="N8" i="10" s="1"/>
  <c r="O205" i="11"/>
  <c r="O22" i="11" s="1"/>
  <c r="O23" i="11" s="1"/>
  <c r="I10" i="10"/>
  <c r="J161" i="11"/>
  <c r="J153" i="11"/>
  <c r="M47" i="11"/>
  <c r="M44" i="11"/>
  <c r="P13" i="10" s="1"/>
  <c r="P203" i="11"/>
  <c r="Q198" i="11" s="1"/>
  <c r="L141" i="11"/>
  <c r="L138" i="11" s="1"/>
  <c r="L139" i="11" s="1"/>
  <c r="L60" i="11" s="1"/>
  <c r="L61" i="11" s="1"/>
  <c r="L52" i="11"/>
  <c r="L56" i="11" s="1"/>
  <c r="L57" i="11" s="1"/>
  <c r="K64" i="11"/>
  <c r="K63" i="11"/>
  <c r="K149" i="11"/>
  <c r="G71" i="11"/>
  <c r="O7" i="10" s="1"/>
  <c r="H71" i="11"/>
  <c r="O8" i="10" s="1"/>
  <c r="I71" i="11"/>
  <c r="O9" i="10" s="1"/>
  <c r="H163" i="11" l="1"/>
  <c r="I160" i="11" s="1"/>
  <c r="H155" i="11"/>
  <c r="J66" i="11"/>
  <c r="K10" i="10" s="1"/>
  <c r="P205" i="11"/>
  <c r="P22" i="11" s="1"/>
  <c r="P23" i="11" s="1"/>
  <c r="D16" i="10" s="1"/>
  <c r="H16" i="10" s="1"/>
  <c r="I11" i="10"/>
  <c r="D15" i="10"/>
  <c r="O42" i="11"/>
  <c r="H14" i="10"/>
  <c r="K161" i="11"/>
  <c r="K153" i="11"/>
  <c r="J11" i="10"/>
  <c r="K67" i="11"/>
  <c r="L11" i="10" s="1"/>
  <c r="L64" i="11"/>
  <c r="L63" i="11"/>
  <c r="L149" i="11"/>
  <c r="Q203" i="11"/>
  <c r="R198" i="11" s="1"/>
  <c r="M52" i="11"/>
  <c r="M56" i="11" s="1"/>
  <c r="M57" i="11" s="1"/>
  <c r="M58" i="11" s="1"/>
  <c r="M141" i="11"/>
  <c r="M138" i="11" s="1"/>
  <c r="M139" i="11" s="1"/>
  <c r="M60" i="11" s="1"/>
  <c r="M61" i="11" s="1"/>
  <c r="N47" i="11"/>
  <c r="N44" i="11"/>
  <c r="P14" i="10" s="1"/>
  <c r="R9" i="10"/>
  <c r="M9" i="10"/>
  <c r="N9" i="10" s="1"/>
  <c r="L58" i="11"/>
  <c r="I152" i="11" l="1"/>
  <c r="I154" i="11"/>
  <c r="I157" i="11" s="1"/>
  <c r="I162" i="11"/>
  <c r="J70" i="11"/>
  <c r="J71" i="11" s="1"/>
  <c r="O10" i="10" s="1"/>
  <c r="P42" i="11"/>
  <c r="P47" i="11" s="1"/>
  <c r="M63" i="11"/>
  <c r="M149" i="11"/>
  <c r="M64" i="11"/>
  <c r="L161" i="11"/>
  <c r="L153" i="11"/>
  <c r="J12" i="10"/>
  <c r="L67" i="11"/>
  <c r="L12" i="10" s="1"/>
  <c r="H15" i="10"/>
  <c r="R10" i="10"/>
  <c r="M10" i="10"/>
  <c r="N10" i="10" s="1"/>
  <c r="Q205" i="11"/>
  <c r="Q22" i="11" s="1"/>
  <c r="Q23" i="11" s="1"/>
  <c r="N52" i="11"/>
  <c r="N56" i="11" s="1"/>
  <c r="N57" i="11" s="1"/>
  <c r="N141" i="11"/>
  <c r="N138" i="11" s="1"/>
  <c r="N139" i="11" s="1"/>
  <c r="N60" i="11" s="1"/>
  <c r="N61" i="11" s="1"/>
  <c r="R203" i="11"/>
  <c r="S198" i="11" s="1"/>
  <c r="I12" i="10"/>
  <c r="O44" i="11"/>
  <c r="P15" i="10" s="1"/>
  <c r="O47" i="11"/>
  <c r="K66" i="11"/>
  <c r="P44" i="11" l="1"/>
  <c r="P16" i="10" s="1"/>
  <c r="I155" i="11"/>
  <c r="I163" i="11"/>
  <c r="J160" i="11" s="1"/>
  <c r="I165" i="11"/>
  <c r="L66" i="11"/>
  <c r="K12" i="10" s="1"/>
  <c r="R205" i="11"/>
  <c r="R22" i="11" s="1"/>
  <c r="R23" i="11" s="1"/>
  <c r="D18" i="10" s="1"/>
  <c r="H18" i="10" s="1"/>
  <c r="K70" i="11"/>
  <c r="K11" i="10"/>
  <c r="O52" i="11"/>
  <c r="O56" i="11" s="1"/>
  <c r="O57" i="11" s="1"/>
  <c r="O58" i="11" s="1"/>
  <c r="O141" i="11"/>
  <c r="O138" i="11" s="1"/>
  <c r="O139" i="11" s="1"/>
  <c r="O60" i="11" s="1"/>
  <c r="O61" i="11" s="1"/>
  <c r="N63" i="11"/>
  <c r="N64" i="11"/>
  <c r="N149" i="11"/>
  <c r="D17" i="10"/>
  <c r="Q42" i="11"/>
  <c r="M161" i="11"/>
  <c r="M153" i="11"/>
  <c r="S203" i="11"/>
  <c r="T198" i="11" s="1"/>
  <c r="N58" i="11"/>
  <c r="P141" i="11"/>
  <c r="P138" i="11" s="1"/>
  <c r="P139" i="11" s="1"/>
  <c r="P60" i="11" s="1"/>
  <c r="P61" i="11" s="1"/>
  <c r="P52" i="11"/>
  <c r="P56" i="11" s="1"/>
  <c r="P57" i="11" s="1"/>
  <c r="J13" i="10"/>
  <c r="M67" i="11"/>
  <c r="L13" i="10" s="1"/>
  <c r="I13" i="10"/>
  <c r="J152" i="11" l="1"/>
  <c r="J162" i="11"/>
  <c r="J165" i="11" s="1"/>
  <c r="J154" i="11"/>
  <c r="J157" i="11" s="1"/>
  <c r="L70" i="11"/>
  <c r="L71" i="11" s="1"/>
  <c r="O12" i="10" s="1"/>
  <c r="R42" i="11"/>
  <c r="R44" i="11" s="1"/>
  <c r="P18" i="10" s="1"/>
  <c r="M66" i="11"/>
  <c r="K13" i="10" s="1"/>
  <c r="P58" i="11"/>
  <c r="H17" i="10"/>
  <c r="N67" i="11"/>
  <c r="L14" i="10" s="1"/>
  <c r="J14" i="10"/>
  <c r="O149" i="11"/>
  <c r="O63" i="11"/>
  <c r="O64" i="11"/>
  <c r="M11" i="10"/>
  <c r="N11" i="10" s="1"/>
  <c r="R11" i="10"/>
  <c r="S205" i="11"/>
  <c r="S22" i="11" s="1"/>
  <c r="S23" i="11" s="1"/>
  <c r="P149" i="11"/>
  <c r="P63" i="11"/>
  <c r="P64" i="11"/>
  <c r="T203" i="11"/>
  <c r="U198" i="11" s="1"/>
  <c r="Q47" i="11"/>
  <c r="Q44" i="11"/>
  <c r="N153" i="11"/>
  <c r="N161" i="11"/>
  <c r="I14" i="10"/>
  <c r="M12" i="10"/>
  <c r="R12" i="10"/>
  <c r="K71" i="11"/>
  <c r="O11" i="10" s="1"/>
  <c r="J163" i="11" l="1"/>
  <c r="K160" i="11" s="1"/>
  <c r="R47" i="11"/>
  <c r="R52" i="11" s="1"/>
  <c r="R56" i="11" s="1"/>
  <c r="R57" i="11" s="1"/>
  <c r="J155" i="11"/>
  <c r="N66" i="11"/>
  <c r="N70" i="11" s="1"/>
  <c r="N12" i="10"/>
  <c r="M70" i="11"/>
  <c r="M71" i="11" s="1"/>
  <c r="O13" i="10" s="1"/>
  <c r="Q141" i="11"/>
  <c r="Q138" i="11" s="1"/>
  <c r="Q139" i="11" s="1"/>
  <c r="Q60" i="11" s="1"/>
  <c r="Q61" i="11" s="1"/>
  <c r="Q52" i="11"/>
  <c r="Q56" i="11" s="1"/>
  <c r="Q57" i="11" s="1"/>
  <c r="U203" i="11"/>
  <c r="V198" i="11" s="1"/>
  <c r="I16" i="10"/>
  <c r="J15" i="10"/>
  <c r="O67" i="11"/>
  <c r="L15" i="10" s="1"/>
  <c r="O153" i="11"/>
  <c r="O161" i="11"/>
  <c r="R13" i="10"/>
  <c r="M13" i="10"/>
  <c r="P17" i="10"/>
  <c r="P67" i="11"/>
  <c r="L16" i="10" s="1"/>
  <c r="J16" i="10"/>
  <c r="P161" i="11"/>
  <c r="P153" i="11"/>
  <c r="S42" i="11"/>
  <c r="D19" i="10"/>
  <c r="H19" i="10" s="1"/>
  <c r="I15" i="10"/>
  <c r="T205" i="11"/>
  <c r="T22" i="11" s="1"/>
  <c r="T23" i="11" s="1"/>
  <c r="R141" i="11" l="1"/>
  <c r="R138" i="11" s="1"/>
  <c r="R139" i="11" s="1"/>
  <c r="R60" i="11" s="1"/>
  <c r="R61" i="11" s="1"/>
  <c r="R63" i="11" s="1"/>
  <c r="K14" i="10"/>
  <c r="R14" i="10" s="1"/>
  <c r="K154" i="11"/>
  <c r="K157" i="11" s="1"/>
  <c r="K152" i="11"/>
  <c r="K162" i="11"/>
  <c r="N13" i="10"/>
  <c r="O66" i="11"/>
  <c r="O70" i="11" s="1"/>
  <c r="O71" i="11" s="1"/>
  <c r="O15" i="10" s="1"/>
  <c r="U205" i="11"/>
  <c r="U22" i="11" s="1"/>
  <c r="U23" i="11" s="1"/>
  <c r="U42" i="11" s="1"/>
  <c r="V203" i="11"/>
  <c r="W198" i="11" s="1"/>
  <c r="Q64" i="11"/>
  <c r="Q63" i="11"/>
  <c r="Q149" i="11"/>
  <c r="R58" i="11"/>
  <c r="D20" i="10"/>
  <c r="T42" i="11"/>
  <c r="S47" i="11"/>
  <c r="S44" i="11"/>
  <c r="Q58" i="11"/>
  <c r="N71" i="11"/>
  <c r="O14" i="10" s="1"/>
  <c r="P66" i="11"/>
  <c r="R64" i="11" l="1"/>
  <c r="J18" i="10" s="1"/>
  <c r="R149" i="11"/>
  <c r="R161" i="11" s="1"/>
  <c r="M14" i="10"/>
  <c r="N14" i="10" s="1"/>
  <c r="K155" i="11"/>
  <c r="K165" i="11"/>
  <c r="K163" i="11"/>
  <c r="L160" i="11" s="1"/>
  <c r="K15" i="10"/>
  <c r="M15" i="10" s="1"/>
  <c r="D21" i="10"/>
  <c r="H21" i="10" s="1"/>
  <c r="K16" i="10"/>
  <c r="P70" i="11"/>
  <c r="I18" i="10"/>
  <c r="P19" i="10"/>
  <c r="T47" i="11"/>
  <c r="T44" i="11"/>
  <c r="I17" i="10"/>
  <c r="V205" i="11"/>
  <c r="V22" i="11" s="1"/>
  <c r="V23" i="11" s="1"/>
  <c r="U44" i="11"/>
  <c r="U47" i="11"/>
  <c r="S141" i="11"/>
  <c r="S138" i="11" s="1"/>
  <c r="S139" i="11" s="1"/>
  <c r="S60" i="11" s="1"/>
  <c r="S61" i="11" s="1"/>
  <c r="S52" i="11"/>
  <c r="S56" i="11" s="1"/>
  <c r="S57" i="11" s="1"/>
  <c r="H20" i="10"/>
  <c r="Q161" i="11"/>
  <c r="Q153" i="11"/>
  <c r="J17" i="10"/>
  <c r="Q67" i="11"/>
  <c r="L17" i="10" s="1"/>
  <c r="W203" i="11"/>
  <c r="X198" i="11" s="1"/>
  <c r="R67" i="11" l="1"/>
  <c r="L18" i="10" s="1"/>
  <c r="R153" i="11"/>
  <c r="R15" i="10"/>
  <c r="N15" i="10"/>
  <c r="L162" i="11"/>
  <c r="L165" i="11" s="1"/>
  <c r="L154" i="11"/>
  <c r="L157" i="11" s="1"/>
  <c r="L152" i="11"/>
  <c r="S58" i="11"/>
  <c r="U52" i="11"/>
  <c r="U56" i="11" s="1"/>
  <c r="U57" i="11" s="1"/>
  <c r="U141" i="11"/>
  <c r="U138" i="11" s="1"/>
  <c r="U139" i="11" s="1"/>
  <c r="U60" i="11" s="1"/>
  <c r="U61" i="11" s="1"/>
  <c r="P20" i="10"/>
  <c r="R16" i="10"/>
  <c r="M16" i="10"/>
  <c r="W205" i="11"/>
  <c r="W22" i="11" s="1"/>
  <c r="W23" i="11" s="1"/>
  <c r="Q66" i="11"/>
  <c r="X203" i="11"/>
  <c r="Y198" i="11" s="1"/>
  <c r="S149" i="11"/>
  <c r="S63" i="11"/>
  <c r="S64" i="11"/>
  <c r="P21" i="10"/>
  <c r="V42" i="11"/>
  <c r="D22" i="10"/>
  <c r="H22" i="10" s="1"/>
  <c r="T141" i="11"/>
  <c r="T138" i="11" s="1"/>
  <c r="T139" i="11" s="1"/>
  <c r="T60" i="11" s="1"/>
  <c r="T61" i="11" s="1"/>
  <c r="T52" i="11"/>
  <c r="T56" i="11" s="1"/>
  <c r="T57" i="11" s="1"/>
  <c r="P71" i="11"/>
  <c r="O16" i="10" s="1"/>
  <c r="R66" i="11" l="1"/>
  <c r="K18" i="10" s="1"/>
  <c r="R18" i="10" s="1"/>
  <c r="N16" i="10"/>
  <c r="L163" i="11"/>
  <c r="M160" i="11" s="1"/>
  <c r="L155" i="11"/>
  <c r="X205" i="11"/>
  <c r="X22" i="11" s="1"/>
  <c r="X23" i="11" s="1"/>
  <c r="D24" i="10" s="1"/>
  <c r="H24" i="10" s="1"/>
  <c r="T58" i="11"/>
  <c r="S67" i="11"/>
  <c r="L19" i="10" s="1"/>
  <c r="J19" i="10"/>
  <c r="S153" i="11"/>
  <c r="S161" i="11"/>
  <c r="Y203" i="11"/>
  <c r="Z198" i="11" s="1"/>
  <c r="Q70" i="11"/>
  <c r="K17" i="10"/>
  <c r="T63" i="11"/>
  <c r="T149" i="11"/>
  <c r="T64" i="11"/>
  <c r="V47" i="11"/>
  <c r="V44" i="11"/>
  <c r="I19" i="10"/>
  <c r="D23" i="10"/>
  <c r="W42" i="11"/>
  <c r="U149" i="11"/>
  <c r="U64" i="11"/>
  <c r="U63" i="11"/>
  <c r="U58" i="11"/>
  <c r="R70" i="11" l="1"/>
  <c r="R71" i="11" s="1"/>
  <c r="O18" i="10" s="1"/>
  <c r="M18" i="10"/>
  <c r="M154" i="11"/>
  <c r="M157" i="11" s="1"/>
  <c r="M152" i="11"/>
  <c r="M162" i="11"/>
  <c r="S66" i="11"/>
  <c r="S70" i="11" s="1"/>
  <c r="X42" i="11"/>
  <c r="X44" i="11" s="1"/>
  <c r="U67" i="11"/>
  <c r="L21" i="10" s="1"/>
  <c r="J21" i="10"/>
  <c r="W44" i="11"/>
  <c r="W47" i="11"/>
  <c r="P22" i="10"/>
  <c r="T67" i="11"/>
  <c r="L20" i="10" s="1"/>
  <c r="J20" i="10"/>
  <c r="I20" i="10"/>
  <c r="M17" i="10"/>
  <c r="N17" i="10" s="1"/>
  <c r="R17" i="10"/>
  <c r="Y205" i="11"/>
  <c r="Y22" i="11" s="1"/>
  <c r="Y23" i="11" s="1"/>
  <c r="I21" i="10"/>
  <c r="U161" i="11"/>
  <c r="U153" i="11"/>
  <c r="H23" i="10"/>
  <c r="V52" i="11"/>
  <c r="V56" i="11" s="1"/>
  <c r="V57" i="11" s="1"/>
  <c r="V141" i="11"/>
  <c r="V138" i="11" s="1"/>
  <c r="V139" i="11" s="1"/>
  <c r="V60" i="11" s="1"/>
  <c r="V61" i="11" s="1"/>
  <c r="T161" i="11"/>
  <c r="T153" i="11"/>
  <c r="Q71" i="11"/>
  <c r="O17" i="10" s="1"/>
  <c r="Z203" i="11"/>
  <c r="AA198" i="11" s="1"/>
  <c r="S71" i="11" l="1"/>
  <c r="O19" i="10" s="1"/>
  <c r="N18" i="10"/>
  <c r="M155" i="11"/>
  <c r="N162" i="11" s="1"/>
  <c r="N165" i="11" s="1"/>
  <c r="M165" i="11"/>
  <c r="M163" i="11"/>
  <c r="N160" i="11" s="1"/>
  <c r="K19" i="10"/>
  <c r="M19" i="10" s="1"/>
  <c r="N19" i="10" s="1"/>
  <c r="N152" i="11"/>
  <c r="X47" i="11"/>
  <c r="X52" i="11" s="1"/>
  <c r="X56" i="11" s="1"/>
  <c r="X57" i="11" s="1"/>
  <c r="U66" i="11"/>
  <c r="U70" i="11" s="1"/>
  <c r="E44" i="11"/>
  <c r="G87" i="7" s="1"/>
  <c r="G88" i="7" s="1"/>
  <c r="D11" i="9" s="1"/>
  <c r="T66" i="11"/>
  <c r="T70" i="11" s="1"/>
  <c r="Z205" i="11"/>
  <c r="Z22" i="11" s="1"/>
  <c r="Z23" i="11" s="1"/>
  <c r="Z42" i="11" s="1"/>
  <c r="Z47" i="11" s="1"/>
  <c r="AA203" i="11"/>
  <c r="AB198" i="11" s="1"/>
  <c r="V64" i="11"/>
  <c r="V63" i="11"/>
  <c r="V149" i="11"/>
  <c r="Y42" i="11"/>
  <c r="Y47" i="11" s="1"/>
  <c r="D25" i="10"/>
  <c r="F44" i="11"/>
  <c r="X45" i="11" s="1"/>
  <c r="P24" i="10"/>
  <c r="P23" i="10"/>
  <c r="V58" i="11"/>
  <c r="W52" i="11"/>
  <c r="W56" i="11" s="1"/>
  <c r="W57" i="11" s="1"/>
  <c r="W58" i="11" s="1"/>
  <c r="W141" i="11"/>
  <c r="W138" i="11" s="1"/>
  <c r="W139" i="11" s="1"/>
  <c r="W60" i="11" s="1"/>
  <c r="W61" i="11" s="1"/>
  <c r="K21" i="10" l="1"/>
  <c r="M21" i="10" s="1"/>
  <c r="N154" i="11"/>
  <c r="N157" i="11" s="1"/>
  <c r="R19" i="10"/>
  <c r="X141" i="11"/>
  <c r="X138" i="11" s="1"/>
  <c r="X139" i="11" s="1"/>
  <c r="X60" i="11" s="1"/>
  <c r="X61" i="11" s="1"/>
  <c r="X64" i="11" s="1"/>
  <c r="N163" i="11"/>
  <c r="O160" i="11" s="1"/>
  <c r="K20" i="10"/>
  <c r="R20" i="10" s="1"/>
  <c r="D26" i="10"/>
  <c r="H26" i="10" s="1"/>
  <c r="AA205" i="11"/>
  <c r="AA22" i="11" s="1"/>
  <c r="AA23" i="11" s="1"/>
  <c r="D27" i="10" s="1"/>
  <c r="W45" i="11"/>
  <c r="W64" i="11"/>
  <c r="W149" i="11"/>
  <c r="W63" i="11"/>
  <c r="U71" i="11"/>
  <c r="O21" i="10" s="1"/>
  <c r="T71" i="11"/>
  <c r="O20" i="10" s="1"/>
  <c r="H25" i="10"/>
  <c r="V161" i="11"/>
  <c r="V153" i="11"/>
  <c r="V67" i="11"/>
  <c r="L22" i="10" s="1"/>
  <c r="J22" i="10"/>
  <c r="AB203" i="11"/>
  <c r="AC198" i="11" s="1"/>
  <c r="Z52" i="11"/>
  <c r="Z56" i="11" s="1"/>
  <c r="Z57" i="11" s="1"/>
  <c r="Z141" i="11"/>
  <c r="Z138" i="11" s="1"/>
  <c r="Z139" i="11" s="1"/>
  <c r="Z60" i="11" s="1"/>
  <c r="Z61" i="11" s="1"/>
  <c r="X58" i="11"/>
  <c r="L45" i="11"/>
  <c r="AG45" i="11"/>
  <c r="AH45" i="11"/>
  <c r="H45" i="11"/>
  <c r="K45" i="11"/>
  <c r="Y45" i="11"/>
  <c r="N45" i="11"/>
  <c r="AF45" i="11"/>
  <c r="G84" i="7"/>
  <c r="G85" i="7" s="1"/>
  <c r="D10" i="9" s="1"/>
  <c r="P45" i="11"/>
  <c r="AC45" i="11"/>
  <c r="Z45" i="11"/>
  <c r="J45" i="11"/>
  <c r="AJ45" i="11"/>
  <c r="G45" i="11"/>
  <c r="R45" i="11"/>
  <c r="O45" i="11"/>
  <c r="M45" i="11"/>
  <c r="I45" i="11"/>
  <c r="AA45" i="11"/>
  <c r="Q45" i="11"/>
  <c r="AD45" i="11"/>
  <c r="AI45" i="11"/>
  <c r="AE45" i="11"/>
  <c r="AB45" i="11"/>
  <c r="S45" i="11"/>
  <c r="T45" i="11"/>
  <c r="U45" i="11"/>
  <c r="V45" i="11"/>
  <c r="Y141" i="11"/>
  <c r="Y138" i="11" s="1"/>
  <c r="Y139" i="11" s="1"/>
  <c r="Y60" i="11" s="1"/>
  <c r="Y61" i="11" s="1"/>
  <c r="Y52" i="11"/>
  <c r="Y56" i="11" s="1"/>
  <c r="Y57" i="11" s="1"/>
  <c r="I22" i="10"/>
  <c r="R21" i="10" l="1"/>
  <c r="X149" i="11"/>
  <c r="X161" i="11" s="1"/>
  <c r="N155" i="11"/>
  <c r="O152" i="11" s="1"/>
  <c r="X63" i="11"/>
  <c r="I24" i="10" s="1"/>
  <c r="AA42" i="11"/>
  <c r="AA47" i="11" s="1"/>
  <c r="AA141" i="11" s="1"/>
  <c r="AA138" i="11" s="1"/>
  <c r="AA139" i="11" s="1"/>
  <c r="AA60" i="11" s="1"/>
  <c r="AA61" i="11" s="1"/>
  <c r="M20" i="10"/>
  <c r="N20" i="10" s="1"/>
  <c r="N21" i="10" s="1"/>
  <c r="V66" i="11"/>
  <c r="K22" i="10" s="1"/>
  <c r="H27" i="10"/>
  <c r="Y64" i="11"/>
  <c r="Y149" i="11"/>
  <c r="Y63" i="11"/>
  <c r="Z149" i="11"/>
  <c r="Z64" i="11"/>
  <c r="Z63" i="11"/>
  <c r="J24" i="10"/>
  <c r="X67" i="11"/>
  <c r="L24" i="10" s="1"/>
  <c r="I23" i="10"/>
  <c r="J23" i="10"/>
  <c r="W67" i="11"/>
  <c r="L23" i="10" s="1"/>
  <c r="Z58" i="11"/>
  <c r="Y58" i="11"/>
  <c r="AB205" i="11"/>
  <c r="AB22" i="11" s="1"/>
  <c r="AB23" i="11" s="1"/>
  <c r="AC203" i="11"/>
  <c r="AD198" i="11" s="1"/>
  <c r="W161" i="11"/>
  <c r="W153" i="11"/>
  <c r="F84" i="7"/>
  <c r="AA52" i="11" l="1"/>
  <c r="AA56" i="11" s="1"/>
  <c r="AA57" i="11" s="1"/>
  <c r="AA58" i="11" s="1"/>
  <c r="X153" i="11"/>
  <c r="O162" i="11"/>
  <c r="O165" i="11" s="1"/>
  <c r="O154" i="11"/>
  <c r="O157" i="11" s="1"/>
  <c r="V70" i="11"/>
  <c r="V71" i="11" s="1"/>
  <c r="O22" i="10" s="1"/>
  <c r="X66" i="11"/>
  <c r="X70" i="11" s="1"/>
  <c r="AC205" i="11"/>
  <c r="AC22" i="11" s="1"/>
  <c r="AC23" i="11" s="1"/>
  <c r="AC42" i="11" s="1"/>
  <c r="AC47" i="11" s="1"/>
  <c r="AD203" i="11"/>
  <c r="AE198" i="11" s="1"/>
  <c r="R22" i="10"/>
  <c r="M22" i="10"/>
  <c r="N22" i="10" s="1"/>
  <c r="AB42" i="11"/>
  <c r="AB47" i="11" s="1"/>
  <c r="D28" i="10"/>
  <c r="Z67" i="11"/>
  <c r="L26" i="10" s="1"/>
  <c r="J26" i="10"/>
  <c r="I25" i="10"/>
  <c r="Y67" i="11"/>
  <c r="L25" i="10" s="1"/>
  <c r="J25" i="10"/>
  <c r="AA149" i="11"/>
  <c r="AA64" i="11"/>
  <c r="AA63" i="11"/>
  <c r="I26" i="10"/>
  <c r="Z161" i="11"/>
  <c r="Z153" i="11"/>
  <c r="Y153" i="11"/>
  <c r="Y161" i="11"/>
  <c r="W66" i="11"/>
  <c r="O163" i="11" l="1"/>
  <c r="P160" i="11" s="1"/>
  <c r="O155" i="11"/>
  <c r="P152" i="11" s="1"/>
  <c r="K24" i="10"/>
  <c r="M24" i="10" s="1"/>
  <c r="D29" i="10"/>
  <c r="H29" i="10" s="1"/>
  <c r="Z66" i="11"/>
  <c r="Z70" i="11" s="1"/>
  <c r="AD205" i="11"/>
  <c r="AD22" i="11" s="1"/>
  <c r="AD23" i="11" s="1"/>
  <c r="AD42" i="11" s="1"/>
  <c r="AD47" i="11" s="1"/>
  <c r="K23" i="10"/>
  <c r="W70" i="11"/>
  <c r="AC52" i="11"/>
  <c r="AC56" i="11" s="1"/>
  <c r="AC57" i="11" s="1"/>
  <c r="AC141" i="11"/>
  <c r="AC138" i="11" s="1"/>
  <c r="AC139" i="11" s="1"/>
  <c r="AC60" i="11" s="1"/>
  <c r="AC61" i="11" s="1"/>
  <c r="J27" i="10"/>
  <c r="AA67" i="11"/>
  <c r="L27" i="10" s="1"/>
  <c r="AB52" i="11"/>
  <c r="AB56" i="11" s="1"/>
  <c r="AB57" i="11" s="1"/>
  <c r="AB141" i="11"/>
  <c r="AB138" i="11" s="1"/>
  <c r="AB139" i="11" s="1"/>
  <c r="AB60" i="11" s="1"/>
  <c r="AB61" i="11" s="1"/>
  <c r="AE203" i="11"/>
  <c r="AF198" i="11" s="1"/>
  <c r="Y66" i="11"/>
  <c r="I27" i="10"/>
  <c r="AA153" i="11"/>
  <c r="AA161" i="11"/>
  <c r="H28" i="10"/>
  <c r="P154" i="11" l="1"/>
  <c r="P157" i="11" s="1"/>
  <c r="P162" i="11"/>
  <c r="P165" i="11" s="1"/>
  <c r="R24" i="10"/>
  <c r="K26" i="10"/>
  <c r="M26" i="10" s="1"/>
  <c r="D30" i="10"/>
  <c r="H30" i="10" s="1"/>
  <c r="AE205" i="11"/>
  <c r="AE22" i="11" s="1"/>
  <c r="AE23" i="11" s="1"/>
  <c r="D31" i="10" s="1"/>
  <c r="H31" i="10" s="1"/>
  <c r="AB64" i="11"/>
  <c r="AB63" i="11"/>
  <c r="AB149" i="11"/>
  <c r="AC63" i="11"/>
  <c r="AC149" i="11"/>
  <c r="AC64" i="11"/>
  <c r="W71" i="11"/>
  <c r="O23" i="10" s="1"/>
  <c r="X71" i="11"/>
  <c r="O24" i="10" s="1"/>
  <c r="AD141" i="11"/>
  <c r="AD138" i="11" s="1"/>
  <c r="AD139" i="11" s="1"/>
  <c r="AD60" i="11" s="1"/>
  <c r="AD61" i="11" s="1"/>
  <c r="AD52" i="11"/>
  <c r="AD56" i="11" s="1"/>
  <c r="AD57" i="11" s="1"/>
  <c r="AD58" i="11" s="1"/>
  <c r="K25" i="10"/>
  <c r="Y70" i="11"/>
  <c r="Y71" i="11" s="1"/>
  <c r="O25" i="10" s="1"/>
  <c r="AF203" i="11"/>
  <c r="AG198" i="11" s="1"/>
  <c r="AB58" i="11"/>
  <c r="AC58" i="11"/>
  <c r="R23" i="10"/>
  <c r="M23" i="10"/>
  <c r="N23" i="10" s="1"/>
  <c r="N24" i="10" s="1"/>
  <c r="AA66" i="11"/>
  <c r="P155" i="11" l="1"/>
  <c r="Q152" i="11" s="1"/>
  <c r="P163" i="11"/>
  <c r="Q160" i="11" s="1"/>
  <c r="R26" i="10"/>
  <c r="AE42" i="11"/>
  <c r="AE47" i="11" s="1"/>
  <c r="AE52" i="11" s="1"/>
  <c r="AE56" i="11" s="1"/>
  <c r="AE57" i="11" s="1"/>
  <c r="AG203" i="11"/>
  <c r="AH198" i="11" s="1"/>
  <c r="R25" i="10"/>
  <c r="M25" i="10"/>
  <c r="N25" i="10" s="1"/>
  <c r="N26" i="10" s="1"/>
  <c r="AD149" i="11"/>
  <c r="AD63" i="11"/>
  <c r="AD64" i="11"/>
  <c r="AC161" i="11"/>
  <c r="AC153" i="11"/>
  <c r="AB161" i="11"/>
  <c r="AB153" i="11"/>
  <c r="J28" i="10"/>
  <c r="AB67" i="11"/>
  <c r="L28" i="10" s="1"/>
  <c r="J29" i="10"/>
  <c r="AC67" i="11"/>
  <c r="L29" i="10" s="1"/>
  <c r="I29" i="10"/>
  <c r="I28" i="10"/>
  <c r="AF205" i="11"/>
  <c r="AF22" i="11" s="1"/>
  <c r="AF23" i="11" s="1"/>
  <c r="Z71" i="11"/>
  <c r="O26" i="10" s="1"/>
  <c r="K27" i="10"/>
  <c r="AA70" i="11"/>
  <c r="Q154" i="11" l="1"/>
  <c r="Q157" i="11" s="1"/>
  <c r="Q162" i="11"/>
  <c r="Q165" i="11" s="1"/>
  <c r="AE141" i="11"/>
  <c r="AE138" i="11" s="1"/>
  <c r="AE139" i="11" s="1"/>
  <c r="AE60" i="11" s="1"/>
  <c r="AE61" i="11" s="1"/>
  <c r="AE63" i="11" s="1"/>
  <c r="AB66" i="11"/>
  <c r="AB70" i="11" s="1"/>
  <c r="AB71" i="11" s="1"/>
  <c r="O28" i="10" s="1"/>
  <c r="AC66" i="11"/>
  <c r="K29" i="10" s="1"/>
  <c r="AG205" i="11"/>
  <c r="AG22" i="11" s="1"/>
  <c r="AG23" i="11" s="1"/>
  <c r="AG42" i="11" s="1"/>
  <c r="AG47" i="11" s="1"/>
  <c r="R27" i="10"/>
  <c r="M27" i="10"/>
  <c r="N27" i="10" s="1"/>
  <c r="AE58" i="11"/>
  <c r="AD67" i="11"/>
  <c r="L30" i="10" s="1"/>
  <c r="J30" i="10"/>
  <c r="AD161" i="11"/>
  <c r="AD153" i="11"/>
  <c r="AH203" i="11"/>
  <c r="AI198" i="11" s="1"/>
  <c r="AA71" i="11"/>
  <c r="O27" i="10" s="1"/>
  <c r="D32" i="10"/>
  <c r="AF42" i="11"/>
  <c r="AF47" i="11" s="1"/>
  <c r="I30" i="10"/>
  <c r="Q155" i="11" l="1"/>
  <c r="R154" i="11" s="1"/>
  <c r="R157" i="11" s="1"/>
  <c r="K28" i="10"/>
  <c r="R28" i="10" s="1"/>
  <c r="Q163" i="11"/>
  <c r="R160" i="11" s="1"/>
  <c r="AE64" i="11"/>
  <c r="J31" i="10" s="1"/>
  <c r="AE149" i="11"/>
  <c r="D33" i="10"/>
  <c r="H33" i="10" s="1"/>
  <c r="AD66" i="11"/>
  <c r="K30" i="10" s="1"/>
  <c r="AC70" i="11"/>
  <c r="AC71" i="11" s="1"/>
  <c r="O29" i="10" s="1"/>
  <c r="AH205" i="11"/>
  <c r="AH22" i="11" s="1"/>
  <c r="AH23" i="11" s="1"/>
  <c r="AH42" i="11" s="1"/>
  <c r="AH47" i="11" s="1"/>
  <c r="H32" i="10"/>
  <c r="I31" i="10"/>
  <c r="AG52" i="11"/>
  <c r="AG56" i="11" s="1"/>
  <c r="AG57" i="11" s="1"/>
  <c r="AG141" i="11"/>
  <c r="AG138" i="11" s="1"/>
  <c r="AG139" i="11" s="1"/>
  <c r="AG60" i="11" s="1"/>
  <c r="AG61" i="11" s="1"/>
  <c r="AF52" i="11"/>
  <c r="AF56" i="11" s="1"/>
  <c r="AF57" i="11" s="1"/>
  <c r="AF141" i="11"/>
  <c r="AF138" i="11" s="1"/>
  <c r="AF139" i="11" s="1"/>
  <c r="AF60" i="11" s="1"/>
  <c r="AF61" i="11" s="1"/>
  <c r="AI203" i="11"/>
  <c r="AJ198" i="11" s="1"/>
  <c r="AJ203" i="11" s="1"/>
  <c r="AJ205" i="11" s="1"/>
  <c r="AJ22" i="11" s="1"/>
  <c r="AJ23" i="11" s="1"/>
  <c r="R29" i="10"/>
  <c r="M29" i="10"/>
  <c r="M28" i="10" l="1"/>
  <c r="N28" i="10" s="1"/>
  <c r="N29" i="10" s="1"/>
  <c r="R162" i="11"/>
  <c r="R163" i="11" s="1"/>
  <c r="S160" i="11" s="1"/>
  <c r="R152" i="11"/>
  <c r="R155" i="11" s="1"/>
  <c r="S154" i="11" s="1"/>
  <c r="S157" i="11" s="1"/>
  <c r="AE67" i="11"/>
  <c r="L31" i="10" s="1"/>
  <c r="AE161" i="11"/>
  <c r="AE153" i="11"/>
  <c r="AD70" i="11"/>
  <c r="AD71" i="11" s="1"/>
  <c r="O30" i="10" s="1"/>
  <c r="D34" i="10"/>
  <c r="H34" i="10" s="1"/>
  <c r="AJ42" i="11"/>
  <c r="AJ47" i="11" s="1"/>
  <c r="D36" i="10"/>
  <c r="AF58" i="11"/>
  <c r="AG58" i="11"/>
  <c r="AH52" i="11"/>
  <c r="AH56" i="11" s="1"/>
  <c r="AH57" i="11" s="1"/>
  <c r="AH141" i="11"/>
  <c r="AH138" i="11" s="1"/>
  <c r="AH139" i="11" s="1"/>
  <c r="AH60" i="11" s="1"/>
  <c r="AH61" i="11" s="1"/>
  <c r="AF63" i="11"/>
  <c r="AF64" i="11"/>
  <c r="AF149" i="11"/>
  <c r="AG149" i="11"/>
  <c r="AG63" i="11"/>
  <c r="AG64" i="11"/>
  <c r="R30" i="10"/>
  <c r="M30" i="10"/>
  <c r="AI205" i="11"/>
  <c r="AI22" i="11" s="1"/>
  <c r="AI23" i="11" s="1"/>
  <c r="R165" i="11" l="1"/>
  <c r="N30" i="10"/>
  <c r="S162" i="11"/>
  <c r="S165" i="11" s="1"/>
  <c r="S152" i="11"/>
  <c r="S155" i="11" s="1"/>
  <c r="T154" i="11" s="1"/>
  <c r="T157" i="11" s="1"/>
  <c r="AE66" i="11"/>
  <c r="K31" i="10" s="1"/>
  <c r="I33" i="10"/>
  <c r="AF161" i="11"/>
  <c r="AF153" i="11"/>
  <c r="AH64" i="11"/>
  <c r="AH149" i="11"/>
  <c r="AH63" i="11"/>
  <c r="H36" i="10"/>
  <c r="D35" i="10"/>
  <c r="AI42" i="11"/>
  <c r="AI47" i="11" s="1"/>
  <c r="AG67" i="11"/>
  <c r="L33" i="10" s="1"/>
  <c r="J33" i="10"/>
  <c r="AG161" i="11"/>
  <c r="AG154" i="11"/>
  <c r="AG153" i="11"/>
  <c r="AG162" i="11"/>
  <c r="J32" i="10"/>
  <c r="AF67" i="11"/>
  <c r="L32" i="10" s="1"/>
  <c r="AJ141" i="11"/>
  <c r="AJ138" i="11" s="1"/>
  <c r="AJ139" i="11" s="1"/>
  <c r="AJ60" i="11" s="1"/>
  <c r="AJ61" i="11" s="1"/>
  <c r="AJ52" i="11"/>
  <c r="AJ56" i="11" s="1"/>
  <c r="AJ57" i="11" s="1"/>
  <c r="AH58" i="11"/>
  <c r="I32" i="10"/>
  <c r="S163" i="11" l="1"/>
  <c r="T160" i="11" s="1"/>
  <c r="T152" i="11"/>
  <c r="T155" i="11" s="1"/>
  <c r="U154" i="11" s="1"/>
  <c r="U157" i="11" s="1"/>
  <c r="T162" i="11"/>
  <c r="T165" i="11" s="1"/>
  <c r="AE70" i="11"/>
  <c r="AE71" i="11" s="1"/>
  <c r="O31" i="10" s="1"/>
  <c r="AG157" i="11"/>
  <c r="AG165" i="11"/>
  <c r="AF66" i="11"/>
  <c r="K32" i="10" s="1"/>
  <c r="AJ64" i="11"/>
  <c r="AJ63" i="11"/>
  <c r="AJ149" i="11"/>
  <c r="R31" i="10"/>
  <c r="M31" i="10"/>
  <c r="N31" i="10" s="1"/>
  <c r="AI52" i="11"/>
  <c r="AI56" i="11" s="1"/>
  <c r="AI57" i="11" s="1"/>
  <c r="AI141" i="11"/>
  <c r="AI138" i="11" s="1"/>
  <c r="AI139" i="11" s="1"/>
  <c r="AI60" i="11" s="1"/>
  <c r="AI61" i="11" s="1"/>
  <c r="I34" i="10"/>
  <c r="J34" i="10"/>
  <c r="AH67" i="11"/>
  <c r="L34" i="10" s="1"/>
  <c r="H35" i="10"/>
  <c r="AH161" i="11"/>
  <c r="AH153" i="11"/>
  <c r="AH154" i="11"/>
  <c r="AH162" i="11"/>
  <c r="AG66" i="11"/>
  <c r="T163" i="11" l="1"/>
  <c r="U160" i="11" s="1"/>
  <c r="U152" i="11"/>
  <c r="U155" i="11" s="1"/>
  <c r="U162" i="11"/>
  <c r="U165" i="11" s="1"/>
  <c r="AF70" i="11"/>
  <c r="AF71" i="11" s="1"/>
  <c r="O32" i="10" s="1"/>
  <c r="AH165" i="11"/>
  <c r="AH157" i="11"/>
  <c r="K33" i="10"/>
  <c r="AG70" i="11"/>
  <c r="I36" i="10"/>
  <c r="AI149" i="11"/>
  <c r="AI63" i="11"/>
  <c r="AI64" i="11"/>
  <c r="AJ161" i="11"/>
  <c r="AJ162" i="11"/>
  <c r="AJ154" i="11"/>
  <c r="AJ153" i="11"/>
  <c r="J36" i="10"/>
  <c r="AJ67" i="11"/>
  <c r="L36" i="10" s="1"/>
  <c r="AH66" i="11"/>
  <c r="AJ58" i="11"/>
  <c r="D73" i="11"/>
  <c r="AI58" i="11"/>
  <c r="R32" i="10"/>
  <c r="M32" i="10"/>
  <c r="N32" i="10" s="1"/>
  <c r="U163" i="11" l="1"/>
  <c r="V160" i="11" s="1"/>
  <c r="V152" i="11"/>
  <c r="V162" i="11"/>
  <c r="V165" i="11" s="1"/>
  <c r="V154" i="11"/>
  <c r="V157" i="11" s="1"/>
  <c r="AJ165" i="11"/>
  <c r="AJ157" i="11"/>
  <c r="AJ66" i="11"/>
  <c r="K36" i="10" s="1"/>
  <c r="K34" i="10"/>
  <c r="AH70" i="11"/>
  <c r="AH71" i="11" s="1"/>
  <c r="O34" i="10" s="1"/>
  <c r="J35" i="10"/>
  <c r="AI67" i="11"/>
  <c r="L35" i="10" s="1"/>
  <c r="AI161" i="11"/>
  <c r="AI153" i="11"/>
  <c r="AI162" i="11"/>
  <c r="AI154" i="11"/>
  <c r="R33" i="10"/>
  <c r="M33" i="10"/>
  <c r="N33" i="10" s="1"/>
  <c r="I35" i="10"/>
  <c r="AG71" i="11"/>
  <c r="O33" i="10" s="1"/>
  <c r="V163" i="11" l="1"/>
  <c r="W160" i="11" s="1"/>
  <c r="V155" i="11"/>
  <c r="AI66" i="11"/>
  <c r="K35" i="10" s="1"/>
  <c r="AI165" i="11"/>
  <c r="AJ70" i="11"/>
  <c r="AI157" i="11"/>
  <c r="R36" i="10"/>
  <c r="M36" i="10"/>
  <c r="M34" i="10"/>
  <c r="N34" i="10" s="1"/>
  <c r="R34" i="10"/>
  <c r="W152" i="11" l="1"/>
  <c r="W162" i="11"/>
  <c r="W154" i="11"/>
  <c r="W157" i="11" s="1"/>
  <c r="AI70" i="11"/>
  <c r="D74" i="11" s="1"/>
  <c r="R35" i="10"/>
  <c r="M35" i="10"/>
  <c r="N35" i="10" s="1"/>
  <c r="N36" i="10" s="1"/>
  <c r="W163" i="11" l="1"/>
  <c r="X160" i="11" s="1"/>
  <c r="W165" i="11"/>
  <c r="AJ71" i="11"/>
  <c r="O36" i="10" s="1"/>
  <c r="W155" i="11"/>
  <c r="AI71" i="11"/>
  <c r="O35" i="10" s="1"/>
  <c r="D75" i="11"/>
  <c r="G247" i="11" s="1"/>
  <c r="K247" i="11" l="1"/>
  <c r="O247" i="11"/>
  <c r="X154" i="11"/>
  <c r="X157" i="11" s="1"/>
  <c r="X152" i="11"/>
  <c r="X162" i="11"/>
  <c r="X165" i="11" s="1"/>
  <c r="X155" i="11" l="1"/>
  <c r="X163" i="11"/>
  <c r="Y160" i="11" s="1"/>
  <c r="Y152" i="11" l="1"/>
  <c r="Y162" i="11"/>
  <c r="Y165" i="11" s="1"/>
  <c r="Y154" i="11"/>
  <c r="Y157" i="11" s="1"/>
  <c r="Y163" i="11" l="1"/>
  <c r="Z160" i="11" s="1"/>
  <c r="Y155" i="11"/>
  <c r="Z152" i="11" l="1"/>
  <c r="Z154" i="11"/>
  <c r="Z157" i="11" s="1"/>
  <c r="Z162" i="11"/>
  <c r="Z165" i="11" s="1"/>
  <c r="Z163" i="11" l="1"/>
  <c r="AA160" i="11" s="1"/>
  <c r="Z155" i="11"/>
  <c r="AA152" i="11" l="1"/>
  <c r="AA162" i="11"/>
  <c r="AA165" i="11" s="1"/>
  <c r="AA154" i="11"/>
  <c r="AA157" i="11" s="1"/>
  <c r="AA163" i="11" l="1"/>
  <c r="AB160" i="11" s="1"/>
  <c r="AA155" i="11"/>
  <c r="AB152" i="11" l="1"/>
  <c r="AB162" i="11"/>
  <c r="AB154" i="11"/>
  <c r="AB157" i="11" s="1"/>
  <c r="AB165" i="11" l="1"/>
  <c r="AB163" i="11"/>
  <c r="AC160" i="11" s="1"/>
  <c r="AB155" i="11"/>
  <c r="AC152" i="11" l="1"/>
  <c r="AC154" i="11"/>
  <c r="AC157" i="11" s="1"/>
  <c r="AC162" i="11"/>
  <c r="AC165" i="11" s="1"/>
  <c r="AC163" i="11" l="1"/>
  <c r="AD160" i="11" s="1"/>
  <c r="AC155" i="11"/>
  <c r="AD152" i="11" l="1"/>
  <c r="AD162" i="11"/>
  <c r="AD154" i="11"/>
  <c r="AD157" i="11" s="1"/>
  <c r="AD165" i="11" l="1"/>
  <c r="AD163" i="11"/>
  <c r="AE160" i="11" s="1"/>
  <c r="AD155" i="11"/>
  <c r="AE152" i="11" l="1"/>
  <c r="AE154" i="11"/>
  <c r="AE157" i="11" s="1"/>
  <c r="AE162" i="11"/>
  <c r="AE165" i="11" s="1"/>
  <c r="AE163" i="11" l="1"/>
  <c r="AF160" i="11" s="1"/>
  <c r="AE155" i="11"/>
  <c r="AF152" i="11" l="1"/>
  <c r="AF162" i="11"/>
  <c r="AF154" i="11"/>
  <c r="AF157" i="11" s="1"/>
  <c r="AF165" i="11" l="1"/>
  <c r="AF163" i="11"/>
  <c r="AG160" i="11" s="1"/>
  <c r="AG163" i="11" s="1"/>
  <c r="AH160" i="11" s="1"/>
  <c r="AH163" i="11" s="1"/>
  <c r="AI160" i="11" s="1"/>
  <c r="AI163" i="11" s="1"/>
  <c r="AJ160" i="11" s="1"/>
  <c r="AJ163" i="11" s="1"/>
  <c r="AF155" i="11"/>
  <c r="AG152" i="11" s="1"/>
  <c r="AG155" i="11" s="1"/>
  <c r="AH152" i="11" s="1"/>
  <c r="AH155" i="11" s="1"/>
  <c r="AI152" i="11" s="1"/>
  <c r="AI155" i="11" s="1"/>
  <c r="AJ152" i="11" s="1"/>
  <c r="AJ155"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Gifford</author>
  </authors>
  <commentList>
    <comment ref="D23" authorId="0" shapeId="0" xr:uid="{00000000-0006-0000-0000-000001000000}">
      <text>
        <r>
          <rPr>
            <b/>
            <sz val="14"/>
            <color indexed="81"/>
            <rFont val="Tahoma"/>
            <family val="2"/>
          </rPr>
          <t>Note:</t>
        </r>
        <r>
          <rPr>
            <sz val="14"/>
            <color indexed="81"/>
            <rFont val="Tahoma"/>
            <family val="2"/>
          </rPr>
          <t xml:space="preserve">
The user is strongly encouraged to review all of these comments in order to understand key features of the CREST model.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 Gifford</author>
    <author>Tyler Leeds</author>
    <author>Mimi Zhang</author>
  </authors>
  <commentList>
    <comment ref="C4" authorId="0" shapeId="0" xr:uid="{00000000-0006-0000-0100-000001000000}">
      <text>
        <r>
          <rPr>
            <sz val="14"/>
            <color indexed="81"/>
            <rFont val="Tahoma"/>
            <family val="2"/>
          </rPr>
          <t xml:space="preserve">The "Check" column evaluates whether or not values have been enterred in all required fields.  Green denotes an accepted entry in a required field or a calculation for which the minimum required precedents have been satisfied.  Red denotes the absence of an entry in a required field, or a calculation for which the minimum required precendents have NOT been satisfied.
</t>
        </r>
        <r>
          <rPr>
            <b/>
            <sz val="14"/>
            <color indexed="81"/>
            <rFont val="Tahoma"/>
            <family val="2"/>
          </rPr>
          <t>Please note</t>
        </r>
        <r>
          <rPr>
            <sz val="14"/>
            <color indexed="81"/>
            <rFont val="Tahoma"/>
            <family val="2"/>
          </rPr>
          <t xml:space="preserve"> that while the "Check" column ensures the population of all required fields, this column does NOT validate such entries.  It is the model user's responsibility to provide inputs which accurately represent the project being modeled.  In some cases, a range of typical values for a specified input are provided in that input's "Notes" cell.</t>
        </r>
      </text>
    </comment>
    <comment ref="I4" authorId="0" shapeId="0" xr:uid="{00000000-0006-0000-0100-000002000000}">
      <text>
        <r>
          <rPr>
            <sz val="14"/>
            <color indexed="81"/>
            <rFont val="Tahoma"/>
            <family val="2"/>
          </rPr>
          <t xml:space="preserve">Each cell in the "Notes" column provides a brief description of the input in the corresponding row, its application within the model, and (in some cases) the range of values that might be expected to populate that  input cell.  It is the model user's responsibility, however, to research and validate the applicability of, and appropriate value for, each input.
</t>
        </r>
        <r>
          <rPr>
            <sz val="8"/>
            <color indexed="81"/>
            <rFont val="Tahoma"/>
            <family val="2"/>
          </rPr>
          <t xml:space="preserve">
</t>
        </r>
      </text>
    </comment>
    <comment ref="M4" authorId="0" shapeId="0" xr:uid="{00000000-0006-0000-0100-000003000000}">
      <text>
        <r>
          <rPr>
            <sz val="14"/>
            <color indexed="81"/>
            <rFont val="Tahoma"/>
            <family val="2"/>
          </rPr>
          <t xml:space="preserve">The "Check" column evaluates whether or not values have been enterred in all required fields. Green denotes an accepted entry in a required field or a calculation for which the minimum required precedents have been satisfied. Red denotes the absence of an entry in a required field, or a calculation for which the minimum required precendents have NOT been satisfied.
</t>
        </r>
        <r>
          <rPr>
            <b/>
            <sz val="14"/>
            <color indexed="81"/>
            <rFont val="Tahoma"/>
            <family val="2"/>
          </rPr>
          <t>Please note</t>
        </r>
        <r>
          <rPr>
            <sz val="14"/>
            <color indexed="81"/>
            <rFont val="Tahoma"/>
            <family val="2"/>
          </rPr>
          <t xml:space="preserve"> that while the "Check" column ensures the population of all required fields, this column does NOT validate such entries. It is the model user's responsibility to provide inputs which accurately represent the project being modeled. In some cases, a range of typical values for a specified input are provided in that input's "Notes" cell.
</t>
        </r>
      </text>
    </comment>
    <comment ref="S4" authorId="0" shapeId="0" xr:uid="{00000000-0006-0000-0100-000004000000}">
      <text>
        <r>
          <rPr>
            <sz val="14"/>
            <color indexed="81"/>
            <rFont val="Tahoma"/>
            <family val="2"/>
          </rPr>
          <t>Each cell in the "Notes" column provides a brief description of the input in the corresponding row, its application within the model, and (in some cases) the range of values that might be expected to populate that  input cell. It is the model user's responsibility, however, to research and validate the applicability of, and appropriate value for, each input.</t>
        </r>
        <r>
          <rPr>
            <sz val="8"/>
            <color indexed="81"/>
            <rFont val="Tahoma"/>
            <family val="2"/>
          </rPr>
          <t xml:space="preserve">
</t>
        </r>
      </text>
    </comment>
    <comment ref="F5" authorId="0" shapeId="0" xr:uid="{00000000-0006-0000-0100-000005000000}">
      <text>
        <r>
          <rPr>
            <b/>
            <sz val="8"/>
            <color indexed="81"/>
            <rFont val="Tahoma"/>
            <family val="2"/>
          </rPr>
          <t>See "unit" definitions at the bottom of this worksheet.</t>
        </r>
        <r>
          <rPr>
            <sz val="8"/>
            <color indexed="81"/>
            <rFont val="Tahoma"/>
            <family val="2"/>
          </rPr>
          <t xml:space="preserve">
</t>
        </r>
      </text>
    </comment>
    <comment ref="P5" authorId="0" shapeId="0" xr:uid="{00000000-0006-0000-0100-000006000000}">
      <text>
        <r>
          <rPr>
            <b/>
            <sz val="8"/>
            <color indexed="81"/>
            <rFont val="Tahoma"/>
            <family val="2"/>
          </rPr>
          <t>See "unit" definitions at the bottom of this worksheet.</t>
        </r>
        <r>
          <rPr>
            <sz val="8"/>
            <color indexed="81"/>
            <rFont val="Tahoma"/>
            <family val="2"/>
          </rPr>
          <t xml:space="preserve">
</t>
        </r>
      </text>
    </comment>
    <comment ref="I6" authorId="1" shapeId="0" xr:uid="{00000000-0006-0000-0100-000007000000}">
      <text>
        <r>
          <rPr>
            <b/>
            <sz val="14"/>
            <color indexed="81"/>
            <rFont val="Tahoma"/>
            <family val="2"/>
          </rPr>
          <t>Note:</t>
        </r>
        <r>
          <rPr>
            <sz val="14"/>
            <color indexed="81"/>
            <rFont val="Tahoma"/>
            <family val="2"/>
          </rPr>
          <t xml:space="preserve">
This is the aggregate nameplate rating for the entire generating facility.
Input must be greater than zero.
</t>
        </r>
      </text>
    </comment>
    <comment ref="S6" authorId="1" shapeId="0" xr:uid="{00000000-0006-0000-0100-000008000000}">
      <text>
        <r>
          <rPr>
            <b/>
            <sz val="14"/>
            <color indexed="81"/>
            <rFont val="Tahoma"/>
            <family val="2"/>
          </rPr>
          <t xml:space="preserve">Note:
</t>
        </r>
        <r>
          <rPr>
            <sz val="14"/>
            <color indexed="81"/>
            <rFont val="Tahoma"/>
            <family val="2"/>
          </rPr>
          <t xml:space="preserve">The FIT contract length is the number of years for which the rate specified by this model is available. This term is established by policymakers and must be less than or equal to the project's useful life.  
The contract duration is also different than the debt tenor (if applicable), which is specified in the Permanent Financing section below.
</t>
        </r>
      </text>
    </comment>
    <comment ref="I7" authorId="1" shapeId="0" xr:uid="{00000000-0006-0000-0100-000009000000}">
      <text>
        <r>
          <rPr>
            <b/>
            <sz val="14"/>
            <color indexed="81"/>
            <rFont val="Tahoma"/>
            <family val="2"/>
          </rPr>
          <t>Note:</t>
        </r>
        <r>
          <rPr>
            <sz val="14"/>
            <color indexed="81"/>
            <rFont val="Tahoma"/>
            <family val="2"/>
          </rPr>
          <t xml:space="preserve">
Capacity Factor is the % representation of the actual production vs. the theoretical maximum annual production of an energy project. This model requires the input of a </t>
        </r>
        <r>
          <rPr>
            <b/>
            <sz val="14"/>
            <color indexed="81"/>
            <rFont val="Tahoma"/>
            <family val="2"/>
          </rPr>
          <t>Net Capacity Factor</t>
        </r>
        <r>
          <rPr>
            <sz val="14"/>
            <color indexed="81"/>
            <rFont val="Tahoma"/>
            <family val="2"/>
          </rPr>
          <t xml:space="preserve">, meaning that the estimate of actual energy production should take into account all electricity losses (including those incurred between the generating facility and the contract delivery point), scheduled and unscheduled maintenance, forced outages, and any other factors that could reduce production.
The Net Capacity Factor is applied without adjustment in the first operating year, and is degraded annually thereafter.
Geothermal projects typically have a capacity factor between 70% and 90%. 
Input must be between 0% and 100%.
</t>
        </r>
      </text>
    </comment>
    <comment ref="S7" authorId="1" shapeId="0" xr:uid="{00000000-0006-0000-0100-00000A000000}">
      <text>
        <r>
          <rPr>
            <b/>
            <sz val="14"/>
            <color indexed="81"/>
            <rFont val="Tahoma"/>
            <family val="2"/>
          </rPr>
          <t xml:space="preserve">Note:
</t>
        </r>
        <r>
          <rPr>
            <sz val="14"/>
            <color indexed="81"/>
            <rFont val="Tahoma"/>
            <family val="2"/>
          </rPr>
          <t xml:space="preserve">This is the portion (%) of the tariff which is subject to annual escalation.  
Program administrators may determine that some or all of the tariff rate should be escalated to reflect the uncertainty associated with the future cost of owning and operating an electricity generating facility. This input is separate from the inflation assumed to apply to certain O&amp;M expenses, which is provided as an input in the O&amp;M section below.
Input must be between 0% and 100%.
</t>
        </r>
      </text>
    </comment>
    <comment ref="I8" authorId="0" shapeId="0" xr:uid="{00000000-0006-0000-0100-00000B000000}">
      <text>
        <r>
          <rPr>
            <b/>
            <sz val="14"/>
            <color indexed="81"/>
            <rFont val="Tahoma"/>
            <family val="2"/>
          </rPr>
          <t>Note:</t>
        </r>
        <r>
          <rPr>
            <sz val="14"/>
            <color indexed="81"/>
            <rFont val="Tahoma"/>
            <family val="2"/>
          </rPr>
          <t xml:space="preserve">
This is a calculation, based on the system size, capacity factor and availability provided above.
</t>
        </r>
      </text>
    </comment>
    <comment ref="S8" authorId="1" shapeId="0" xr:uid="{00000000-0006-0000-0100-00000C000000}">
      <text>
        <r>
          <rPr>
            <b/>
            <sz val="14"/>
            <color indexed="81"/>
            <rFont val="Tahoma"/>
            <family val="2"/>
          </rPr>
          <t xml:space="preserve">Note:
</t>
        </r>
        <r>
          <rPr>
            <sz val="14"/>
            <color indexed="81"/>
            <rFont val="Tahoma"/>
            <family val="2"/>
          </rPr>
          <t xml:space="preserve">Where applied, tariff rate escalation is intended to serve as a risk mitigating tool, at least partially protecting the project investor from the uncertainty associated with the future cost of owning and operating the renewable energy facility. The escalation rate can be used to assume a year over year increase in all, or a portion, of the per unit payment provided to eligible generators. This concept is separate from inflationary adjustments to future operating cost assumptions -- which are input below.
This rate is applied annually.  Note that in this model, calendar years and tariff years are aligned.
</t>
        </r>
        <r>
          <rPr>
            <b/>
            <sz val="14"/>
            <color indexed="81"/>
            <rFont val="Tahoma"/>
            <family val="2"/>
          </rPr>
          <t>Caution:</t>
        </r>
        <r>
          <rPr>
            <sz val="14"/>
            <color indexed="81"/>
            <rFont val="Tahoma"/>
            <family val="2"/>
          </rPr>
          <t xml:space="preserve"> A value must be entered into this cell in order for the model to function properly. The input can be positive or negative (if the FIT value decreases over time), and a typical value may fall between 0% and 5%.  </t>
        </r>
      </text>
    </comment>
    <comment ref="I9" authorId="1" shapeId="0" xr:uid="{00000000-0006-0000-0100-00000D000000}">
      <text>
        <r>
          <rPr>
            <b/>
            <sz val="14"/>
            <color indexed="81"/>
            <rFont val="Tahoma"/>
            <family val="2"/>
          </rPr>
          <t>Note:</t>
        </r>
        <r>
          <rPr>
            <sz val="14"/>
            <color indexed="81"/>
            <rFont val="Tahoma"/>
            <family val="2"/>
          </rPr>
          <t xml:space="preserve">
Use this input to select whether production degradation will be calculated by entering a single input or by specifying a degradation % for each year of operation. 
Please refer to the explanation of </t>
        </r>
        <r>
          <rPr>
            <b/>
            <sz val="14"/>
            <color indexed="81"/>
            <rFont val="Tahoma"/>
            <family val="2"/>
          </rPr>
          <t>"Geothermal-Specific Project Performance Inputs"</t>
        </r>
        <r>
          <rPr>
            <sz val="14"/>
            <color indexed="81"/>
            <rFont val="Tahoma"/>
            <family val="2"/>
          </rPr>
          <t xml:space="preserve"> in the User Manual for a more detailed description of the purpose and application of these production-related inputs.
</t>
        </r>
      </text>
    </comment>
    <comment ref="I10" authorId="1" shapeId="0" xr:uid="{00000000-0006-0000-0100-00000E000000}">
      <text>
        <r>
          <rPr>
            <b/>
            <sz val="14"/>
            <color indexed="81"/>
            <rFont val="Tahoma"/>
            <family val="2"/>
          </rPr>
          <t>Note:</t>
        </r>
        <r>
          <rPr>
            <sz val="14"/>
            <color indexed="81"/>
            <rFont val="Tahoma"/>
            <family val="2"/>
          </rPr>
          <t xml:space="preserve">
Experience has shown that many power generation projects experience annual degradation in production. This input refers to degradation due to the efficiency of aging equipment or other factors relating to the power plant and infrastructure. If the level of detail for the production degradation input is "Annual", the input in this field will apply to each year of project life.
Please refer to the explanation of </t>
        </r>
        <r>
          <rPr>
            <b/>
            <sz val="14"/>
            <color indexed="81"/>
            <rFont val="Tahoma"/>
            <family val="2"/>
          </rPr>
          <t xml:space="preserve">"Geothermal-Specific Project Performance Inputs" </t>
        </r>
        <r>
          <rPr>
            <sz val="14"/>
            <color indexed="81"/>
            <rFont val="Tahoma"/>
            <family val="2"/>
          </rPr>
          <t xml:space="preserve">in the User Manual for a more detailed description of the purpose and application of these production-related inputs.
Input must not be less than zero.
</t>
        </r>
        <r>
          <rPr>
            <u/>
            <sz val="14"/>
            <color indexed="81"/>
            <rFont val="Tahoma"/>
            <family val="2"/>
          </rPr>
          <t xml:space="preserve">
</t>
        </r>
      </text>
    </comment>
    <comment ref="S10" authorId="1" shapeId="0" xr:uid="{00000000-0006-0000-0100-00000F000000}">
      <text>
        <r>
          <rPr>
            <b/>
            <sz val="14"/>
            <color indexed="81"/>
            <rFont val="Tahoma"/>
            <family val="2"/>
          </rPr>
          <t xml:space="preserve">Note:
</t>
        </r>
        <r>
          <rPr>
            <sz val="14"/>
            <color indexed="81"/>
            <rFont val="Tahoma"/>
            <family val="2"/>
          </rPr>
          <t>If the designated "FIT Contract Length" is less than the defined "Project Useful Life", then this grouping of inputs is used to calculate the project's market-based revenue during the period from FIT contract expiration to the end of the project's life.</t>
        </r>
        <r>
          <rPr>
            <b/>
            <sz val="14"/>
            <color indexed="81"/>
            <rFont val="Tahoma"/>
            <family val="2"/>
          </rPr>
          <t xml:space="preserve">
</t>
        </r>
        <r>
          <rPr>
            <sz val="14"/>
            <color indexed="81"/>
            <rFont val="Tahoma"/>
            <family val="2"/>
          </rPr>
          <t xml:space="preserve">
</t>
        </r>
      </text>
    </comment>
    <comment ref="I11" authorId="1" shapeId="0" xr:uid="{00000000-0006-0000-0100-000010000000}">
      <text>
        <r>
          <rPr>
            <b/>
            <sz val="14"/>
            <color indexed="81"/>
            <rFont val="Tahoma"/>
            <family val="2"/>
          </rPr>
          <t>Note:</t>
        </r>
        <r>
          <rPr>
            <sz val="14"/>
            <color indexed="81"/>
            <rFont val="Tahoma"/>
            <family val="2"/>
          </rPr>
          <t xml:space="preserve">
Click on the link in this line to enter production degradation on a year by year basis on the "Complex Inputs" worksheet.  When complete, click on the "Click Here to Return to Inputs Worksheet" to return to this location.</t>
        </r>
      </text>
    </comment>
    <comment ref="S11" authorId="1" shapeId="0" xr:uid="{00000000-0006-0000-0100-000011000000}">
      <text>
        <r>
          <rPr>
            <b/>
            <sz val="14"/>
            <color indexed="81"/>
            <rFont val="Tahoma"/>
            <family val="2"/>
          </rPr>
          <t xml:space="preserve">Note:
</t>
        </r>
        <r>
          <rPr>
            <sz val="14"/>
            <color indexed="81"/>
            <rFont val="Tahoma"/>
            <family val="2"/>
          </rPr>
          <t>Selecting "Year One" forecasts the total market value of production based on an estimate of that value in the project's first year of commercial operation and a user-defined escalation rate.  
Selecting "Year-by-Year" enables the user to enter unique annual values for the period after the FIT expires and before the end of the project's useful life.</t>
        </r>
        <r>
          <rPr>
            <b/>
            <sz val="14"/>
            <color indexed="81"/>
            <rFont val="Tahoma"/>
            <family val="2"/>
          </rPr>
          <t xml:space="preserve">
</t>
        </r>
        <r>
          <rPr>
            <sz val="14"/>
            <color indexed="81"/>
            <rFont val="Tahoma"/>
            <family val="2"/>
          </rPr>
          <t xml:space="preserve">
</t>
        </r>
      </text>
    </comment>
    <comment ref="I12" authorId="2" shapeId="0" xr:uid="{00000000-0006-0000-0100-000012000000}">
      <text>
        <r>
          <rPr>
            <b/>
            <sz val="14"/>
            <color indexed="81"/>
            <rFont val="Tahoma"/>
            <family val="2"/>
          </rPr>
          <t>Note:</t>
        </r>
        <r>
          <rPr>
            <sz val="14"/>
            <color indexed="81"/>
            <rFont val="Tahoma"/>
            <family val="2"/>
          </rPr>
          <t xml:space="preserve">
A geothermal power plant may be sized to capture less than the maximum thermal potential available from the drilled wells. For example, a power plant with a nameplate capacity of 10 MW may be installed on a resource of 12 MW to maximize the use of plant capacity as thermal resource potential degrades over time.
Please refer to the explanation of </t>
        </r>
        <r>
          <rPr>
            <b/>
            <sz val="14"/>
            <color indexed="81"/>
            <rFont val="Tahoma"/>
            <family val="2"/>
          </rPr>
          <t>"Geothermal-Specific Project Performance Inputs"</t>
        </r>
        <r>
          <rPr>
            <sz val="14"/>
            <color indexed="81"/>
            <rFont val="Tahoma"/>
            <family val="2"/>
          </rPr>
          <t xml:space="preserve"> in the User Manual for a more detailed description of the purpose and application of these production-related inputs.
Input must be greater than zero.</t>
        </r>
      </text>
    </comment>
    <comment ref="S12" authorId="1" shapeId="0" xr:uid="{00000000-0006-0000-0100-000013000000}">
      <text>
        <r>
          <rPr>
            <b/>
            <sz val="14"/>
            <color indexed="81"/>
            <rFont val="Tahoma"/>
            <family val="2"/>
          </rPr>
          <t xml:space="preserve">Note:
</t>
        </r>
        <r>
          <rPr>
            <sz val="14"/>
            <color indexed="81"/>
            <rFont val="Tahoma"/>
            <family val="2"/>
          </rPr>
          <t xml:space="preserve">This is the </t>
        </r>
        <r>
          <rPr>
            <b/>
            <sz val="14"/>
            <color indexed="81"/>
            <rFont val="Tahoma"/>
            <family val="2"/>
          </rPr>
          <t>combined</t>
        </r>
        <r>
          <rPr>
            <sz val="14"/>
            <color indexed="81"/>
            <rFont val="Tahoma"/>
            <family val="2"/>
          </rPr>
          <t xml:space="preserve"> (or "bundled") market value of energy + capacity + Renewable Energy Credtis (RECs) in the same year in which the project's first enters commercial operation.
This input must be greater than zero.
</t>
        </r>
      </text>
    </comment>
    <comment ref="I13" authorId="2" shapeId="0" xr:uid="{00000000-0006-0000-0100-000014000000}">
      <text>
        <r>
          <rPr>
            <b/>
            <sz val="14"/>
            <color indexed="81"/>
            <rFont val="Tahoma"/>
            <family val="2"/>
          </rPr>
          <t xml:space="preserve">Note:
</t>
        </r>
        <r>
          <rPr>
            <sz val="14"/>
            <color indexed="81"/>
            <rFont val="Tahoma"/>
            <family val="2"/>
          </rPr>
          <t xml:space="preserve">This value represents the initial potential for electricity generation from the wells that have been drilled for the project. This value does not represent the total geothermal resource at a site (including un-drilled sites), but only the resource that can be tapped for electricity generation.
For example, a site could have the thermal resource potential to support 30 MWs of generation, but thermal resource potential degrades as it is used for power production, so the actual geothermal power plant capacity should be sized to be less than the thermal resource potential.  This will allow the power plant to maximize its capacity even as the thermal resource degrades over time.  There is the potential to drill new wells to achieve better generation plant available once thermal resource potential has degraded below plant capacity.
</t>
        </r>
        <r>
          <rPr>
            <u/>
            <sz val="14"/>
            <color indexed="81"/>
            <rFont val="Tahoma"/>
            <family val="2"/>
          </rPr>
          <t xml:space="preserve">
</t>
        </r>
        <r>
          <rPr>
            <sz val="14"/>
            <color indexed="81"/>
            <rFont val="Tahoma"/>
            <family val="2"/>
          </rPr>
          <t xml:space="preserve">Please refer to the explanation of </t>
        </r>
        <r>
          <rPr>
            <b/>
            <sz val="14"/>
            <color indexed="81"/>
            <rFont val="Tahoma"/>
            <family val="2"/>
          </rPr>
          <t>"Geothermal-Specific Project Performance Inputs"</t>
        </r>
        <r>
          <rPr>
            <sz val="14"/>
            <color indexed="81"/>
            <rFont val="Tahoma"/>
            <family val="2"/>
          </rPr>
          <t xml:space="preserve"> in the User Manual for a more detailed description of the purpose and application of these production-related inputs.</t>
        </r>
        <r>
          <rPr>
            <u/>
            <sz val="14"/>
            <color indexed="81"/>
            <rFont val="Tahoma"/>
            <family val="2"/>
          </rPr>
          <t xml:space="preserve">
</t>
        </r>
      </text>
    </comment>
    <comment ref="S13" authorId="1" shapeId="0" xr:uid="{00000000-0006-0000-0100-000015000000}">
      <text>
        <r>
          <rPr>
            <b/>
            <sz val="14"/>
            <color indexed="81"/>
            <rFont val="Tahoma"/>
            <family val="2"/>
          </rPr>
          <t xml:space="preserve">Note:
</t>
        </r>
        <r>
          <rPr>
            <sz val="14"/>
            <color indexed="81"/>
            <rFont val="Tahoma"/>
            <family val="2"/>
          </rPr>
          <t xml:space="preserve">When the "Year One" forecast methodology is selected, this is the user-defined escalation rate at which the market value of production is expected to change.
Input must be greater than zero.
</t>
        </r>
      </text>
    </comment>
    <comment ref="I14" authorId="1" shapeId="0" xr:uid="{00000000-0006-0000-0100-000016000000}">
      <text>
        <r>
          <rPr>
            <b/>
            <sz val="14"/>
            <color indexed="81"/>
            <rFont val="Tahoma"/>
            <family val="2"/>
          </rPr>
          <t>Note:</t>
        </r>
        <r>
          <rPr>
            <sz val="14"/>
            <color indexed="81"/>
            <rFont val="Tahoma"/>
            <family val="2"/>
          </rPr>
          <t xml:space="preserve">
Use this input to select whether thermal resource degradation will be calculated by entering a single input or by specifying a degradation % for each year of operation. 
Please refer to the explanation of </t>
        </r>
        <r>
          <rPr>
            <b/>
            <sz val="14"/>
            <color indexed="81"/>
            <rFont val="Tahoma"/>
            <family val="2"/>
          </rPr>
          <t>"Geothermal-Specific Project Performance Inputs"</t>
        </r>
        <r>
          <rPr>
            <sz val="14"/>
            <color indexed="81"/>
            <rFont val="Tahoma"/>
            <family val="2"/>
          </rPr>
          <t xml:space="preserve"> in the User Manual for a more detailed description of the purpose and application of these production-related inputs.
</t>
        </r>
      </text>
    </comment>
    <comment ref="S14" authorId="1" shapeId="0" xr:uid="{00000000-0006-0000-0100-000017000000}">
      <text>
        <r>
          <rPr>
            <b/>
            <sz val="14"/>
            <color indexed="81"/>
            <rFont val="Tahoma"/>
            <family val="2"/>
          </rPr>
          <t xml:space="preserve">Note:
</t>
        </r>
        <r>
          <rPr>
            <sz val="14"/>
            <color indexed="81"/>
            <rFont val="Tahoma"/>
            <family val="2"/>
          </rPr>
          <t xml:space="preserve">When "Year-by-Year" market value of production forecast is selected, this link brings the user to another worksheet on which unique annual values may be entered.
</t>
        </r>
      </text>
    </comment>
    <comment ref="I15" authorId="1" shapeId="0" xr:uid="{00000000-0006-0000-0100-000018000000}">
      <text>
        <r>
          <rPr>
            <b/>
            <sz val="14"/>
            <color indexed="81"/>
            <rFont val="Tahoma"/>
            <family val="2"/>
          </rPr>
          <t>Note:</t>
        </r>
        <r>
          <rPr>
            <sz val="14"/>
            <color indexed="81"/>
            <rFont val="Tahoma"/>
            <family val="2"/>
          </rPr>
          <t xml:space="preserve">
This input refers to degradation due to the gradual loss of thermal resource over time, not to losses associated with aging of power plant infrastructure.
Please refer to the explanation of </t>
        </r>
        <r>
          <rPr>
            <b/>
            <sz val="14"/>
            <color indexed="81"/>
            <rFont val="Tahoma"/>
            <family val="2"/>
          </rPr>
          <t>"Geothermal-Specific Project Performance Inputs"</t>
        </r>
        <r>
          <rPr>
            <sz val="14"/>
            <color indexed="81"/>
            <rFont val="Tahoma"/>
            <family val="2"/>
          </rPr>
          <t xml:space="preserve"> in the User Manual for a more detailed description of the purpose and application of these production-related inputs.
Input must not be less than zero.</t>
        </r>
        <r>
          <rPr>
            <u/>
            <sz val="14"/>
            <color indexed="81"/>
            <rFont val="Tahoma"/>
            <family val="2"/>
          </rPr>
          <t xml:space="preserve">
</t>
        </r>
      </text>
    </comment>
    <comment ref="I16" authorId="1" shapeId="0" xr:uid="{00000000-0006-0000-0100-000019000000}">
      <text>
        <r>
          <rPr>
            <b/>
            <sz val="14"/>
            <color indexed="81"/>
            <rFont val="Tahoma"/>
            <family val="2"/>
          </rPr>
          <t>Note:</t>
        </r>
        <r>
          <rPr>
            <sz val="14"/>
            <color indexed="81"/>
            <rFont val="Tahoma"/>
            <family val="2"/>
          </rPr>
          <t xml:space="preserve">
Click on the link in this line to enter thermal resource degradation on a year by year basis on the "Complex Inputs" worksheet.  When complete, click on the "Click Here to Return to Inputs Worksheet" to return to this location.</t>
        </r>
      </text>
    </comment>
    <comment ref="P16" authorId="0" shapeId="0" xr:uid="{00000000-0006-0000-0100-00001A000000}">
      <text>
        <r>
          <rPr>
            <b/>
            <sz val="8"/>
            <color indexed="81"/>
            <rFont val="Tahoma"/>
            <family val="2"/>
          </rPr>
          <t>See "unit" definitions at the bottom of this worksheet.</t>
        </r>
        <r>
          <rPr>
            <sz val="8"/>
            <color indexed="81"/>
            <rFont val="Tahoma"/>
            <family val="2"/>
          </rPr>
          <t xml:space="preserve">
</t>
        </r>
      </text>
    </comment>
    <comment ref="I17" authorId="1" shapeId="0" xr:uid="{00000000-0006-0000-0100-00001B000000}">
      <text>
        <r>
          <rPr>
            <b/>
            <sz val="14"/>
            <color indexed="81"/>
            <rFont val="Tahoma"/>
            <family val="2"/>
          </rPr>
          <t xml:space="preserve">Note:
</t>
        </r>
        <r>
          <rPr>
            <sz val="14"/>
            <color indexed="81"/>
            <rFont val="Tahoma"/>
            <family val="2"/>
          </rPr>
          <t xml:space="preserve">The Project Useful Life is the number of years that the project is expected to be fully operational, reliably delivering electricity to the grid. This concept is different from the FIT Contract Length, which is administratively determined by policymakers. These two values may be the same if a FIT contract is offered for the project's entire expected useful life. This approach is likely to generate the lowest tariff rate, while successfully attracting investors to renewable energy projects.  
The CREST model is built for a maximum Project Useful Life of 30 years.
Input must be greater than 0 and less than or equal to 30.
</t>
        </r>
      </text>
    </comment>
    <comment ref="S17" authorId="0" shapeId="0" xr:uid="{00000000-0006-0000-0100-00001C000000}">
      <text>
        <r>
          <rPr>
            <b/>
            <sz val="14"/>
            <color indexed="81"/>
            <rFont val="Tahoma"/>
            <family val="2"/>
          </rPr>
          <t>Note:</t>
        </r>
        <r>
          <rPr>
            <sz val="14"/>
            <color indexed="81"/>
            <rFont val="Tahoma"/>
            <family val="2"/>
          </rPr>
          <t xml:space="preserve">
Select either "Simple" or "Intermediate" O&amp;M expense detail using the drop-down menu to the right.
</t>
        </r>
        <r>
          <rPr>
            <sz val="8"/>
            <color indexed="81"/>
            <rFont val="Tahoma"/>
            <family val="2"/>
          </rPr>
          <t xml:space="preserve">
</t>
        </r>
      </text>
    </comment>
    <comment ref="F19" authorId="0" shapeId="0" xr:uid="{00000000-0006-0000-0100-00001D000000}">
      <text>
        <r>
          <rPr>
            <b/>
            <sz val="8"/>
            <color indexed="81"/>
            <rFont val="Tahoma"/>
            <family val="2"/>
          </rPr>
          <t>See "unit" definitions at the bottom of this worksheet.</t>
        </r>
        <r>
          <rPr>
            <sz val="8"/>
            <color indexed="81"/>
            <rFont val="Tahoma"/>
            <family val="2"/>
          </rPr>
          <t xml:space="preserve">
</t>
        </r>
      </text>
    </comment>
    <comment ref="P19" authorId="0" shapeId="0" xr:uid="{00000000-0006-0000-0100-00001E000000}">
      <text>
        <r>
          <rPr>
            <b/>
            <sz val="8"/>
            <color indexed="81"/>
            <rFont val="Tahoma"/>
            <family val="2"/>
          </rPr>
          <t>See "unit" definitions at the bottom of this worksheet.</t>
        </r>
        <r>
          <rPr>
            <sz val="8"/>
            <color indexed="81"/>
            <rFont val="Tahoma"/>
            <family val="2"/>
          </rPr>
          <t xml:space="preserve">
</t>
        </r>
      </text>
    </comment>
    <comment ref="I20" authorId="1" shapeId="0" xr:uid="{00000000-0006-0000-0100-00001F000000}">
      <text>
        <r>
          <rPr>
            <b/>
            <sz val="14"/>
            <color indexed="81"/>
            <rFont val="Tahoma"/>
            <family val="2"/>
          </rPr>
          <t>Note:</t>
        </r>
        <r>
          <rPr>
            <sz val="14"/>
            <color indexed="81"/>
            <rFont val="Tahoma"/>
            <family val="2"/>
          </rPr>
          <t xml:space="preserve">
This model alllows the user to input system cost at 1 of 3 levels of detail: "simple", "intermediate" or "complex."  Simple offers a single input in $/kW, Intermediate offers a breakdown of Wellfield, Drilling, Power Plant and Interconnection costs in total dollars. Complex offers line-by-line project costing with user-defined categories and costs per line-item.  
The user must select the preferred method and use the cells below to enter all applicable cost information. If you choose the "Complex" option, you will need to follow the link below to the "Complex Inputs" worksheet.
</t>
        </r>
      </text>
    </comment>
    <comment ref="S20" authorId="0" shapeId="0" xr:uid="{00000000-0006-0000-0100-000020000000}">
      <text>
        <r>
          <rPr>
            <b/>
            <sz val="14"/>
            <color indexed="81"/>
            <rFont val="Tahoma"/>
            <family val="2"/>
          </rPr>
          <t>Note:</t>
        </r>
        <r>
          <rPr>
            <sz val="14"/>
            <color indexed="81"/>
            <rFont val="Tahoma"/>
            <family val="2"/>
          </rPr>
          <t xml:space="preserve">
This inflation rate applies to the O&amp;M expense, insurance, and project management costs entered above, if applicable. 
The model allows the user to specify an inflation assumption for an "initial period" and a second inflation assumption "thereafter." The final year of the "initial period" is also user-defined. The purpose of this feature is to recognize that inflationary trends may change over time, or that some projects may not expect inflation of O&amp;M expenses for the first several years, but may expect inflation thereafter.
This inflation rate does not apply to PILOT or Royalty costs. 
This input cannot be less than zero.
</t>
        </r>
      </text>
    </comment>
    <comment ref="I21" authorId="1" shapeId="0" xr:uid="{00000000-0006-0000-0100-000021000000}">
      <text>
        <r>
          <rPr>
            <b/>
            <sz val="14"/>
            <color indexed="81"/>
            <rFont val="Tahoma"/>
            <family val="2"/>
          </rPr>
          <t>Note:</t>
        </r>
        <r>
          <rPr>
            <sz val="14"/>
            <color indexed="81"/>
            <rFont val="Tahoma"/>
            <family val="2"/>
          </rPr>
          <t xml:space="preserve">
When "Simple" is selected in the Cost Level of Detail cell, this "Installed Cost, excluding exploration" row represents the cumulative cost of the confirmation, wellfield and power plant phases.  This includes all hardware, balance of plant, interconnection, development, interest during construction and financing costs. The amount excludes exploration expenses, which are input below.  This figure also does not account for any tax incentives, grants, or other cash incentives, each of which will be addressed elsewhere in the model. This figure should, however, reflect any applicable sales tax or exemptions thereof. Input must be greater than zero.
</t>
        </r>
        <r>
          <rPr>
            <b/>
            <sz val="14"/>
            <color indexed="81"/>
            <rFont val="Tahoma"/>
            <family val="2"/>
          </rPr>
          <t>Exploration costs should not be included in this input.</t>
        </r>
        <r>
          <rPr>
            <sz val="14"/>
            <color indexed="81"/>
            <rFont val="Tahoma"/>
            <family val="2"/>
          </rPr>
          <t xml:space="preserve">
</t>
        </r>
      </text>
    </comment>
    <comment ref="S21" authorId="0" shapeId="0" xr:uid="{00000000-0006-0000-0100-000022000000}">
      <text>
        <r>
          <rPr>
            <b/>
            <sz val="14"/>
            <color indexed="81"/>
            <rFont val="Tahoma"/>
            <family val="2"/>
          </rPr>
          <t xml:space="preserve">Note:
</t>
        </r>
        <r>
          <rPr>
            <sz val="14"/>
            <color indexed="81"/>
            <rFont val="Tahoma"/>
            <family val="2"/>
          </rPr>
          <t xml:space="preserve">This feature allows the user to assume that the rate at which expenses change over time is not constant. This cell provides the year in which the first inflation period ends.
Input cannot be less than zero.
</t>
        </r>
      </text>
    </comment>
    <comment ref="S22" authorId="0" shapeId="0" xr:uid="{00000000-0006-0000-0100-000023000000}">
      <text>
        <r>
          <rPr>
            <b/>
            <sz val="14"/>
            <color indexed="81"/>
            <rFont val="Tahoma"/>
            <family val="2"/>
          </rPr>
          <t xml:space="preserve">Note:
</t>
        </r>
        <r>
          <rPr>
            <sz val="14"/>
            <color indexed="81"/>
            <rFont val="Tahoma"/>
            <family val="2"/>
          </rPr>
          <t xml:space="preserve">This cell provides the inflation rate for the remainder of the project's useful life.
Input must be greater than zero.
</t>
        </r>
      </text>
    </comment>
    <comment ref="I23" authorId="1" shapeId="0" xr:uid="{00000000-0006-0000-0100-000024000000}">
      <text>
        <r>
          <rPr>
            <b/>
            <sz val="14"/>
            <color indexed="81"/>
            <rFont val="Tahoma"/>
            <family val="2"/>
          </rPr>
          <t>Note:</t>
        </r>
        <r>
          <rPr>
            <sz val="14"/>
            <color indexed="81"/>
            <rFont val="Tahoma"/>
            <family val="2"/>
          </rPr>
          <t xml:space="preserve">
The exploration phase of a project may involve scoping out many sites over a large region. It is possible that exploration could lead to the development of multiple projects, but the inputs asked for in this category are limited to the exploration costs attributed to this particular project.
Based on a review of recently-published geothermal literature, the exploration phase is assumed to include desk-top studies, initial surface exploration, temperature gradient drilling, and, in some cases, deep exploratory drilling.  By comparison, the confimration phase is assumed to include continued deep exploratory drilling, resource assessment, and initial production wells (and may therefore be more capital intensive than the exploration phase).</t>
        </r>
        <r>
          <rPr>
            <u/>
            <sz val="14"/>
            <color indexed="81"/>
            <rFont val="Tahoma"/>
            <family val="2"/>
          </rPr>
          <t xml:space="preserve">
</t>
        </r>
        <r>
          <rPr>
            <sz val="14"/>
            <color indexed="81"/>
            <rFont val="Tahoma"/>
            <family val="2"/>
          </rPr>
          <t>For a detailed description of the concepts and components associated with a geothermal power facility, please refer to the Geothermal Electricity Technology Evaluation Model (GETEM) and related resources -- see link on "Introduction" worksheet.</t>
        </r>
        <r>
          <rPr>
            <u/>
            <sz val="14"/>
            <color indexed="81"/>
            <rFont val="Tahoma"/>
            <family val="2"/>
          </rPr>
          <t xml:space="preserve">
</t>
        </r>
      </text>
    </comment>
    <comment ref="I24" authorId="0" shapeId="0" xr:uid="{00000000-0006-0000-0100-000025000000}">
      <text>
        <r>
          <rPr>
            <b/>
            <sz val="14"/>
            <color indexed="81"/>
            <rFont val="Tahoma"/>
            <family val="2"/>
          </rPr>
          <t>Note:</t>
        </r>
        <r>
          <rPr>
            <sz val="14"/>
            <color indexed="81"/>
            <rFont val="Tahoma"/>
            <family val="2"/>
          </rPr>
          <t xml:space="preserve">
Total exploration expense, in nominal dollars at the time of investment.  This input does not take into account the exploration investor's expected return on invested capital.</t>
        </r>
      </text>
    </comment>
    <comment ref="S24" authorId="0" shapeId="0" xr:uid="{00000000-0006-0000-0100-000026000000}">
      <text>
        <r>
          <rPr>
            <b/>
            <sz val="14"/>
            <color indexed="81"/>
            <rFont val="Tahoma"/>
            <family val="2"/>
          </rPr>
          <t xml:space="preserve">Note:
</t>
        </r>
        <r>
          <rPr>
            <sz val="14"/>
            <color indexed="81"/>
            <rFont val="Tahoma"/>
            <family val="2"/>
          </rPr>
          <t xml:space="preserve">If "Simple" is selected in the cell above, then this input should reflect the </t>
        </r>
        <r>
          <rPr>
            <b/>
            <u/>
            <sz val="14"/>
            <color indexed="81"/>
            <rFont val="Tahoma"/>
            <family val="2"/>
          </rPr>
          <t>total</t>
        </r>
        <r>
          <rPr>
            <sz val="14"/>
            <color indexed="81"/>
            <rFont val="Tahoma"/>
            <family val="2"/>
          </rPr>
          <t xml:space="preserve"> expected </t>
        </r>
        <r>
          <rPr>
            <b/>
            <u/>
            <sz val="14"/>
            <color indexed="81"/>
            <rFont val="Tahoma"/>
            <family val="2"/>
          </rPr>
          <t>fixed</t>
        </r>
        <r>
          <rPr>
            <sz val="14"/>
            <color indexed="81"/>
            <rFont val="Tahoma"/>
            <family val="2"/>
          </rPr>
          <t xml:space="preserve"> cost of project operations and maintenance, in $/kW-yr.  This </t>
        </r>
        <r>
          <rPr>
            <u/>
            <sz val="14"/>
            <color indexed="81"/>
            <rFont val="Tahoma"/>
            <family val="2"/>
          </rPr>
          <t>includes</t>
        </r>
        <r>
          <rPr>
            <sz val="14"/>
            <color indexed="81"/>
            <rFont val="Tahoma"/>
            <family val="2"/>
          </rPr>
          <t xml:space="preserve"> the insurance, project management, property tax (or payment in lieu thereof), land lease, and royalty expenses which would have been broken out separately in the "Intermediate" case.  Other labor and spare parts should also be included in this estimate.
If the user has obtained O&amp;M expense estimates from a third-party, it is critical to understand which costs have been included.  If the user is not certain that all of the above-listed expenses are included in the fixed cost estimate, then the "Intermediate" approach should be used and these expenses should be entered separately.
If "Intermediate" is selected, then this input should reflect  the expected annual fixed O&amp;M cost before taking into account the additional listed expenses, which are entered below. 
In all cases, fixed O&amp;M would include - among others - the ongoing cost of obtaining daily, weekly or monthly production estimates based on weather and other factors.
Input value must be greater than zero. </t>
        </r>
        <r>
          <rPr>
            <sz val="8"/>
            <color indexed="81"/>
            <rFont val="Tahoma"/>
            <family val="2"/>
          </rPr>
          <t xml:space="preserve">
</t>
        </r>
      </text>
    </comment>
    <comment ref="I25" authorId="1" shapeId="0" xr:uid="{00000000-0006-0000-0100-000027000000}">
      <text>
        <r>
          <rPr>
            <b/>
            <sz val="14"/>
            <color indexed="81"/>
            <rFont val="Tahoma"/>
            <family val="2"/>
          </rPr>
          <t>Note:</t>
        </r>
        <r>
          <rPr>
            <sz val="14"/>
            <color indexed="81"/>
            <rFont val="Tahoma"/>
            <family val="2"/>
          </rPr>
          <t xml:space="preserve">
For the purpose of this model, it is assumed that during the exploration process, exploration wells are drilled until a successful well is found. The exploration success rate represents the % of successful wells to the total number drilled. This input is used to capture the impact of all exploration costs necesssary to complete the successful development of a geothermal power project. 
This cell offers the inputs between 5% and 50%. </t>
        </r>
        <r>
          <rPr>
            <u/>
            <sz val="14"/>
            <color indexed="81"/>
            <rFont val="Tahoma"/>
            <family val="2"/>
          </rPr>
          <t xml:space="preserve">
</t>
        </r>
      </text>
    </comment>
    <comment ref="S25" authorId="0" shapeId="0" xr:uid="{00000000-0006-0000-0100-000028000000}">
      <text>
        <r>
          <rPr>
            <b/>
            <sz val="14"/>
            <color indexed="81"/>
            <rFont val="Tahoma"/>
            <family val="2"/>
          </rPr>
          <t xml:space="preserve">Note:
</t>
        </r>
        <r>
          <rPr>
            <sz val="14"/>
            <color indexed="81"/>
            <rFont val="Tahoma"/>
            <family val="2"/>
          </rPr>
          <t xml:space="preserve">This cell provides the user with the option of accounting for O&amp;M expenses (such as labor and spare parts) which are more easily estimated and modeled on a variable, cents per kWh basis.  
If "Simple" is selected above, then this cell should also take into account variable costs, such as royalties, </t>
        </r>
        <r>
          <rPr>
            <b/>
            <u/>
            <sz val="14"/>
            <color indexed="81"/>
            <rFont val="Tahoma"/>
            <family val="2"/>
          </rPr>
          <t>if</t>
        </r>
        <r>
          <rPr>
            <sz val="14"/>
            <color indexed="81"/>
            <rFont val="Tahoma"/>
            <family val="2"/>
          </rPr>
          <t xml:space="preserve"> such annual expenses are not already accounted for in the fixed cost input above.
Input cannot be less than zero.</t>
        </r>
      </text>
    </comment>
    <comment ref="I26" authorId="1" shapeId="0" xr:uid="{00000000-0006-0000-0100-000029000000}">
      <text>
        <r>
          <rPr>
            <b/>
            <sz val="14"/>
            <color indexed="81"/>
            <rFont val="Tahoma"/>
            <family val="2"/>
          </rPr>
          <t>Note:</t>
        </r>
        <r>
          <rPr>
            <sz val="14"/>
            <color indexed="81"/>
            <rFont val="Tahoma"/>
            <family val="2"/>
          </rPr>
          <t xml:space="preserve">
This is a calculation that shows the total number of wells drilled during the project's exploration phase.</t>
        </r>
      </text>
    </comment>
    <comment ref="I27" authorId="1" shapeId="0" xr:uid="{00000000-0006-0000-0100-00002A000000}">
      <text>
        <r>
          <rPr>
            <b/>
            <sz val="14"/>
            <color indexed="81"/>
            <rFont val="Tahoma"/>
            <family val="2"/>
          </rPr>
          <t>Note:</t>
        </r>
        <r>
          <rPr>
            <sz val="14"/>
            <color indexed="81"/>
            <rFont val="Tahoma"/>
            <family val="2"/>
          </rPr>
          <t xml:space="preserve">
This includes drilling and non-drilling costs on a per well basis. Drilling costs for exploration wells may be greater than or less than for production wells, depending on the diameter of the exploration well, the proximity to an existing wellfield and the relative amount of information about each site's geologic characteristics prior to drilling. 
This input cannot be less than zero.
</t>
        </r>
        <r>
          <rPr>
            <u/>
            <sz val="14"/>
            <color indexed="81"/>
            <rFont val="Tahoma"/>
            <family val="2"/>
          </rPr>
          <t xml:space="preserve">
</t>
        </r>
        <r>
          <rPr>
            <sz val="14"/>
            <color indexed="81"/>
            <rFont val="Tahoma"/>
            <family val="2"/>
          </rPr>
          <t>Total Exploration Costs have been estimated to be between $100/kW and $225/kW in recent third-party public reports.</t>
        </r>
        <r>
          <rPr>
            <u/>
            <sz val="14"/>
            <color indexed="81"/>
            <rFont val="Tahoma"/>
            <family val="2"/>
          </rPr>
          <t xml:space="preserve">
</t>
        </r>
      </text>
    </comment>
    <comment ref="S27" authorId="0" shapeId="0" xr:uid="{00000000-0006-0000-0100-00002B000000}">
      <text>
        <r>
          <rPr>
            <b/>
            <sz val="14"/>
            <color indexed="81"/>
            <rFont val="Tahoma"/>
            <family val="2"/>
          </rPr>
          <t xml:space="preserve">Note:
</t>
        </r>
        <r>
          <rPr>
            <sz val="14"/>
            <color indexed="81"/>
            <rFont val="Tahoma"/>
            <family val="2"/>
          </rPr>
          <t xml:space="preserve">If "Simple" is selected in the cell above, then this input should reflect the </t>
        </r>
        <r>
          <rPr>
            <b/>
            <u/>
            <sz val="14"/>
            <color indexed="81"/>
            <rFont val="Tahoma"/>
            <family val="2"/>
          </rPr>
          <t>total</t>
        </r>
        <r>
          <rPr>
            <sz val="14"/>
            <color indexed="81"/>
            <rFont val="Tahoma"/>
            <family val="2"/>
          </rPr>
          <t xml:space="preserve"> expected </t>
        </r>
        <r>
          <rPr>
            <b/>
            <u/>
            <sz val="14"/>
            <color indexed="81"/>
            <rFont val="Tahoma"/>
            <family val="2"/>
          </rPr>
          <t>fixed</t>
        </r>
        <r>
          <rPr>
            <sz val="14"/>
            <color indexed="81"/>
            <rFont val="Tahoma"/>
            <family val="2"/>
          </rPr>
          <t xml:space="preserve"> cost of project operations and maintenance, in $/kW-yr.  This </t>
        </r>
        <r>
          <rPr>
            <u/>
            <sz val="14"/>
            <color indexed="81"/>
            <rFont val="Tahoma"/>
            <family val="2"/>
          </rPr>
          <t>includes</t>
        </r>
        <r>
          <rPr>
            <sz val="14"/>
            <color indexed="81"/>
            <rFont val="Tahoma"/>
            <family val="2"/>
          </rPr>
          <t xml:space="preserve"> the insurance, project management, property tax (or payment in lieu thereof), land lease, and royalty expenses which would have been broken out separately in the "Intermediate" case.  Other labor and spare parts should also be included in this estimate.
If the user has obtained O&amp;M expense estimates from a third-party, it is critical to understand which costs have been included.  If the user is not certain that all of the above-listed expenses are included in the fixed cost estimate, then the "Intermediate" approach should be used and these expenses should be entered separately.
If "Intermediate" is selected, then this input should reflect  the expected annual fixed O&amp;M cost before taking into account the additional listed expenses, which are entered below. 
In all cases, fixed O&amp;M would include - among others - the ongoing cost of obtaining daily, weekly or monthly production estimates based on weather and other factors.
Input value must be greater than zero. </t>
        </r>
        <r>
          <rPr>
            <sz val="8"/>
            <color indexed="81"/>
            <rFont val="Tahoma"/>
            <family val="2"/>
          </rPr>
          <t xml:space="preserve">
</t>
        </r>
        <r>
          <rPr>
            <sz val="14"/>
            <color indexed="81"/>
            <rFont val="Tahoma"/>
            <family val="2"/>
          </rPr>
          <t>Total Fixed O&amp;M Costs have been estimated to be between $40/kW-yr and $60/kW-yr in recent third-party public reports.</t>
        </r>
      </text>
    </comment>
    <comment ref="I28" authorId="1" shapeId="0" xr:uid="{00000000-0006-0000-0100-00002C000000}">
      <text>
        <r>
          <rPr>
            <b/>
            <sz val="14"/>
            <color indexed="81"/>
            <rFont val="Tahoma"/>
            <family val="2"/>
          </rPr>
          <t>Note:</t>
        </r>
        <r>
          <rPr>
            <sz val="14"/>
            <color indexed="81"/>
            <rFont val="Tahoma"/>
            <family val="2"/>
          </rPr>
          <t xml:space="preserve">
Non-well exploration costs refer to all costs accrued in the exploration phase that are not calculated on a per well basis. 
This input cannot be less than zero.</t>
        </r>
      </text>
    </comment>
    <comment ref="S28" authorId="0" shapeId="0" xr:uid="{00000000-0006-0000-0100-00002D000000}">
      <text>
        <r>
          <rPr>
            <b/>
            <sz val="14"/>
            <color indexed="81"/>
            <rFont val="Tahoma"/>
            <family val="2"/>
          </rPr>
          <t xml:space="preserve">Note:
</t>
        </r>
        <r>
          <rPr>
            <sz val="14"/>
            <color indexed="81"/>
            <rFont val="Tahoma"/>
            <family val="2"/>
          </rPr>
          <t xml:space="preserve">This cell provides the user with the option of accounting for O&amp;M expenses (such as labor and spare parts) which are more easily estimated and modeled on a variable, cents per kWh basis.  
If "Simple" is selected above, then this cell should also take into account variable costs, such as royalties, </t>
        </r>
        <r>
          <rPr>
            <b/>
            <u/>
            <sz val="14"/>
            <color indexed="81"/>
            <rFont val="Tahoma"/>
            <family val="2"/>
          </rPr>
          <t>if</t>
        </r>
        <r>
          <rPr>
            <sz val="14"/>
            <color indexed="81"/>
            <rFont val="Tahoma"/>
            <family val="2"/>
          </rPr>
          <t xml:space="preserve"> such annual expenses are not already accounted for in the fixed cost input above.
Input cannot be less than zero.
Total Variable O&amp;M Costs have been estimated to be between 2.25 cents/kWh and 4.50 cents/kWh in recent third-party public reports.</t>
        </r>
      </text>
    </comment>
    <comment ref="I30" authorId="1" shapeId="0" xr:uid="{00000000-0006-0000-0100-00002E000000}">
      <text>
        <r>
          <rPr>
            <b/>
            <sz val="14"/>
            <color indexed="81"/>
            <rFont val="Tahoma"/>
            <family val="2"/>
          </rPr>
          <t>Note:</t>
        </r>
        <r>
          <rPr>
            <sz val="14"/>
            <color indexed="81"/>
            <rFont val="Tahoma"/>
            <family val="2"/>
          </rPr>
          <t xml:space="preserve">
This input specifies the return requirement of the exploration investor, and is set such that it </t>
        </r>
        <r>
          <rPr>
            <b/>
            <sz val="14"/>
            <color indexed="81"/>
            <rFont val="Tahoma"/>
            <family val="2"/>
          </rPr>
          <t>reflects the period (and associated risk) from inception to commercial operation</t>
        </r>
        <r>
          <rPr>
            <sz val="14"/>
            <color indexed="81"/>
            <rFont val="Tahoma"/>
            <family val="2"/>
          </rPr>
          <t xml:space="preserve"> -- a time period which may vary widely by project.  For example, this input set at 100% reflects a situation in which the exploration investor expects to double its money, r</t>
        </r>
        <r>
          <rPr>
            <b/>
            <sz val="14"/>
            <color indexed="81"/>
            <rFont val="Tahoma"/>
            <family val="2"/>
          </rPr>
          <t>egardless of how long it takes for the project to achieve commercial operation</t>
        </r>
        <r>
          <rPr>
            <sz val="14"/>
            <color indexed="81"/>
            <rFont val="Tahoma"/>
            <family val="2"/>
          </rPr>
          <t xml:space="preserve">.
</t>
        </r>
        <r>
          <rPr>
            <b/>
            <sz val="14"/>
            <color indexed="81"/>
            <rFont val="Tahoma"/>
            <family val="2"/>
          </rPr>
          <t>COD = Commercial Operation Date</t>
        </r>
        <r>
          <rPr>
            <sz val="14"/>
            <color indexed="81"/>
            <rFont val="Tahoma"/>
            <family val="2"/>
          </rPr>
          <t xml:space="preserve">
</t>
        </r>
      </text>
    </comment>
    <comment ref="S30" authorId="1" shapeId="0" xr:uid="{00000000-0006-0000-0100-00002F000000}">
      <text>
        <r>
          <rPr>
            <b/>
            <sz val="14"/>
            <color indexed="81"/>
            <rFont val="Tahoma"/>
            <family val="2"/>
          </rPr>
          <t xml:space="preserve">Note:
</t>
        </r>
        <r>
          <rPr>
            <sz val="14"/>
            <color indexed="81"/>
            <rFont val="Tahoma"/>
            <family val="2"/>
          </rPr>
          <t xml:space="preserve">Project owners, or hosts, are required to carry insurance. This input accounts for the estimated cost of insuring the modeling power generating facility.
Input cannot be less than zero.
</t>
        </r>
      </text>
    </comment>
    <comment ref="I31" authorId="1" shapeId="0" xr:uid="{00000000-0006-0000-0100-000030000000}">
      <text>
        <r>
          <rPr>
            <b/>
            <sz val="14"/>
            <color indexed="81"/>
            <rFont val="Tahoma"/>
            <family val="2"/>
          </rPr>
          <t>Note:</t>
        </r>
        <r>
          <rPr>
            <sz val="14"/>
            <color indexed="81"/>
            <rFont val="Tahoma"/>
            <family val="2"/>
          </rPr>
          <t xml:space="preserve">
This is the total capital invested in the exploration phase.   This figure excludes the estimated return requirement (time-value of money).</t>
        </r>
      </text>
    </comment>
    <comment ref="S31" authorId="0" shapeId="0" xr:uid="{00000000-0006-0000-0100-000031000000}">
      <text>
        <r>
          <rPr>
            <b/>
            <sz val="14"/>
            <color indexed="81"/>
            <rFont val="Tahoma"/>
            <family val="2"/>
          </rPr>
          <t xml:space="preserve">Note:
</t>
        </r>
        <r>
          <rPr>
            <sz val="14"/>
            <color indexed="81"/>
            <rFont val="Tahoma"/>
            <family val="2"/>
          </rPr>
          <t xml:space="preserve">This cell calculates the resulting dollar value cost of insurance based on the input above and the project installed cost (net of financing costs).  It is provided simply as a reference for the user.
</t>
        </r>
        <r>
          <rPr>
            <sz val="8"/>
            <color indexed="81"/>
            <rFont val="Tahoma"/>
            <family val="2"/>
          </rPr>
          <t xml:space="preserve">
</t>
        </r>
      </text>
    </comment>
    <comment ref="I32" authorId="1" shapeId="0" xr:uid="{00000000-0006-0000-0100-000032000000}">
      <text>
        <r>
          <rPr>
            <b/>
            <sz val="14"/>
            <color indexed="81"/>
            <rFont val="Tahoma"/>
            <family val="2"/>
          </rPr>
          <t>Note:</t>
        </r>
        <r>
          <rPr>
            <sz val="14"/>
            <color indexed="81"/>
            <rFont val="Tahoma"/>
            <family val="2"/>
          </rPr>
          <t xml:space="preserve">
Calculation of total exploration costs.   This figure includes the estimated time-value of exploration capital during the exploration stage, and assumes a draw-down schedule such that the total exploration cost is outstanding for approximately one-half of the duration of exploration.
COD = Commercial Operation Date</t>
        </r>
      </text>
    </comment>
    <comment ref="S32" authorId="1" shapeId="0" xr:uid="{00000000-0006-0000-0100-000033000000}">
      <text>
        <r>
          <rPr>
            <b/>
            <sz val="14"/>
            <color indexed="81"/>
            <rFont val="Tahoma"/>
            <family val="2"/>
          </rPr>
          <t>Note:</t>
        </r>
        <r>
          <rPr>
            <sz val="14"/>
            <color indexed="81"/>
            <rFont val="Tahoma"/>
            <family val="2"/>
          </rPr>
          <t xml:space="preserve">
"Project Management" accounts for the cost of staff time related to managing the project's PPAs, grid integration, and periodic reporting to the system operator and policymakers.  
Input cannot be less than zero.
</t>
        </r>
      </text>
    </comment>
    <comment ref="S33" authorId="1" shapeId="0" xr:uid="{00000000-0006-0000-0100-000034000000}">
      <text>
        <r>
          <rPr>
            <b/>
            <sz val="14"/>
            <color indexed="81"/>
            <rFont val="Tahoma"/>
            <family val="2"/>
          </rPr>
          <t xml:space="preserve">Note:
</t>
        </r>
        <r>
          <rPr>
            <sz val="14"/>
            <color indexed="81"/>
            <rFont val="Tahoma"/>
            <family val="2"/>
          </rPr>
          <t xml:space="preserve">"Property Tax or PILOT" accounts for costs associated with any local taxes incurred by the project. Many states offer tax exemptions for renewable energy systems; to check your local applicability, please visit: http://dsireusa.org/ 
This line can also be used to account for any PILOTs or Payment in Leiu of Taxes. Developers often negotiate a PILOT with the local community to secure a fixed, predictable payment that serves both parties appropriately. This model allows the user to input a year-one Property Tax or PILOT value along with an annual property tax adjsutment factor (see next cell down). As a result, taxes can be modeled as flat, increasing, or decreasing annually depending on the value entered in the adjustment factor cell below.
Input cannot be less than zero.
</t>
        </r>
      </text>
    </comment>
    <comment ref="F34" authorId="0" shapeId="0" xr:uid="{00000000-0006-0000-0100-000035000000}">
      <text>
        <r>
          <rPr>
            <b/>
            <sz val="8"/>
            <color indexed="81"/>
            <rFont val="Tahoma"/>
            <family val="2"/>
          </rPr>
          <t>See "unit" definitions at the bottom of this worksheet.</t>
        </r>
        <r>
          <rPr>
            <sz val="8"/>
            <color indexed="81"/>
            <rFont val="Tahoma"/>
            <family val="2"/>
          </rPr>
          <t xml:space="preserve">
</t>
        </r>
      </text>
    </comment>
    <comment ref="I34" authorId="0" shapeId="0" xr:uid="{00000000-0006-0000-0100-000036000000}">
      <text>
        <r>
          <rPr>
            <b/>
            <sz val="14"/>
            <color indexed="81"/>
            <rFont val="Tahoma"/>
            <family val="2"/>
          </rPr>
          <t xml:space="preserve">Note:
</t>
        </r>
        <r>
          <rPr>
            <sz val="14"/>
            <color indexed="81"/>
            <rFont val="Tahoma"/>
            <family val="2"/>
          </rPr>
          <t>Based on a review of recently-published geothermal literature, the exploration phase is assumed to include desk-top studies, initial surface exploration, temperature gradient drilling, and, in some cases, deep exploratory drilling -- while the confimration phase is assumed to include continued deep exploratory drilling, resource assessment, and initial production wells (and may therefore be more capital intensive than the exploration phase).
In general terms, the confirmation phase is thought to continue until the developer is able to finance the remainder of project drilling with debt.  In today's market, this will not occur until 100% of the resource has been proven.
In the "Simple" Case, Confirmation Costs are assumed to comprise 15% of non-exploration project costs while well field and power plant costs are assumed to comprise the remaining 85%, including the completion of project drilling.</t>
        </r>
        <r>
          <rPr>
            <b/>
            <sz val="14"/>
            <color indexed="81"/>
            <rFont val="Tahoma"/>
            <family val="2"/>
          </rPr>
          <t xml:space="preserve">
</t>
        </r>
        <r>
          <rPr>
            <sz val="14"/>
            <color indexed="81"/>
            <rFont val="Tahoma"/>
            <family val="2"/>
          </rPr>
          <t>For a detailed description of the concepts and components associated with a geothermal power facility, please refer to the Geothermal Electricity Technology Evaluation Model (GETEM) and related resources -- see link on "Introduction" worksheet.</t>
        </r>
      </text>
    </comment>
    <comment ref="S34" authorId="1" shapeId="0" xr:uid="{00000000-0006-0000-0100-000037000000}">
      <text>
        <r>
          <rPr>
            <b/>
            <sz val="14"/>
            <color indexed="81"/>
            <rFont val="Tahoma"/>
            <family val="2"/>
          </rPr>
          <t xml:space="preserve">Note:
</t>
        </r>
        <r>
          <rPr>
            <sz val="14"/>
            <color indexed="81"/>
            <rFont val="Tahoma"/>
            <family val="2"/>
          </rPr>
          <t xml:space="preserve">The Annual Property Tax Adjustment Factor allows the user to specify whether the Year One tax (or PILOT) value will remain fixed and flat, will decrease (a negative percentage value entered in this cell) or increase (a positive percentage value entered in this cell) over time.  </t>
        </r>
        <r>
          <rPr>
            <sz val="8"/>
            <color indexed="81"/>
            <rFont val="Tahoma"/>
            <family val="2"/>
          </rPr>
          <t xml:space="preserve">
</t>
        </r>
      </text>
    </comment>
    <comment ref="I35" authorId="1" shapeId="0" xr:uid="{00000000-0006-0000-0100-000038000000}">
      <text>
        <r>
          <rPr>
            <b/>
            <sz val="14"/>
            <color indexed="81"/>
            <rFont val="Tahoma"/>
            <family val="2"/>
          </rPr>
          <t>Note:</t>
        </r>
        <r>
          <rPr>
            <sz val="14"/>
            <color indexed="81"/>
            <rFont val="Tahoma"/>
            <family val="2"/>
          </rPr>
          <t xml:space="preserve">
This input is the percentage of confirmation wells that can be used as production wells.</t>
        </r>
        <r>
          <rPr>
            <u/>
            <sz val="14"/>
            <color indexed="81"/>
            <rFont val="Tahoma"/>
            <family val="2"/>
          </rPr>
          <t xml:space="preserve">
</t>
        </r>
        <r>
          <rPr>
            <sz val="14"/>
            <color indexed="81"/>
            <rFont val="Tahoma"/>
            <family val="2"/>
          </rPr>
          <t xml:space="preserve">
</t>
        </r>
      </text>
    </comment>
    <comment ref="S35" authorId="1" shapeId="0" xr:uid="{00000000-0006-0000-0100-000039000000}">
      <text>
        <r>
          <rPr>
            <b/>
            <sz val="14"/>
            <color indexed="81"/>
            <rFont val="Tahoma"/>
            <family val="2"/>
          </rPr>
          <t xml:space="preserve">Note:
</t>
        </r>
        <r>
          <rPr>
            <sz val="14"/>
            <color indexed="81"/>
            <rFont val="Tahoma"/>
            <family val="2"/>
          </rPr>
          <t xml:space="preserve">The Land Lease input represents </t>
        </r>
        <r>
          <rPr>
            <b/>
            <u/>
            <sz val="14"/>
            <color indexed="81"/>
            <rFont val="Tahoma"/>
            <family val="2"/>
          </rPr>
          <t>fixed payments</t>
        </r>
        <r>
          <rPr>
            <sz val="14"/>
            <color indexed="81"/>
            <rFont val="Tahoma"/>
            <family val="2"/>
          </rPr>
          <t xml:space="preserve"> to the site host (and possibly other affected parties) for the use of the land on which the project is located.  
Variable royalty payments may be applied in addition to, or in lieu of, the land lease payment through the "Royalties" input below, if applicable.  
Input cannot be less than zero.
</t>
        </r>
      </text>
    </comment>
    <comment ref="I36" authorId="1" shapeId="0" xr:uid="{00000000-0006-0000-0100-00003A000000}">
      <text>
        <r>
          <rPr>
            <b/>
            <sz val="14"/>
            <color indexed="81"/>
            <rFont val="Tahoma"/>
            <family val="2"/>
          </rPr>
          <t>Note:</t>
        </r>
        <r>
          <rPr>
            <sz val="14"/>
            <color indexed="81"/>
            <rFont val="Tahoma"/>
            <family val="2"/>
          </rPr>
          <t xml:space="preserve">
This input dictates the number of wells required in the confirmation phase.
</t>
        </r>
      </text>
    </comment>
    <comment ref="S36" authorId="1" shapeId="0" xr:uid="{00000000-0006-0000-0100-00003B000000}">
      <text>
        <r>
          <rPr>
            <b/>
            <sz val="14"/>
            <color indexed="81"/>
            <rFont val="Tahoma"/>
            <family val="2"/>
          </rPr>
          <t xml:space="preserve">Note:
</t>
        </r>
        <r>
          <rPr>
            <sz val="14"/>
            <color indexed="81"/>
            <rFont val="Tahoma"/>
            <family val="2"/>
          </rPr>
          <t xml:space="preserve">The royalties input accounts for </t>
        </r>
        <r>
          <rPr>
            <b/>
            <u/>
            <sz val="14"/>
            <color indexed="81"/>
            <rFont val="Tahoma"/>
            <family val="2"/>
          </rPr>
          <t>variable</t>
        </r>
        <r>
          <rPr>
            <sz val="14"/>
            <color indexed="81"/>
            <rFont val="Tahoma"/>
            <family val="2"/>
          </rPr>
          <t xml:space="preserve"> payments to site hosts, neighbors, partners, or other parties which may have a stake in the project and which are NOT covered by the fixed "Land Lease" payment. 
Fixed payments may be applied in addition to, or in lieu of, the royalty payment through the "Land Lease" input above, if applicable.  
</t>
        </r>
        <r>
          <rPr>
            <b/>
            <sz val="14"/>
            <color indexed="81"/>
            <rFont val="Tahoma"/>
            <family val="2"/>
          </rPr>
          <t>Inflation is NOT applied to this input.</t>
        </r>
        <r>
          <rPr>
            <sz val="14"/>
            <color indexed="81"/>
            <rFont val="Tahoma"/>
            <family val="2"/>
          </rPr>
          <t xml:space="preserve"> However, if tariff escalation is selected, then the assumed royalty payment will increase over time since it is calculated as a function of revenue over time.
If the modeled project's royalty payments are not the same over time, then an average annual royalty payment should be calculated externally and entered in this cell. 
This input cannot be less than zero.
</t>
        </r>
        <r>
          <rPr>
            <sz val="8"/>
            <color indexed="81"/>
            <rFont val="Tahoma"/>
            <family val="2"/>
          </rPr>
          <t xml:space="preserve">
</t>
        </r>
      </text>
    </comment>
    <comment ref="I37" authorId="1" shapeId="0" xr:uid="{00000000-0006-0000-0100-00003C000000}">
      <text>
        <r>
          <rPr>
            <b/>
            <sz val="14"/>
            <color indexed="81"/>
            <rFont val="Tahoma"/>
            <family val="2"/>
          </rPr>
          <t>Note:</t>
        </r>
        <r>
          <rPr>
            <sz val="14"/>
            <color indexed="81"/>
            <rFont val="Tahoma"/>
            <family val="2"/>
          </rPr>
          <t xml:space="preserve">
This input includes well related confirmation costs ($/Well), including drilling, site prep, and anything else that is part of the confirmation process and calculated on a per well basis. Drilling costs for confirmation wells may be higher than for production wells, due to the absence of information about each drill site's geologic characteristics prior to drilling.</t>
        </r>
        <r>
          <rPr>
            <u/>
            <sz val="14"/>
            <color indexed="81"/>
            <rFont val="Tahoma"/>
            <family val="2"/>
          </rPr>
          <t xml:space="preserve">
</t>
        </r>
        <r>
          <rPr>
            <sz val="14"/>
            <color indexed="81"/>
            <rFont val="Tahoma"/>
            <family val="2"/>
          </rPr>
          <t>Total Confirmation Costs have been estimated to be between $300/kW and $750/kW in recent third-party public reports.</t>
        </r>
        <r>
          <rPr>
            <u/>
            <sz val="14"/>
            <color indexed="81"/>
            <rFont val="Tahoma"/>
            <family val="2"/>
          </rPr>
          <t xml:space="preserve">
</t>
        </r>
      </text>
    </comment>
    <comment ref="S37" authorId="0" shapeId="0" xr:uid="{00000000-0006-0000-0100-00003D000000}">
      <text>
        <r>
          <rPr>
            <b/>
            <sz val="14"/>
            <color indexed="81"/>
            <rFont val="Tahoma"/>
            <family val="2"/>
          </rPr>
          <t xml:space="preserve">Note:
</t>
        </r>
        <r>
          <rPr>
            <sz val="14"/>
            <color indexed="81"/>
            <rFont val="Tahoma"/>
            <family val="2"/>
          </rPr>
          <t xml:space="preserve">This cell calculates the resulting dollar value cost of royalties paid to landowners or other stakeholders based on the input above and project revenue.  It is provided simply as a reference for the user.
</t>
        </r>
        <r>
          <rPr>
            <sz val="8"/>
            <color indexed="81"/>
            <rFont val="Tahoma"/>
            <family val="2"/>
          </rPr>
          <t xml:space="preserve">
</t>
        </r>
      </text>
    </comment>
    <comment ref="I38" authorId="1" shapeId="0" xr:uid="{00000000-0006-0000-0100-00003E000000}">
      <text>
        <r>
          <rPr>
            <b/>
            <sz val="14"/>
            <color indexed="81"/>
            <rFont val="Tahoma"/>
            <family val="2"/>
          </rPr>
          <t>Note:</t>
        </r>
        <r>
          <rPr>
            <sz val="14"/>
            <color indexed="81"/>
            <rFont val="Tahoma"/>
            <family val="2"/>
          </rPr>
          <t xml:space="preserve">
This input includes total non-well costs that apply to the confirmation process but are not calculated on a per well basis.</t>
        </r>
      </text>
    </comment>
    <comment ref="I39" authorId="1" shapeId="0" xr:uid="{00000000-0006-0000-0100-00003F000000}">
      <text>
        <r>
          <rPr>
            <b/>
            <sz val="14"/>
            <color indexed="81"/>
            <rFont val="Tahoma"/>
            <family val="2"/>
          </rPr>
          <t>Note:</t>
        </r>
        <r>
          <rPr>
            <sz val="14"/>
            <color indexed="81"/>
            <rFont val="Tahoma"/>
            <family val="2"/>
          </rPr>
          <t xml:space="preserve">
This input expresses the number of years over which confirmation activities take place.</t>
        </r>
        <r>
          <rPr>
            <u/>
            <sz val="14"/>
            <color indexed="81"/>
            <rFont val="Tahoma"/>
            <family val="2"/>
          </rPr>
          <t xml:space="preserve">
</t>
        </r>
      </text>
    </comment>
    <comment ref="I40" authorId="1" shapeId="0" xr:uid="{00000000-0006-0000-0100-000040000000}">
      <text>
        <r>
          <rPr>
            <b/>
            <sz val="14"/>
            <color indexed="81"/>
            <rFont val="Tahoma"/>
            <family val="2"/>
          </rPr>
          <t>Note:</t>
        </r>
        <r>
          <rPr>
            <sz val="14"/>
            <color indexed="81"/>
            <rFont val="Tahoma"/>
            <family val="2"/>
          </rPr>
          <t xml:space="preserve">
This input states the portion of the confirmation phase finaced with debt.  While debt financing is not generally available for confirmation activities in today's market, it is posisble that lenders will enter this stage of project development in the future.
Confirmation equity and debt are replaced with permanent financing at the time of commercial operations.</t>
        </r>
      </text>
    </comment>
    <comment ref="S40" authorId="0" shapeId="0" xr:uid="{00000000-0006-0000-0100-000041000000}">
      <text>
        <r>
          <rPr>
            <b/>
            <sz val="14"/>
            <color indexed="81"/>
            <rFont val="Tahoma"/>
            <family val="2"/>
          </rPr>
          <t>Note:</t>
        </r>
        <r>
          <rPr>
            <sz val="14"/>
            <color indexed="81"/>
            <rFont val="Tahoma"/>
            <family val="2"/>
          </rPr>
          <t xml:space="preserve">
For geothermal projects, the most significant capital expenditure expected during operations is the need to drill one or more replacement wells.  These input cells allow for assumptions regarding up to two phases of replacement wells over a project's useful life.  
Caution: Modelers should take into account the contract duration and the project's useful life when considering whether to assume one or two sets of replacement wells. 
This input should be greater than zero and less than the Project Useful Life.
Please refer to the explanation of </t>
        </r>
        <r>
          <rPr>
            <b/>
            <sz val="14"/>
            <color indexed="81"/>
            <rFont val="Tahoma"/>
            <family val="2"/>
          </rPr>
          <t>"Geothermal-Specific Project Performance Inputs"</t>
        </r>
        <r>
          <rPr>
            <sz val="14"/>
            <color indexed="81"/>
            <rFont val="Tahoma"/>
            <family val="2"/>
          </rPr>
          <t xml:space="preserve"> in the User Manual for a more detailed description of the purpose and application of these production-related inputs.
</t>
        </r>
      </text>
    </comment>
    <comment ref="I41" authorId="0" shapeId="0" xr:uid="{00000000-0006-0000-0100-000042000000}">
      <text>
        <r>
          <rPr>
            <b/>
            <sz val="14"/>
            <color indexed="81"/>
            <rFont val="Tahoma"/>
            <family val="2"/>
          </rPr>
          <t xml:space="preserve">Note:
</t>
        </r>
        <r>
          <rPr>
            <sz val="14"/>
            <color indexed="81"/>
            <rFont val="Tahoma"/>
            <family val="2"/>
          </rPr>
          <t>The annual interest rate on construction debt. This input cannot be less than zero.
Again, this rate applies solely to the assumed loan taken specifically for the construction of the power plant and associated project-specific infrastructure.</t>
        </r>
      </text>
    </comment>
    <comment ref="S41" authorId="0" shapeId="0" xr:uid="{00000000-0006-0000-0100-000043000000}">
      <text>
        <r>
          <rPr>
            <b/>
            <sz val="14"/>
            <color indexed="81"/>
            <rFont val="Tahoma"/>
            <family val="2"/>
          </rPr>
          <t>Note:</t>
        </r>
        <r>
          <rPr>
            <sz val="14"/>
            <color indexed="81"/>
            <rFont val="Tahoma"/>
            <family val="2"/>
          </rPr>
          <t xml:space="preserve">
This input specifies the number of replacement wells drilled during the applicable year.
Please refer to the explanation of </t>
        </r>
        <r>
          <rPr>
            <b/>
            <sz val="14"/>
            <color indexed="81"/>
            <rFont val="Tahoma"/>
            <family val="2"/>
          </rPr>
          <t>"Geothermal-Specific Project Performance Inputs"</t>
        </r>
        <r>
          <rPr>
            <sz val="14"/>
            <color indexed="81"/>
            <rFont val="Tahoma"/>
            <family val="2"/>
          </rPr>
          <t xml:space="preserve"> in the User Manual for a more detailed description of the purpose and application of these production-related inputs.</t>
        </r>
      </text>
    </comment>
    <comment ref="I42" authorId="1" shapeId="0" xr:uid="{00000000-0006-0000-0100-000044000000}">
      <text>
        <r>
          <rPr>
            <b/>
            <sz val="14"/>
            <color indexed="81"/>
            <rFont val="Tahoma"/>
            <family val="2"/>
          </rPr>
          <t>Note:</t>
        </r>
        <r>
          <rPr>
            <sz val="14"/>
            <color indexed="81"/>
            <rFont val="Tahoma"/>
            <family val="2"/>
          </rPr>
          <t xml:space="preserve">
Unlike exploration and confirmation - which are assumed to be funded 100% by equity -- the well field and power plant construction phase is likely to be financed with both equity and debt.  
This input states the portion of the construction phase finaced with equity.  Construction equity and debt are replaced with permanent financing at the time of commercial operations.</t>
        </r>
        <r>
          <rPr>
            <u/>
            <sz val="14"/>
            <color indexed="81"/>
            <rFont val="Tahoma"/>
            <family val="2"/>
          </rPr>
          <t xml:space="preserve">
</t>
        </r>
      </text>
    </comment>
    <comment ref="S42" authorId="0" shapeId="0" xr:uid="{00000000-0006-0000-0100-000045000000}">
      <text>
        <r>
          <rPr>
            <b/>
            <sz val="14"/>
            <color indexed="81"/>
            <rFont val="Tahoma"/>
            <family val="2"/>
          </rPr>
          <t xml:space="preserve">Note:
</t>
        </r>
        <r>
          <rPr>
            <sz val="14"/>
            <color indexed="81"/>
            <rFont val="Tahoma"/>
            <family val="2"/>
          </rPr>
          <t>The cost of drilling a replacement well may be difficult to assess since the replacement is likely to take place many years after initial commercial operation.
The input placed in this cell must be in nominal dollars -- reflecting the expected cost in the year replaced. Funds sufficient to pay for these new wells are then reserved through operations in equal amounts until the year in which the replacement occurs.
Note: This model assumes that one-half of future capital expenditures will be depreciated on 5-yr MACRS basis, while the other half will be expensed in the year incurred.
Input must not be less than zero.</t>
        </r>
      </text>
    </comment>
    <comment ref="I43" authorId="1" shapeId="0" xr:uid="{00000000-0006-0000-0100-000046000000}">
      <text>
        <r>
          <rPr>
            <b/>
            <sz val="14"/>
            <color indexed="81"/>
            <rFont val="Tahoma"/>
            <family val="2"/>
          </rPr>
          <t>Note:</t>
        </r>
        <r>
          <rPr>
            <sz val="14"/>
            <color indexed="81"/>
            <rFont val="Tahoma"/>
            <family val="2"/>
          </rPr>
          <t xml:space="preserve">
The target after-tax equity IRR is the equity investor's cost of capital -- or "discount rate" -- and is the rate of return that the project owner will seek to attain in order to justify the project compared to alternative investments. The CREST model assumes a single equity investor taking both cash and tax benefits.  As a result, the target after-tax equity IRR entered here should represent a blend of expected returns for both cash and tax equity investments. 
</t>
        </r>
      </text>
    </comment>
    <comment ref="S43" authorId="1" shapeId="0" xr:uid="{00000000-0006-0000-0100-000047000000}">
      <text>
        <r>
          <rPr>
            <b/>
            <sz val="14"/>
            <color indexed="81"/>
            <rFont val="Tahoma"/>
            <family val="2"/>
          </rPr>
          <t>Note:</t>
        </r>
        <r>
          <rPr>
            <sz val="14"/>
            <color indexed="81"/>
            <rFont val="Tahoma"/>
            <family val="2"/>
          </rPr>
          <t xml:space="preserve">
As geothermal resources lose thermal potential over time, replacement wells may be drilled to boost the project's thermal resource and production. This input refers to the increase in thermal potential from the first set of replacement wells drilled for the project. The input is quantified as a % of the initial total thermal resource. For example, a project with an intial thermal resource potential of 50 MW may drill repacement wells that add 10% of its intiial resource, which would translate to a 5 MW boost in available capacity.
Enter 0% if no replacement wells are planned.</t>
        </r>
        <r>
          <rPr>
            <u/>
            <sz val="14"/>
            <color indexed="81"/>
            <rFont val="Tahoma"/>
            <family val="2"/>
          </rPr>
          <t xml:space="preserve">
</t>
        </r>
        <r>
          <rPr>
            <sz val="14"/>
            <color indexed="81"/>
            <rFont val="Tahoma"/>
            <family val="2"/>
          </rPr>
          <t xml:space="preserve">Please refer to the explanation of </t>
        </r>
        <r>
          <rPr>
            <b/>
            <sz val="14"/>
            <color indexed="81"/>
            <rFont val="Tahoma"/>
            <family val="2"/>
          </rPr>
          <t>"Geothermal-Specific Project Performance Inputs"</t>
        </r>
        <r>
          <rPr>
            <sz val="14"/>
            <color indexed="81"/>
            <rFont val="Tahoma"/>
            <family val="2"/>
          </rPr>
          <t xml:space="preserve"> in the User Manual for a more detailed description of the purpose and application of these production-related inputs.</t>
        </r>
        <r>
          <rPr>
            <u/>
            <sz val="14"/>
            <color indexed="81"/>
            <rFont val="Tahoma"/>
            <family val="2"/>
          </rPr>
          <t xml:space="preserve">
</t>
        </r>
      </text>
    </comment>
    <comment ref="I44" authorId="0" shapeId="0" xr:uid="{00000000-0006-0000-0100-000048000000}">
      <text>
        <r>
          <rPr>
            <b/>
            <sz val="14"/>
            <color indexed="81"/>
            <rFont val="Tahoma"/>
            <family val="2"/>
          </rPr>
          <t>Note:</t>
        </r>
        <r>
          <rPr>
            <sz val="14"/>
            <color indexed="81"/>
            <rFont val="Tahoma"/>
            <family val="2"/>
          </rPr>
          <t xml:space="preserve">
The weighted average cost of equity and debt capital, if applicable, that applies to this specific stage of development.</t>
        </r>
      </text>
    </comment>
    <comment ref="S44" authorId="0" shapeId="0" xr:uid="{00000000-0006-0000-0100-000049000000}">
      <text>
        <r>
          <rPr>
            <b/>
            <sz val="14"/>
            <color indexed="81"/>
            <rFont val="Tahoma"/>
            <family val="2"/>
          </rPr>
          <t>Note:</t>
        </r>
        <r>
          <rPr>
            <sz val="14"/>
            <color indexed="81"/>
            <rFont val="Tahoma"/>
            <family val="2"/>
          </rPr>
          <t xml:space="preserve">
For geothermal projects, the most significant capital expenditure expected during operations is the need to drill one or more replacement wells.  These input cells allow for assumptions regarding up to two phases of replacement wells over a project's useful life.  
Caution: Modelers should take into account the contract duration and the project's useful life when considering whether to assume one or two sets of replacement wells. 
This input should be greater than zero and less than the Project Useful Life.
Please refer to the explanation of "</t>
        </r>
        <r>
          <rPr>
            <b/>
            <sz val="14"/>
            <color indexed="81"/>
            <rFont val="Tahoma"/>
            <family val="2"/>
          </rPr>
          <t>Geothermal-Specific Project Performance Inputs"</t>
        </r>
        <r>
          <rPr>
            <sz val="14"/>
            <color indexed="81"/>
            <rFont val="Tahoma"/>
            <family val="2"/>
          </rPr>
          <t xml:space="preserve"> in the User Manual for a more detailed description of the purpose and application of these production-related inputs.
</t>
        </r>
      </text>
    </comment>
    <comment ref="I45" authorId="1" shapeId="0" xr:uid="{00000000-0006-0000-0100-00004A000000}">
      <text>
        <r>
          <rPr>
            <b/>
            <sz val="14"/>
            <color indexed="81"/>
            <rFont val="Tahoma"/>
            <family val="2"/>
          </rPr>
          <t>Note:</t>
        </r>
        <r>
          <rPr>
            <sz val="14"/>
            <color indexed="81"/>
            <rFont val="Tahoma"/>
            <family val="2"/>
          </rPr>
          <t xml:space="preserve">
Calculation of total confirmation costs. This figure includes the estimated time-value of capital during the confirmation stage, and assumes a draw-down schedule such that the total confirmation cost is outstanding for approximately one-half of the duration of the phase.</t>
        </r>
      </text>
    </comment>
    <comment ref="S45" authorId="0" shapeId="0" xr:uid="{00000000-0006-0000-0100-00004B000000}">
      <text>
        <r>
          <rPr>
            <b/>
            <sz val="14"/>
            <color indexed="81"/>
            <rFont val="Tahoma"/>
            <family val="2"/>
          </rPr>
          <t>Note:</t>
        </r>
        <r>
          <rPr>
            <sz val="14"/>
            <color indexed="81"/>
            <rFont val="Tahoma"/>
            <family val="2"/>
          </rPr>
          <t xml:space="preserve">
This input specifies the number of replacement wells drilled during the applicable year.
</t>
        </r>
        <r>
          <rPr>
            <b/>
            <sz val="14"/>
            <color indexed="81"/>
            <rFont val="Tahoma"/>
            <family val="2"/>
          </rPr>
          <t xml:space="preserve">
</t>
        </r>
        <r>
          <rPr>
            <sz val="14"/>
            <color indexed="81"/>
            <rFont val="Tahoma"/>
            <family val="2"/>
          </rPr>
          <t xml:space="preserve">Please refer to the explanation of </t>
        </r>
        <r>
          <rPr>
            <b/>
            <sz val="14"/>
            <color indexed="81"/>
            <rFont val="Tahoma"/>
            <family val="2"/>
          </rPr>
          <t>"Geothermal-Specific Project Performance Inputs"</t>
        </r>
        <r>
          <rPr>
            <sz val="14"/>
            <color indexed="81"/>
            <rFont val="Tahoma"/>
            <family val="2"/>
          </rPr>
          <t xml:space="preserve"> in the User Manual for a more detailed description of the purpose and application of these production-related inputs.</t>
        </r>
      </text>
    </comment>
    <comment ref="I46" authorId="0" shapeId="0" xr:uid="{00000000-0006-0000-0100-00004C000000}">
      <text>
        <r>
          <rPr>
            <b/>
            <sz val="14"/>
            <color indexed="81"/>
            <rFont val="Tahoma"/>
            <family val="2"/>
          </rPr>
          <t>Note:</t>
        </r>
        <r>
          <rPr>
            <sz val="14"/>
            <color indexed="81"/>
            <rFont val="Tahoma"/>
            <family val="2"/>
          </rPr>
          <t xml:space="preserve">
Links the user to the Complex Inputs tab.</t>
        </r>
      </text>
    </comment>
    <comment ref="S46" authorId="0" shapeId="0" xr:uid="{00000000-0006-0000-0100-00004D000000}">
      <text>
        <r>
          <rPr>
            <b/>
            <sz val="14"/>
            <color indexed="81"/>
            <rFont val="Tahoma"/>
            <family val="2"/>
          </rPr>
          <t xml:space="preserve">Note:
</t>
        </r>
        <r>
          <rPr>
            <sz val="14"/>
            <color indexed="81"/>
            <rFont val="Tahoma"/>
            <family val="2"/>
          </rPr>
          <t>The cost of drilling a replacement well may be difficult to assess since the replacement is likely to take place many years after initial commercial operation.
The input placed in this cell must be in nominal dollars -- reflecting the expected cost in the year replaced. Funds sufficient to pay for these new wells are then reserved through operations in equal amounts until the year in which the replacement occurs.
Note: This model assumes that one-half of future capital expenditures will be depreciated on 5-yr MACRS basis, while the other half will be expensed in the year incurred.
Input must not be less than zero.</t>
        </r>
      </text>
    </comment>
    <comment ref="I47" authorId="1" shapeId="0" xr:uid="{00000000-0006-0000-0100-00004E000000}">
      <text>
        <r>
          <rPr>
            <b/>
            <sz val="14"/>
            <color indexed="81"/>
            <rFont val="Tahoma"/>
            <family val="2"/>
          </rPr>
          <t>Note:</t>
        </r>
        <r>
          <rPr>
            <sz val="14"/>
            <color indexed="81"/>
            <rFont val="Tahoma"/>
            <family val="2"/>
          </rPr>
          <t xml:space="preserve">
Calculation of total confirmation costs. This figure includes the estimated time-value of capital during the confirmation stage, and assumes a draw-down schedule such that the total confirmation cost is outstanding for approximately one-half of the duration of the phase.</t>
        </r>
      </text>
    </comment>
    <comment ref="S47" authorId="1" shapeId="0" xr:uid="{00000000-0006-0000-0100-00004F000000}">
      <text>
        <r>
          <rPr>
            <b/>
            <sz val="14"/>
            <color indexed="81"/>
            <rFont val="Tahoma"/>
            <family val="2"/>
          </rPr>
          <t>Note:</t>
        </r>
        <r>
          <rPr>
            <sz val="14"/>
            <color indexed="81"/>
            <rFont val="Tahoma"/>
            <family val="2"/>
          </rPr>
          <t xml:space="preserve">
As geothermal resources lose thermal potential over time, replacement wells may be drilled to boost the project's thermal resource and production. This input refers to the increase in thermal potential from the second set of replacement wells drilled for the project. The input is quantified as a % of the initial total thermal resource. For example, a project with an intial thermal resource potential of 50 MW may drill repacement wells that add 10% of its intiial resource, which would translate to a 5 MW boost in available capacity.
Enter 0% if no replacement wells are planned.
Please refer to the explanation of </t>
        </r>
        <r>
          <rPr>
            <b/>
            <sz val="14"/>
            <color indexed="81"/>
            <rFont val="Tahoma"/>
            <family val="2"/>
          </rPr>
          <t>"Geothermal-Specific Project Performance Inputs"</t>
        </r>
        <r>
          <rPr>
            <sz val="14"/>
            <color indexed="81"/>
            <rFont val="Tahoma"/>
            <family val="2"/>
          </rPr>
          <t xml:space="preserve"> in the User Manual for a more detailed description of the purpose and application of these production-related inputs.</t>
        </r>
      </text>
    </comment>
    <comment ref="I49" authorId="1" shapeId="0" xr:uid="{00000000-0006-0000-0100-000050000000}">
      <text>
        <r>
          <rPr>
            <b/>
            <sz val="14"/>
            <color indexed="81"/>
            <rFont val="Tahoma"/>
            <family val="2"/>
          </rPr>
          <t>Note:</t>
        </r>
        <r>
          <rPr>
            <sz val="14"/>
            <color indexed="81"/>
            <rFont val="Tahoma"/>
            <family val="2"/>
          </rPr>
          <t xml:space="preserve">
This figure includes the accruing return on equity requirement for the period from completion of exploration until permanent financing/commercial operation.</t>
        </r>
      </text>
    </comment>
    <comment ref="P49" authorId="0" shapeId="0" xr:uid="{00000000-0006-0000-0100-000051000000}">
      <text>
        <r>
          <rPr>
            <b/>
            <sz val="8"/>
            <color indexed="81"/>
            <rFont val="Tahoma"/>
            <family val="2"/>
          </rPr>
          <t>See "unit" definitions at the bottom of this worksheet.</t>
        </r>
        <r>
          <rPr>
            <sz val="8"/>
            <color indexed="81"/>
            <rFont val="Tahoma"/>
            <family val="2"/>
          </rPr>
          <t xml:space="preserve">
</t>
        </r>
      </text>
    </comment>
    <comment ref="F51" authorId="0" shapeId="0" xr:uid="{00000000-0006-0000-0100-000052000000}">
      <text>
        <r>
          <rPr>
            <b/>
            <sz val="8"/>
            <color indexed="81"/>
            <rFont val="Tahoma"/>
            <family val="2"/>
          </rPr>
          <t>See "unit" definitions at the bottom of this worksheet.</t>
        </r>
        <r>
          <rPr>
            <sz val="8"/>
            <color indexed="81"/>
            <rFont val="Tahoma"/>
            <family val="2"/>
          </rPr>
          <t xml:space="preserve">
</t>
        </r>
      </text>
    </comment>
    <comment ref="I51" authorId="0" shapeId="0" xr:uid="{00000000-0006-0000-0100-000053000000}">
      <text>
        <r>
          <rPr>
            <b/>
            <sz val="14"/>
            <color indexed="81"/>
            <rFont val="Tahoma"/>
            <family val="2"/>
          </rPr>
          <t xml:space="preserve">Note:
</t>
        </r>
        <r>
          <rPr>
            <sz val="14"/>
            <color indexed="81"/>
            <rFont val="Tahoma"/>
            <family val="2"/>
          </rPr>
          <t xml:space="preserve">In the "Simple" Case, Confirmation Costs are assumed to comprise 15% of non-exploration project costs while well field and power plant costs are assumed to comprise the remaining 85%, including the completion of project drilling.
</t>
        </r>
      </text>
    </comment>
    <comment ref="S51" authorId="1" shapeId="0" xr:uid="{00000000-0006-0000-0100-000054000000}">
      <text>
        <r>
          <rPr>
            <b/>
            <sz val="14"/>
            <color indexed="81"/>
            <rFont val="Tahoma"/>
            <family val="2"/>
          </rPr>
          <t xml:space="preserve">Note:
</t>
        </r>
        <r>
          <rPr>
            <sz val="14"/>
            <color indexed="81"/>
            <rFont val="Tahoma"/>
            <family val="2"/>
          </rPr>
          <t xml:space="preserve">In order to ensure that project owners have sufficient funds to decommission and remove equipment at the end of a project's life, many owners choose to create and fund a reserve account throughout the course of project. 
This input cell allows the modeler to choose whether to pay for project removal by creating and funding a reserve account over the project life by selecting "Operations" or to assume that a project's removal will be funded by selling the equipment, by selecting "Salvage".
</t>
        </r>
      </text>
    </comment>
    <comment ref="I52" authorId="1" shapeId="0" xr:uid="{00000000-0006-0000-0100-000055000000}">
      <text>
        <r>
          <rPr>
            <b/>
            <sz val="14"/>
            <color indexed="81"/>
            <rFont val="Tahoma"/>
            <family val="2"/>
          </rPr>
          <t>Note:</t>
        </r>
        <r>
          <rPr>
            <sz val="14"/>
            <color indexed="81"/>
            <rFont val="Tahoma"/>
            <family val="2"/>
          </rPr>
          <t xml:space="preserve">
This input expresses the number of years over which well field and power plant construction take place.</t>
        </r>
        <r>
          <rPr>
            <u/>
            <sz val="14"/>
            <color indexed="81"/>
            <rFont val="Tahoma"/>
            <family val="2"/>
          </rPr>
          <t xml:space="preserve">
</t>
        </r>
      </text>
    </comment>
    <comment ref="S52" authorId="0" shapeId="0" xr:uid="{00000000-0006-0000-0100-000056000000}">
      <text>
        <r>
          <rPr>
            <b/>
            <sz val="14"/>
            <color indexed="81"/>
            <rFont val="Tahoma"/>
            <family val="2"/>
          </rPr>
          <t>Note:</t>
        </r>
        <r>
          <rPr>
            <sz val="14"/>
            <color indexed="81"/>
            <rFont val="Tahoma"/>
            <family val="2"/>
          </rPr>
          <t xml:space="preserve">
This input cell allows the user to assume the creation of a reserve account. The value entered here will be accounted for in the project's cash flow, and would be funded evenly over the number of years available between the project's commercial operation and the end of its useful life.
Input cannot be less than zero.
</t>
        </r>
      </text>
    </comment>
    <comment ref="I53" authorId="1" shapeId="0" xr:uid="{00000000-0006-0000-0100-000057000000}">
      <text>
        <r>
          <rPr>
            <b/>
            <sz val="14"/>
            <color indexed="81"/>
            <rFont val="Tahoma"/>
            <family val="2"/>
          </rPr>
          <t>Note:</t>
        </r>
        <r>
          <rPr>
            <sz val="14"/>
            <color indexed="81"/>
            <rFont val="Tahoma"/>
            <family val="2"/>
          </rPr>
          <t xml:space="preserve">
Unlike exploration and confirmation - which are assumed to be funded 100% by equity -- the well field and power plant construction phase is likely to be financed at least partially with debt.  
This input states the portion of the construction phase finaced with debt.  Construction equity and debt are replaced with permanent financing at the time of commercial operations.</t>
        </r>
        <r>
          <rPr>
            <u/>
            <sz val="14"/>
            <color indexed="81"/>
            <rFont val="Tahoma"/>
            <family val="2"/>
          </rPr>
          <t xml:space="preserve">
</t>
        </r>
      </text>
    </comment>
    <comment ref="I54" authorId="0" shapeId="0" xr:uid="{00000000-0006-0000-0100-000058000000}">
      <text>
        <r>
          <rPr>
            <b/>
            <sz val="14"/>
            <color indexed="81"/>
            <rFont val="Tahoma"/>
            <family val="2"/>
          </rPr>
          <t xml:space="preserve">Note:
</t>
        </r>
        <r>
          <rPr>
            <sz val="14"/>
            <color indexed="81"/>
            <rFont val="Tahoma"/>
            <family val="2"/>
          </rPr>
          <t>The annual interest rate on construction debt. This input cannot be less than zero.
Again, this rate applies solely to the assumed loan taken specifically for the construction of the power plant and associated project-specific infrastructure.</t>
        </r>
      </text>
    </comment>
    <comment ref="P54" authorId="0" shapeId="0" xr:uid="{00000000-0006-0000-0100-000059000000}">
      <text>
        <r>
          <rPr>
            <b/>
            <sz val="8"/>
            <color indexed="81"/>
            <rFont val="Tahoma"/>
            <family val="2"/>
          </rPr>
          <t>See "unit" definitions at the bottom of this worksheet.</t>
        </r>
        <r>
          <rPr>
            <sz val="8"/>
            <color indexed="81"/>
            <rFont val="Tahoma"/>
            <family val="2"/>
          </rPr>
          <t xml:space="preserve">
</t>
        </r>
      </text>
    </comment>
    <comment ref="I55" authorId="1" shapeId="0" xr:uid="{00000000-0006-0000-0100-00005A000000}">
      <text>
        <r>
          <rPr>
            <b/>
            <sz val="14"/>
            <color indexed="81"/>
            <rFont val="Tahoma"/>
            <family val="2"/>
          </rPr>
          <t>Note:</t>
        </r>
        <r>
          <rPr>
            <sz val="14"/>
            <color indexed="81"/>
            <rFont val="Tahoma"/>
            <family val="2"/>
          </rPr>
          <t xml:space="preserve">
Unlike exploration and confirmation - which are assumed to be funded 100% by equity -- the well field and power plant construction phase is likely to be financed with both equity and debt.  
This input states the portion of the construction phase finaced with equity.  Construction equity and debt are replaced with permanent financing at the time of commercial operations.</t>
        </r>
        <r>
          <rPr>
            <u/>
            <sz val="14"/>
            <color indexed="81"/>
            <rFont val="Tahoma"/>
            <family val="2"/>
          </rPr>
          <t xml:space="preserve">
</t>
        </r>
      </text>
    </comment>
    <comment ref="S55" authorId="0" shapeId="0" xr:uid="{00000000-0006-0000-0100-00005B000000}">
      <text>
        <r>
          <rPr>
            <b/>
            <sz val="14"/>
            <color indexed="81"/>
            <rFont val="Tahoma"/>
            <family val="2"/>
          </rPr>
          <t xml:space="preserve">Note:
</t>
        </r>
        <r>
          <rPr>
            <sz val="14"/>
            <color indexed="81"/>
            <rFont val="Tahoma"/>
            <family val="2"/>
          </rPr>
          <t>This drop-down input cell allows the user to specify whether federal incentives are cost-based (e.g. an investment tax credit) or performance-based (e.g. a PTC). The magnitude and terms of these incentives are set in the cells below.
For more information, a useful resource for researching federal and state incentives online is:  
http://dsireusa.org/
*See bottom of introduction page for a list of links</t>
        </r>
      </text>
    </comment>
    <comment ref="I56" authorId="1" shapeId="0" xr:uid="{00000000-0006-0000-0100-00005C000000}">
      <text>
        <r>
          <rPr>
            <b/>
            <sz val="14"/>
            <color indexed="81"/>
            <rFont val="Tahoma"/>
            <family val="2"/>
          </rPr>
          <t>Note:</t>
        </r>
        <r>
          <rPr>
            <sz val="14"/>
            <color indexed="81"/>
            <rFont val="Tahoma"/>
            <family val="2"/>
          </rPr>
          <t xml:space="preserve">
The target after-tax equity IRR is the equity investor's cost of capital -- or "discount rate" -- and is the rate of return that the project owner will seek to attain in order to justify the project compared to alternative investments. The CREST model assumes a single equity investor taking both cash and tax benefits.  As a result, the target after-tax equity IRR entered here should represent a blend of expected returns for both cash and tax equity investments. 
</t>
        </r>
      </text>
    </comment>
    <comment ref="S56" authorId="1" shapeId="0" xr:uid="{00000000-0006-0000-0100-00005D000000}">
      <text>
        <r>
          <rPr>
            <b/>
            <sz val="14"/>
            <color indexed="81"/>
            <rFont val="Tahoma"/>
            <family val="2"/>
          </rPr>
          <t xml:space="preserve">Note:
</t>
        </r>
        <r>
          <rPr>
            <sz val="14"/>
            <color indexed="81"/>
            <rFont val="Tahoma"/>
            <family val="2"/>
          </rPr>
          <t>Some renewable energy projects may be eligible to take advantage of Federal incentives such as the Investment Tax Credit or a cash payment from the Treasury Grant in lieu of the ITC (under Section 1603). 
The CREST model assumes that the ITC or Section 1603 cash grant, as applicable, flows to the project's equity provider in the first commercial operation year - rather than reducing the project's assumed initial installed cost.  The exception to this rule occurs when "carried forward" is selected in the Tax section.  In this case, net operating losses are rolled forward while the tax benefits are used internally by the project.
Information on eligibility for funding opportunities such as these is available online at:
http://dsireusa.org/incentives/incentive.cfm?Incentive_Code=US02F&amp;re=1&amp;ee=1</t>
        </r>
        <r>
          <rPr>
            <b/>
            <sz val="14"/>
            <color indexed="81"/>
            <rFont val="Tahoma"/>
            <family val="2"/>
          </rPr>
          <t xml:space="preserve">
</t>
        </r>
        <r>
          <rPr>
            <sz val="14"/>
            <color indexed="81"/>
            <rFont val="Tahoma"/>
            <family val="2"/>
          </rPr>
          <t xml:space="preserve">
*See bottom of introduction page for a list of links
</t>
        </r>
      </text>
    </comment>
    <comment ref="I57" authorId="0" shapeId="0" xr:uid="{00000000-0006-0000-0100-00005E000000}">
      <text>
        <r>
          <rPr>
            <b/>
            <sz val="14"/>
            <color indexed="81"/>
            <rFont val="Tahoma"/>
            <family val="2"/>
          </rPr>
          <t>Note:</t>
        </r>
        <r>
          <rPr>
            <sz val="14"/>
            <color indexed="81"/>
            <rFont val="Tahoma"/>
            <family val="2"/>
          </rPr>
          <t xml:space="preserve">
The weighted average cost of equity and debt capital, if applicable, that applies to this specific stage of development.</t>
        </r>
      </text>
    </comment>
    <comment ref="S57" authorId="0" shapeId="0" xr:uid="{00000000-0006-0000-0100-00005F000000}">
      <text>
        <r>
          <rPr>
            <b/>
            <sz val="14"/>
            <color indexed="81"/>
            <rFont val="Tahoma"/>
            <family val="2"/>
          </rPr>
          <t xml:space="preserve">NOTE:
</t>
        </r>
        <r>
          <rPr>
            <sz val="14"/>
            <color indexed="81"/>
            <rFont val="Tahoma"/>
            <family val="2"/>
          </rPr>
          <t>The maximum potential Investment Tax Credit (ITC) benefit is assumed to be 30% of those project costs which are depreciable on the 5-year MACRS schedule.  This assumption is purposefully simplified for this analysis.  Project costs depreciated on other bases may also be eligible for the ITC.  Developers should consult with tax counsel for project-specific depreciation and ITC treatment of each project cost.
Should geothermal's eligibility for the 30% ITC expire, this input allows the user to select the historic 10% ITC instead.</t>
        </r>
        <r>
          <rPr>
            <sz val="8"/>
            <color indexed="81"/>
            <rFont val="Tahoma"/>
            <family val="2"/>
          </rPr>
          <t xml:space="preserve">
</t>
        </r>
      </text>
    </comment>
    <comment ref="I59" authorId="1" shapeId="0" xr:uid="{00000000-0006-0000-0100-000060000000}">
      <text>
        <r>
          <rPr>
            <b/>
            <sz val="14"/>
            <color indexed="81"/>
            <rFont val="Tahoma"/>
            <family val="2"/>
          </rPr>
          <t>Note:</t>
        </r>
        <r>
          <rPr>
            <sz val="14"/>
            <color indexed="81"/>
            <rFont val="Tahoma"/>
            <family val="2"/>
          </rPr>
          <t xml:space="preserve">
Total number of production wells drilled in addition to the successful confirmation wells that can be used as production wells.  </t>
        </r>
        <r>
          <rPr>
            <u/>
            <sz val="14"/>
            <color indexed="81"/>
            <rFont val="Tahoma"/>
            <family val="2"/>
          </rPr>
          <t xml:space="preserve">
</t>
        </r>
        <r>
          <rPr>
            <sz val="14"/>
            <color indexed="81"/>
            <rFont val="Tahoma"/>
            <family val="2"/>
          </rPr>
          <t xml:space="preserve">
</t>
        </r>
      </text>
    </comment>
    <comment ref="S59" authorId="0" shapeId="0" xr:uid="{00000000-0006-0000-0100-000061000000}">
      <text>
        <r>
          <rPr>
            <b/>
            <sz val="14"/>
            <color indexed="81"/>
            <rFont val="Tahoma"/>
            <family val="2"/>
          </rPr>
          <t xml:space="preserve">Note:
</t>
        </r>
        <r>
          <rPr>
            <sz val="14"/>
            <color indexed="81"/>
            <rFont val="Tahoma"/>
            <family val="2"/>
          </rPr>
          <t xml:space="preserve">Calculates the dollar value of the Investment Tax Credit or Cash Grant, if applicable.
</t>
        </r>
      </text>
    </comment>
    <comment ref="I60" authorId="1" shapeId="0" xr:uid="{00000000-0006-0000-0100-000062000000}">
      <text>
        <r>
          <rPr>
            <b/>
            <sz val="14"/>
            <color indexed="81"/>
            <rFont val="Tahoma"/>
            <family val="2"/>
          </rPr>
          <t>Note:</t>
        </r>
        <r>
          <rPr>
            <sz val="14"/>
            <color indexed="81"/>
            <rFont val="Tahoma"/>
            <family val="2"/>
          </rPr>
          <t xml:space="preserve">
This field represents the number of injection wells per production well. For example, if a project requires one injection well per production well, the ratio would be 1. Two injection wells for every 4 production wells would be 0.5.</t>
        </r>
        <r>
          <rPr>
            <u/>
            <sz val="14"/>
            <color indexed="81"/>
            <rFont val="Tahoma"/>
            <family val="2"/>
          </rPr>
          <t xml:space="preserve">
</t>
        </r>
      </text>
    </comment>
    <comment ref="S60" authorId="0" shapeId="0" xr:uid="{00000000-0006-0000-0100-000063000000}">
      <text>
        <r>
          <rPr>
            <b/>
            <sz val="14"/>
            <color indexed="81"/>
            <rFont val="Tahoma"/>
            <family val="2"/>
          </rPr>
          <t xml:space="preserve">Note: </t>
        </r>
        <r>
          <rPr>
            <sz val="14"/>
            <color indexed="81"/>
            <rFont val="Tahoma"/>
            <family val="2"/>
          </rPr>
          <t xml:space="preserve">
This input cell, the "Performance Based Incentive" or "PBI" is another potential incentive available to some specific projects. The PBI would be separate from a feed-in-tariff, but acts similarly in that it is per unit of production (typically kWh) income to a project.
Some examples of PBIs include the Federal Production Tax Credit (applicable to private projects with tax appetites) and the Federal Renewable Energy Production Incentive (REPI), historically available to some public projects.
</t>
        </r>
      </text>
    </comment>
    <comment ref="I61" authorId="1" shapeId="0" xr:uid="{00000000-0006-0000-0100-000064000000}">
      <text>
        <r>
          <rPr>
            <b/>
            <sz val="14"/>
            <color indexed="81"/>
            <rFont val="Tahoma"/>
            <family val="2"/>
          </rPr>
          <t>Note:</t>
        </r>
        <r>
          <rPr>
            <sz val="14"/>
            <color indexed="81"/>
            <rFont val="Tahoma"/>
            <family val="2"/>
          </rPr>
          <t xml:space="preserve">
The cost of each production well, including drilling, site prep, and anything else that is part of the confirmation process and calculated on a per well basis.</t>
        </r>
      </text>
    </comment>
    <comment ref="S61" authorId="0" shapeId="0" xr:uid="{00000000-0006-0000-0100-000065000000}">
      <text>
        <r>
          <rPr>
            <b/>
            <sz val="14"/>
            <color indexed="81"/>
            <rFont val="Tahoma"/>
            <family val="2"/>
          </rPr>
          <t xml:space="preserve">Note: </t>
        </r>
        <r>
          <rPr>
            <sz val="14"/>
            <color indexed="81"/>
            <rFont val="Tahoma"/>
            <family val="2"/>
          </rPr>
          <t xml:space="preserve">
This cell denotes the value of the Performance Based Incentive applicable to the project's first year of commercial operation. In some cases, this value will need to be calculated external to the model if such PBI is derived from a "base year" and specified inflation index. The following cells can be used to account for inflation and the maximum term of eligibility.
Input cannot be less than zero.
</t>
        </r>
      </text>
    </comment>
    <comment ref="I62" authorId="1" shapeId="0" xr:uid="{00000000-0006-0000-0100-000066000000}">
      <text>
        <r>
          <rPr>
            <b/>
            <sz val="14"/>
            <color indexed="81"/>
            <rFont val="Tahoma"/>
            <family val="2"/>
          </rPr>
          <t>Note:</t>
        </r>
        <r>
          <rPr>
            <sz val="14"/>
            <color indexed="81"/>
            <rFont val="Tahoma"/>
            <family val="2"/>
          </rPr>
          <t xml:space="preserve">
The cost of each production well, including drilling, site prep, and anything else that is part of the confirmation process and calculated on a per well basis.</t>
        </r>
      </text>
    </comment>
    <comment ref="I63" authorId="1" shapeId="0" xr:uid="{00000000-0006-0000-0100-000067000000}">
      <text>
        <r>
          <rPr>
            <b/>
            <sz val="14"/>
            <color indexed="81"/>
            <rFont val="Tahoma"/>
            <family val="2"/>
          </rPr>
          <t>Note:</t>
        </r>
        <r>
          <rPr>
            <sz val="14"/>
            <color indexed="81"/>
            <rFont val="Tahoma"/>
            <family val="2"/>
          </rPr>
          <t xml:space="preserve">
Non-well costs that apply to the wellfield and drililng costs, are not calculated on a per well basis, and are not included in the confirmation phase.</t>
        </r>
      </text>
    </comment>
    <comment ref="S63" authorId="0" shapeId="0" xr:uid="{00000000-0006-0000-0100-000068000000}">
      <text>
        <r>
          <rPr>
            <b/>
            <sz val="14"/>
            <color indexed="81"/>
            <rFont val="Tahoma"/>
            <family val="2"/>
          </rPr>
          <t>Note:</t>
        </r>
        <r>
          <rPr>
            <sz val="14"/>
            <color indexed="81"/>
            <rFont val="Tahoma"/>
            <family val="2"/>
          </rPr>
          <t xml:space="preserve">
This is the length of time that a project would be eligible for any Performance Based Incentives outlined in the cell immediately above. For example, the Federal Renewable Energy Production Incentive and Production Tax Credit incentives are available for the first 10 years of project operation.
Input cannot be less than zero.
</t>
        </r>
      </text>
    </comment>
    <comment ref="I64" authorId="1" shapeId="0" xr:uid="{00000000-0006-0000-0100-000069000000}">
      <text>
        <r>
          <rPr>
            <b/>
            <sz val="14"/>
            <color indexed="81"/>
            <rFont val="Tahoma"/>
            <family val="2"/>
          </rPr>
          <t>Note:</t>
        </r>
        <r>
          <rPr>
            <sz val="14"/>
            <color indexed="81"/>
            <rFont val="Tahoma"/>
            <family val="2"/>
          </rPr>
          <t xml:space="preserve">
Calculation of total wellfield and drilling costs including production and injection wells, but excluding the confirmation phase.  
COD = Commercial Operation Date
</t>
        </r>
      </text>
    </comment>
    <comment ref="S64" authorId="0" shapeId="0" xr:uid="{00000000-0006-0000-0100-00006A000000}">
      <text>
        <r>
          <rPr>
            <b/>
            <sz val="14"/>
            <color indexed="81"/>
            <rFont val="Tahoma"/>
            <family val="2"/>
          </rPr>
          <t xml:space="preserve">Note:
</t>
        </r>
        <r>
          <rPr>
            <sz val="14"/>
            <color indexed="81"/>
            <rFont val="Tahoma"/>
            <family val="2"/>
          </rPr>
          <t xml:space="preserve">Performance Based Incentives are often adjusted to account for inflation. For example, the Federal Production Tax Credit (PTC) is adjusted each year to account for changes in the GDP IPD index. This cell can be used as a proxy for the inflation that would apply to any PBI incentive entered above.
This input cannot be left blank.
</t>
        </r>
        <r>
          <rPr>
            <sz val="8"/>
            <color indexed="81"/>
            <rFont val="Tahoma"/>
            <family val="2"/>
          </rPr>
          <t xml:space="preserve">
</t>
        </r>
      </text>
    </comment>
    <comment ref="I65" authorId="1" shapeId="0" xr:uid="{00000000-0006-0000-0100-00006B000000}">
      <text>
        <r>
          <rPr>
            <b/>
            <sz val="14"/>
            <color indexed="81"/>
            <rFont val="Tahoma"/>
            <family val="2"/>
          </rPr>
          <t>Note:</t>
        </r>
        <r>
          <rPr>
            <sz val="14"/>
            <color indexed="81"/>
            <rFont val="Tahoma"/>
            <family val="2"/>
          </rPr>
          <t xml:space="preserve">
"Power Plant" should include all hardware, such as boilers and steam turbines. 
Caution: the model assumes that if "Intermediate" is selected as the level of detail section, the "Generation Equipment" row must have a value greater than zero. 
</t>
        </r>
      </text>
    </comment>
    <comment ref="S65" authorId="1" shapeId="0" xr:uid="{00000000-0006-0000-0100-00006C000000}">
      <text>
        <r>
          <rPr>
            <b/>
            <sz val="14"/>
            <color indexed="81"/>
            <rFont val="Tahoma"/>
            <family val="2"/>
          </rPr>
          <t xml:space="preserve">Note:
</t>
        </r>
        <r>
          <rPr>
            <sz val="14"/>
            <color indexed="81"/>
            <rFont val="Tahoma"/>
            <family val="2"/>
          </rPr>
          <t xml:space="preserve">Some renewable energy projects may be eligible for other federal grants as well, such as funding from the U.S. Department of Agriculture. This input cell can be used to capture those funding opportunities, some of which are outlined online at:
http://dsireusa.org/incentives/index.cfm?state=us&amp;re=1&amp;EE=1
*See bottom of introduction page for a list of links
Input cannot be less than zero.
</t>
        </r>
      </text>
    </comment>
    <comment ref="I66" authorId="1" shapeId="0" xr:uid="{00000000-0006-0000-0100-00006D000000}">
      <text>
        <r>
          <rPr>
            <b/>
            <sz val="14"/>
            <color indexed="81"/>
            <rFont val="Tahoma"/>
            <family val="2"/>
          </rPr>
          <t>Note:</t>
        </r>
        <r>
          <rPr>
            <sz val="14"/>
            <color indexed="81"/>
            <rFont val="Tahoma"/>
            <family val="2"/>
          </rPr>
          <t xml:space="preserve">
This calculation is provided as a reference point and is based solely on the power plant cost, and NOT the total system cost. </t>
        </r>
        <r>
          <rPr>
            <sz val="8"/>
            <color indexed="81"/>
            <rFont val="Tahoma"/>
            <family val="2"/>
          </rPr>
          <t xml:space="preserve">
</t>
        </r>
      </text>
    </comment>
    <comment ref="S66" authorId="0" shapeId="0" xr:uid="{00000000-0006-0000-0100-00006E000000}">
      <text>
        <r>
          <rPr>
            <b/>
            <sz val="14"/>
            <color indexed="81"/>
            <rFont val="Tahoma"/>
            <family val="2"/>
          </rPr>
          <t xml:space="preserve">Note:
</t>
        </r>
        <r>
          <rPr>
            <sz val="14"/>
            <color indexed="81"/>
            <rFont val="Tahoma"/>
            <family val="2"/>
          </rPr>
          <t xml:space="preserve">Select here whether federal grants (other than the section 1603 payment in lieu of the ITC/PTC) are treated as taxable income. If no, depreciation basis is reduced. 
</t>
        </r>
      </text>
    </comment>
    <comment ref="I67" authorId="1" shapeId="0" xr:uid="{00000000-0006-0000-0100-00006F000000}">
      <text>
        <r>
          <rPr>
            <b/>
            <sz val="14"/>
            <color indexed="81"/>
            <rFont val="Tahoma"/>
            <family val="2"/>
          </rPr>
          <t>Note:</t>
        </r>
        <r>
          <rPr>
            <sz val="14"/>
            <color indexed="81"/>
            <rFont val="Tahoma"/>
            <family val="2"/>
          </rPr>
          <t xml:space="preserve">
The "Interconnection" row should account for all project costs relating to connecting to the grid, such as the construction of transmission lines, permitting costs with the utility, and start-up costs. This category will also include the cost of a new substation, if necessary.
Regulators wishing to explore the potential that interconnection costs may be recovered from ratepayers separately can elect to enter zeros in this cost category whenever "Intermediate" or "Complex" is selected.
Input cannot be less than zero.
</t>
        </r>
      </text>
    </comment>
    <comment ref="I68" authorId="1" shapeId="0" xr:uid="{00000000-0006-0000-0100-000070000000}">
      <text>
        <r>
          <rPr>
            <b/>
            <sz val="14"/>
            <color indexed="81"/>
            <rFont val="Tahoma"/>
            <family val="2"/>
          </rPr>
          <t>Note:</t>
        </r>
        <r>
          <rPr>
            <sz val="14"/>
            <color indexed="81"/>
            <rFont val="Tahoma"/>
            <family val="2"/>
          </rPr>
          <t xml:space="preserve">
The "Reserves &amp; Financing Costs" row accounts for all costs relating to financing, such as lender fees, closing costs, legal fees, interest during construction, due diligence costs, and any other relevant, financing relating costs. The model calculates this field by aggregating G22 through G25, G51, G54, G63, G66, Q57 and Q60.
</t>
        </r>
      </text>
    </comment>
    <comment ref="P68" authorId="0" shapeId="0" xr:uid="{00000000-0006-0000-0100-000071000000}">
      <text>
        <r>
          <rPr>
            <b/>
            <sz val="8"/>
            <color indexed="81"/>
            <rFont val="Tahoma"/>
            <family val="2"/>
          </rPr>
          <t>See "unit" definitions at the bottom of this worksheet.</t>
        </r>
        <r>
          <rPr>
            <sz val="8"/>
            <color indexed="81"/>
            <rFont val="Tahoma"/>
            <family val="2"/>
          </rPr>
          <t xml:space="preserve">
</t>
        </r>
      </text>
    </comment>
    <comment ref="I69" authorId="1" shapeId="0" xr:uid="{00000000-0006-0000-0100-000072000000}">
      <text>
        <r>
          <rPr>
            <b/>
            <sz val="14"/>
            <color indexed="81"/>
            <rFont val="Tahoma"/>
            <family val="2"/>
          </rPr>
          <t>Note:</t>
        </r>
        <r>
          <rPr>
            <sz val="14"/>
            <color indexed="81"/>
            <rFont val="Tahoma"/>
            <family val="2"/>
          </rPr>
          <t xml:space="preserve">
If you wish to enter your project costs under the "Complex" format, select Complex from the drop-down menu and use the link to the left to access additional worksheets which provide the opportunitiy to add significant, additional detail on project costs. Once complete, the model will roll up the detailed costs and populate this row with the resultant final project cost. </t>
        </r>
      </text>
    </comment>
    <comment ref="S69" authorId="1" shapeId="0" xr:uid="{00000000-0006-0000-0100-000073000000}">
      <text>
        <r>
          <rPr>
            <b/>
            <sz val="14"/>
            <color indexed="81"/>
            <rFont val="Tahoma"/>
            <family val="2"/>
          </rPr>
          <t xml:space="preserve">Note:
</t>
        </r>
        <r>
          <rPr>
            <sz val="14"/>
            <color indexed="81"/>
            <rFont val="Tahoma"/>
            <family val="2"/>
          </rPr>
          <t>This drop-down input cell allows the user to specify whether state, utility or other local incentives are cost-based (e.g. an investment tax credit) or performance-based (e.g. a PTC, Renewable Energy Credit (REC) or other cash payment). The magnitude and terms of these incentives are set in the cells below.
For more information, a useful resource for researching federal and state incentives online is:  
http://dsireusa.org/
*See bottom of introduction page for a list of links</t>
        </r>
      </text>
    </comment>
    <comment ref="S70" authorId="0" shapeId="0" xr:uid="{00000000-0006-0000-0100-000074000000}">
      <text>
        <r>
          <rPr>
            <b/>
            <sz val="14"/>
            <color indexed="81"/>
            <rFont val="Tahoma"/>
            <family val="2"/>
          </rPr>
          <t xml:space="preserve">NOTE:
</t>
        </r>
        <r>
          <rPr>
            <sz val="14"/>
            <color indexed="81"/>
            <rFont val="Tahoma"/>
            <family val="2"/>
          </rPr>
          <t>The maximum potential Investment Tax Credit (ITC) benefit is assumed to be 30% of those project costs which are depreciable on the 5-year MACRS schedule.
Note that the state investment tax credit can only be applied to state-specific income tax liability.</t>
        </r>
      </text>
    </comment>
    <comment ref="I71" authorId="1" shapeId="0" xr:uid="{00000000-0006-0000-0100-000075000000}">
      <text>
        <r>
          <rPr>
            <b/>
            <sz val="14"/>
            <color indexed="81"/>
            <rFont val="Tahoma"/>
            <family val="2"/>
          </rPr>
          <t>Note:</t>
        </r>
        <r>
          <rPr>
            <sz val="14"/>
            <color indexed="81"/>
            <rFont val="Tahoma"/>
            <family val="2"/>
          </rPr>
          <t xml:space="preserve">
Total Well Field &amp; Power Plant Costs have been estimated to be between $2400/kW and $5,000/kW in recent third-party public reports.
COD = Commercial Operation Date</t>
        </r>
      </text>
    </comment>
    <comment ref="S72" authorId="0" shapeId="0" xr:uid="{00000000-0006-0000-0100-000076000000}">
      <text>
        <r>
          <rPr>
            <b/>
            <sz val="14"/>
            <color indexed="81"/>
            <rFont val="Tahoma"/>
            <family val="2"/>
          </rPr>
          <t xml:space="preserve">Note:
</t>
        </r>
        <r>
          <rPr>
            <sz val="14"/>
            <color indexed="81"/>
            <rFont val="Tahoma"/>
            <family val="2"/>
          </rPr>
          <t>Specifies whether the available ITC is realized in a single year or over multiple years. This input will be specified by state-specific law or regulation.
A good resource on available state incentives is:  
http://dsireusa.org/
*See bottom of introduction page for a list of links
Input must be greater than 1 and less than the Project Useful Life.</t>
        </r>
      </text>
    </comment>
    <comment ref="S73" authorId="0" shapeId="0" xr:uid="{00000000-0006-0000-0100-000077000000}">
      <text>
        <r>
          <rPr>
            <b/>
            <sz val="14"/>
            <color indexed="81"/>
            <rFont val="Tahoma"/>
            <family val="2"/>
          </rPr>
          <t xml:space="preserve">Note:
</t>
        </r>
        <r>
          <rPr>
            <sz val="14"/>
            <color indexed="81"/>
            <rFont val="Tahoma"/>
            <family val="2"/>
          </rPr>
          <t xml:space="preserve">Calculates the dollar value of the State Investment Tax Credit, if applicable.
</t>
        </r>
      </text>
    </comment>
    <comment ref="F74" authorId="0" shapeId="0" xr:uid="{00000000-0006-0000-0100-000078000000}">
      <text>
        <r>
          <rPr>
            <b/>
            <sz val="8"/>
            <color indexed="81"/>
            <rFont val="Tahoma"/>
            <family val="2"/>
          </rPr>
          <t>See "unit" definitions at the bottom of this worksheet.</t>
        </r>
        <r>
          <rPr>
            <sz val="8"/>
            <color indexed="81"/>
            <rFont val="Tahoma"/>
            <family val="2"/>
          </rPr>
          <t xml:space="preserve">
</t>
        </r>
      </text>
    </comment>
    <comment ref="S74" authorId="0" shapeId="0" xr:uid="{00000000-0006-0000-0100-000079000000}">
      <text>
        <r>
          <rPr>
            <b/>
            <sz val="14"/>
            <color indexed="81"/>
            <rFont val="Tahoma"/>
            <family val="2"/>
          </rPr>
          <t xml:space="preserve">Note: </t>
        </r>
        <r>
          <rPr>
            <sz val="14"/>
            <color indexed="81"/>
            <rFont val="Tahoma"/>
            <family val="2"/>
          </rPr>
          <t xml:space="preserve">
This input cell, the "Performance Based Incentive" or "PBI" is another potential incentive available to some specific projects. The PBI would be separate from a feed-in-tariff, but acts similarly in that it is per unit of production (typically kWh) income to a project.
Some examples of PBIs include the Federal Production Tax Credit (applicable to private projects with tax appetites) and the Federal Renewable Energy Production Incentive (REPI), historically available to some public projects.
</t>
        </r>
      </text>
    </comment>
    <comment ref="I75" authorId="1" shapeId="0" xr:uid="{00000000-0006-0000-0100-00007A000000}">
      <text>
        <r>
          <rPr>
            <b/>
            <sz val="14"/>
            <color indexed="81"/>
            <rFont val="Tahoma"/>
            <family val="2"/>
          </rPr>
          <t>Note:</t>
        </r>
        <r>
          <rPr>
            <sz val="14"/>
            <color indexed="81"/>
            <rFont val="Tahoma"/>
            <family val="2"/>
          </rPr>
          <t xml:space="preserve">
The total system cost is a calculation, based on the level of detail selected and the assocated inputs.
In the "Simple" Case, Confirmation Costs are assumed to comprise 15% of non-exploration project costs while well field and power plant costs are assumed to comprise the remaining 85%.</t>
        </r>
      </text>
    </comment>
    <comment ref="S75" authorId="0" shapeId="0" xr:uid="{00000000-0006-0000-0100-00007B000000}">
      <text>
        <r>
          <rPr>
            <b/>
            <sz val="14"/>
            <color indexed="81"/>
            <rFont val="Tahoma"/>
            <family val="2"/>
          </rPr>
          <t xml:space="preserve">Note:
</t>
        </r>
        <r>
          <rPr>
            <sz val="14"/>
            <color indexed="81"/>
            <rFont val="Tahoma"/>
            <family val="2"/>
          </rPr>
          <t xml:space="preserve">Enter here the annual dollar value ("cap") of any state-specific production incentive.
</t>
        </r>
        <r>
          <rPr>
            <b/>
            <sz val="16"/>
            <color indexed="81"/>
            <rFont val="Tahoma"/>
            <family val="2"/>
          </rPr>
          <t>If no cap exists, enter zero.</t>
        </r>
        <r>
          <rPr>
            <sz val="14"/>
            <color indexed="81"/>
            <rFont val="Tahoma"/>
            <family val="2"/>
          </rPr>
          <t xml:space="preserve">
Input cannot be less than zero.
</t>
        </r>
      </text>
    </comment>
    <comment ref="I76" authorId="1" shapeId="0" xr:uid="{00000000-0006-0000-0100-00007C000000}">
      <text>
        <r>
          <rPr>
            <b/>
            <sz val="14"/>
            <color indexed="81"/>
            <rFont val="Tahoma"/>
            <family val="2"/>
          </rPr>
          <t>Note:</t>
        </r>
        <r>
          <rPr>
            <sz val="14"/>
            <color indexed="81"/>
            <rFont val="Tahoma"/>
            <family val="2"/>
          </rPr>
          <t xml:space="preserve">
Calculation based on the total system cost in the cell above and the system size reported. </t>
        </r>
        <r>
          <rPr>
            <sz val="8"/>
            <color indexed="81"/>
            <rFont val="Tahoma"/>
            <family val="2"/>
          </rPr>
          <t xml:space="preserve">
</t>
        </r>
      </text>
    </comment>
    <comment ref="S76" authorId="0" shapeId="0" xr:uid="{00000000-0006-0000-0100-00007D000000}">
      <text>
        <r>
          <rPr>
            <b/>
            <sz val="14"/>
            <color indexed="81"/>
            <rFont val="Tahoma"/>
            <family val="2"/>
          </rPr>
          <t xml:space="preserve">Note:
</t>
        </r>
        <r>
          <rPr>
            <sz val="14"/>
            <color indexed="81"/>
            <rFont val="Tahoma"/>
            <family val="2"/>
          </rPr>
          <t xml:space="preserve">Impacts tax treatment of PBI if owner is a taxable entity.
</t>
        </r>
      </text>
    </comment>
    <comment ref="S77" authorId="0" shapeId="0" xr:uid="{00000000-0006-0000-0100-00007E000000}">
      <text>
        <r>
          <rPr>
            <b/>
            <sz val="14"/>
            <color indexed="81"/>
            <rFont val="Tahoma"/>
            <family val="2"/>
          </rPr>
          <t xml:space="preserve">Note: </t>
        </r>
        <r>
          <rPr>
            <sz val="14"/>
            <color indexed="81"/>
            <rFont val="Tahoma"/>
            <family val="2"/>
          </rPr>
          <t xml:space="preserve">
This cell denotes the value of the Performance Based Incentive applicable to the project's first year of commercial operation. In some cases, this value will need to be calculated external to the model if such PBI is derived from a "base year" and specified inflation index. The following cells can be used to account for inflation and the maximum term of eligibility.
Input cannot be less than zero.
</t>
        </r>
      </text>
    </comment>
    <comment ref="F78" authorId="0" shapeId="0" xr:uid="{00000000-0006-0000-0100-00007F000000}">
      <text>
        <r>
          <rPr>
            <b/>
            <sz val="8"/>
            <color indexed="81"/>
            <rFont val="Tahoma"/>
            <family val="2"/>
          </rPr>
          <t>See "unit" definitions at the bottom of this worksheet.</t>
        </r>
        <r>
          <rPr>
            <sz val="8"/>
            <color indexed="81"/>
            <rFont val="Tahoma"/>
            <family val="2"/>
          </rPr>
          <t xml:space="preserve">
</t>
        </r>
      </text>
    </comment>
    <comment ref="I79" authorId="0" shapeId="0" xr:uid="{00000000-0006-0000-0100-000080000000}">
      <text>
        <r>
          <rPr>
            <b/>
            <sz val="14"/>
            <color indexed="81"/>
            <rFont val="Tahoma"/>
            <family val="2"/>
          </rPr>
          <t xml:space="preserve">Note:
</t>
        </r>
        <r>
          <rPr>
            <sz val="14"/>
            <color indexed="81"/>
            <rFont val="Tahoma"/>
            <family val="2"/>
          </rPr>
          <t xml:space="preserve">For ease of use and comprehension by a wide range of stakeholders, this model allows the user to define the capital structure, and relies on mortgage-style amortization of the project debt. The "% Debt" input specifies the portion of funds borrowed, as a percentage of the total "hard costs." Equity is assumed to fund the remaining hard costs PLUS all "soft costs" (e.g. transaction costs and funding of initial reserve accounts, if applicable). This input cannot be less than zero.
Where maximum sustainable leverage is desired, the user must manually adjust the "% Debt" entry upward to the highest point </t>
        </r>
        <r>
          <rPr>
            <b/>
            <i/>
            <sz val="14"/>
            <color indexed="81"/>
            <rFont val="Tahoma"/>
            <family val="2"/>
          </rPr>
          <t>before</t>
        </r>
        <r>
          <rPr>
            <sz val="14"/>
            <color indexed="81"/>
            <rFont val="Tahoma"/>
            <family val="2"/>
          </rPr>
          <t xml:space="preserve"> the DSCRs no longer "Pass."
If a specific % Debt is desired, </t>
        </r>
        <r>
          <rPr>
            <u/>
            <sz val="14"/>
            <color indexed="81"/>
            <rFont val="Tahoma"/>
            <family val="2"/>
          </rPr>
          <t>and such % is higher than the maximum sustainable debt</t>
        </r>
        <r>
          <rPr>
            <sz val="14"/>
            <color indexed="81"/>
            <rFont val="Tahoma"/>
            <family val="2"/>
          </rPr>
          <t xml:space="preserve"> (such that it causes the DSCR to "Fail"), then the user must define the % Debt and then manually adjust the "Target After-Tax Equity IRR" upward until the DSCRs are met. The user should </t>
        </r>
        <r>
          <rPr>
            <b/>
            <sz val="14"/>
            <color indexed="81"/>
            <rFont val="Tahoma"/>
            <family val="2"/>
          </rPr>
          <t>take note</t>
        </r>
        <r>
          <rPr>
            <sz val="14"/>
            <color indexed="81"/>
            <rFont val="Tahoma"/>
            <family val="2"/>
          </rPr>
          <t xml:space="preserve"> that when leverage becomes very high (and the corresponding equity contribution low), the "Target After-Tax Equity IRR" will need to be adjusted to levels exceeding typical commercial returns </t>
        </r>
        <r>
          <rPr>
            <u/>
            <sz val="14"/>
            <color indexed="81"/>
            <rFont val="Tahoma"/>
            <family val="2"/>
          </rPr>
          <t>in order to maintain the DSCR ratio</t>
        </r>
        <r>
          <rPr>
            <sz val="14"/>
            <color indexed="81"/>
            <rFont val="Tahoma"/>
            <family val="2"/>
          </rPr>
          <t xml:space="preserve"> on such high debt levels. For this reason, it is not recommended that users solve for the COE associated with a % Debt that is beyond the maximum sustainable leverage.
If a project is expected to be funded either by a pool of corporate funds or back-leveraged after commercial operation, the user might elect to enter 0% in the "% Debt" cell and enter a weighted average cost of capital (WACC) in the "Target After-Tax Equity IRR" cell.
</t>
        </r>
      </text>
    </comment>
    <comment ref="S79" authorId="0" shapeId="0" xr:uid="{00000000-0006-0000-0100-000081000000}">
      <text>
        <r>
          <rPr>
            <b/>
            <sz val="14"/>
            <color indexed="81"/>
            <rFont val="Tahoma"/>
            <family val="2"/>
          </rPr>
          <t>Note:</t>
        </r>
        <r>
          <rPr>
            <sz val="14"/>
            <color indexed="81"/>
            <rFont val="Tahoma"/>
            <family val="2"/>
          </rPr>
          <t xml:space="preserve">
This is the length of time that a project would be eligible for any Performance Based Incentives outlined in the cell immediately above. For example, the Federal Renewable Energy Production Incentive and Production Tax Credit incentives are available for the first 10 years of project operation.
Input cannot be less than zero.
</t>
        </r>
      </text>
    </comment>
    <comment ref="I80" authorId="1" shapeId="0" xr:uid="{00000000-0006-0000-0100-000082000000}">
      <text>
        <r>
          <rPr>
            <b/>
            <sz val="14"/>
            <color indexed="81"/>
            <rFont val="Tahoma"/>
            <family val="2"/>
          </rPr>
          <t>Note:</t>
        </r>
        <r>
          <rPr>
            <sz val="14"/>
            <color indexed="81"/>
            <rFont val="Tahoma"/>
            <family val="2"/>
          </rPr>
          <t xml:space="preserve">
Debt "tenor" (also casually referred to as "term"), is the number of years in the debt repayment schedule.   
Caution: If the project will utilize debt, this value must be greater than zero but less than or equal to the total FIT contract duration.
</t>
        </r>
      </text>
    </comment>
    <comment ref="S80" authorId="0" shapeId="0" xr:uid="{00000000-0006-0000-0100-000083000000}">
      <text>
        <r>
          <rPr>
            <b/>
            <sz val="14"/>
            <color indexed="81"/>
            <rFont val="Tahoma"/>
            <family val="2"/>
          </rPr>
          <t xml:space="preserve">Note:
</t>
        </r>
        <r>
          <rPr>
            <sz val="14"/>
            <color indexed="81"/>
            <rFont val="Tahoma"/>
            <family val="2"/>
          </rPr>
          <t xml:space="preserve">Performance Based Incentives are often adjusted to account for inflation. For example, the Federal Production Tax Credit (PTC) is adjusted each year to account for changes in the GDP IPD index. This cell can be used as a proxy for the inflation that would apply to any PBI incentive entered above.
This input cannot be left blank.
</t>
        </r>
      </text>
    </comment>
    <comment ref="I81" authorId="1" shapeId="0" xr:uid="{00000000-0006-0000-0100-000084000000}">
      <text>
        <r>
          <rPr>
            <b/>
            <sz val="14"/>
            <color indexed="81"/>
            <rFont val="Tahoma"/>
            <family val="2"/>
          </rPr>
          <t>Note:</t>
        </r>
        <r>
          <rPr>
            <sz val="14"/>
            <color indexed="81"/>
            <rFont val="Tahoma"/>
            <family val="2"/>
          </rPr>
          <t xml:space="preserve">
The all-in interest rate is the financing rate provided by the bank or other debt investor.
This input cannot be less than zero.
</t>
        </r>
      </text>
    </comment>
    <comment ref="S81" authorId="0" shapeId="0" xr:uid="{00000000-0006-0000-0100-000085000000}">
      <text>
        <r>
          <rPr>
            <b/>
            <sz val="14"/>
            <color indexed="81"/>
            <rFont val="Tahoma"/>
            <family val="2"/>
          </rPr>
          <t xml:space="preserve">Note:
</t>
        </r>
        <r>
          <rPr>
            <sz val="14"/>
            <color indexed="81"/>
            <rFont val="Tahoma"/>
            <family val="2"/>
          </rPr>
          <t xml:space="preserve">Include here the dollar per Watt value of any state-specific rebates or cash grants.
Input cannot be less than zero.
</t>
        </r>
      </text>
    </comment>
    <comment ref="I82" authorId="0" shapeId="0" xr:uid="{00000000-0006-0000-0100-000086000000}">
      <text>
        <r>
          <rPr>
            <b/>
            <sz val="14"/>
            <color indexed="81"/>
            <rFont val="Tahoma"/>
            <family val="2"/>
          </rPr>
          <t xml:space="preserve">Note:
</t>
        </r>
        <r>
          <rPr>
            <sz val="14"/>
            <color indexed="81"/>
            <rFont val="Tahoma"/>
            <family val="2"/>
          </rPr>
          <t xml:space="preserve">A one-time fee collected by the lender and calculated as a % of the total loan amount. This value is typically between 1% and 4%.
This input cannot be less than zero.
</t>
        </r>
      </text>
    </comment>
    <comment ref="S82" authorId="0" shapeId="0" xr:uid="{00000000-0006-0000-0100-000087000000}">
      <text>
        <r>
          <rPr>
            <b/>
            <sz val="14"/>
            <color indexed="81"/>
            <rFont val="Tahoma"/>
            <family val="2"/>
          </rPr>
          <t xml:space="preserve">Note:
</t>
        </r>
        <r>
          <rPr>
            <sz val="14"/>
            <color indexed="81"/>
            <rFont val="Tahoma"/>
            <family val="2"/>
          </rPr>
          <t xml:space="preserve">Enter here the maximum dollar value ("cap") of any state-specific rebate or grant.
If no cap exists, enter zero.
Input cannot be less than zero.
</t>
        </r>
      </text>
    </comment>
    <comment ref="I83" authorId="1" shapeId="0" xr:uid="{00000000-0006-0000-0100-000088000000}">
      <text>
        <r>
          <rPr>
            <b/>
            <sz val="14"/>
            <color indexed="81"/>
            <rFont val="Tahoma"/>
            <family val="2"/>
          </rPr>
          <t>Note:</t>
        </r>
        <r>
          <rPr>
            <sz val="14"/>
            <color indexed="81"/>
            <rFont val="Tahoma"/>
            <family val="2"/>
          </rPr>
          <t xml:space="preserve">
The annual Debt Service Coverage Ratio is calculated by dividing the sum of the annual principal and interest payment into that year's operating cash flow. Lenders will require the DSCR to demonstrate the project's ability to easily meet its annual debt service obligation.
Average DSCRs over the life of the loan typically range from 1.2 to 1.5 for private, commercially financed projects, or from 1.1 to 1.3 for publicly owned, bond-financed projects - depending on the level of reserves, or other surety, provided. 
The annual minimum DSCR will depend on the specific terms of the loan and the probability-weighting of the production estimate, but will likely be in the range of 1.0 to 1.3. This input must be greater than 1.
</t>
        </r>
      </text>
    </comment>
    <comment ref="S83" authorId="0" shapeId="0" xr:uid="{00000000-0006-0000-0100-000089000000}">
      <text>
        <r>
          <rPr>
            <b/>
            <sz val="14"/>
            <color indexed="81"/>
            <rFont val="Tahoma"/>
            <family val="2"/>
          </rPr>
          <t xml:space="preserve">Note:
</t>
        </r>
        <r>
          <rPr>
            <sz val="14"/>
            <color indexed="81"/>
            <rFont val="Tahoma"/>
            <family val="2"/>
          </rPr>
          <t xml:space="preserve">Select here whether state grants are treated as taxable income.  If no, depreciation basis is reduced. 
</t>
        </r>
      </text>
    </comment>
    <comment ref="I84" authorId="0" shapeId="0" xr:uid="{00000000-0006-0000-0100-00008A000000}">
      <text>
        <r>
          <rPr>
            <b/>
            <sz val="12"/>
            <color indexed="81"/>
            <rFont val="Tahoma"/>
            <family val="2"/>
          </rPr>
          <t>Note:</t>
        </r>
        <r>
          <rPr>
            <sz val="12"/>
            <color indexed="81"/>
            <rFont val="Tahoma"/>
            <family val="2"/>
          </rPr>
          <t xml:space="preserve">
If "#N/A" appears, F9 should be pressed until the calculated COE achieves it's final value.</t>
        </r>
      </text>
    </comment>
    <comment ref="I85" authorId="1" shapeId="0" xr:uid="{00000000-0006-0000-0100-00008B000000}">
      <text>
        <r>
          <rPr>
            <b/>
            <sz val="14"/>
            <color indexed="81"/>
            <rFont val="Tahoma"/>
            <family val="2"/>
          </rPr>
          <t>Note:</t>
        </r>
        <r>
          <rPr>
            <sz val="14"/>
            <color indexed="81"/>
            <rFont val="Tahoma"/>
            <family val="2"/>
          </rPr>
          <t xml:space="preserve">
This cell checks that the debt service coverage ratio exceeds the user-defined minimum in each operating year (see note in DSCR cell for definition and rationale for DSCR). If the test "fails", the user must choose from one of several options in order to cure this deficiency (the extent to which these options are available will be specific to each project):
1. reduce the amount of project level debt, 
2. increase the feed-in tariff rate in order to generate cash flow sufficient to meet the bank's assumed coverage requirement.  In the CREST model, </t>
        </r>
        <r>
          <rPr>
            <u/>
            <sz val="14"/>
            <color indexed="81"/>
            <rFont val="Tahoma"/>
            <family val="2"/>
          </rPr>
          <t>this is done by manually increasing the "Target After-Tax Equity IRR."</t>
        </r>
        <r>
          <rPr>
            <sz val="14"/>
            <color indexed="81"/>
            <rFont val="Tahoma"/>
            <family val="2"/>
          </rPr>
          <t xml:space="preserve">
Other possible, but less likely, mechanisms include:
3. increase the loan tenor
4. decrease the interest rate</t>
        </r>
      </text>
    </comment>
    <comment ref="I86" authorId="1" shapeId="0" xr:uid="{00000000-0006-0000-0100-00008C000000}">
      <text>
        <r>
          <rPr>
            <b/>
            <sz val="14"/>
            <color indexed="81"/>
            <rFont val="Tahoma"/>
            <family val="2"/>
          </rPr>
          <t>Note:</t>
        </r>
        <r>
          <rPr>
            <sz val="14"/>
            <color indexed="81"/>
            <rFont val="Tahoma"/>
            <family val="2"/>
          </rPr>
          <t xml:space="preserve">
The annual Debt Service Coverage Ratio is calculated by dividing the sum of the annual principal and interest payment into that year's operating cash flow. Lenders will require the DSCR to demonstrate the project's ability to easily meet its annual debt service obligation.
</t>
        </r>
        <r>
          <rPr>
            <u/>
            <sz val="14"/>
            <color indexed="81"/>
            <rFont val="Tahoma"/>
            <family val="2"/>
          </rPr>
          <t>Average</t>
        </r>
        <r>
          <rPr>
            <sz val="14"/>
            <color indexed="81"/>
            <rFont val="Tahoma"/>
            <family val="2"/>
          </rPr>
          <t xml:space="preserve"> DSCRs over the life of the loan typically range from 1.2 to 1.5 for private, commercially financed projects, or from 1.1 to 1.3 for publicly owned, bond-financed projects - depending on the level of reserves, or other surety, provided. 
The </t>
        </r>
        <r>
          <rPr>
            <u/>
            <sz val="14"/>
            <color indexed="81"/>
            <rFont val="Tahoma"/>
            <family val="2"/>
          </rPr>
          <t>annual minimum</t>
        </r>
        <r>
          <rPr>
            <sz val="14"/>
            <color indexed="81"/>
            <rFont val="Tahoma"/>
            <family val="2"/>
          </rPr>
          <t xml:space="preserve"> DSCR will depend on the specific terms of the loan and the probability-weighting of the production estimate, but will likely be in the range of 1.0 to 1.3. This input must be greater than 1.
</t>
        </r>
      </text>
    </comment>
    <comment ref="S86" authorId="0" shapeId="0" xr:uid="{00000000-0006-0000-0100-00008D000000}">
      <text>
        <r>
          <rPr>
            <b/>
            <sz val="14"/>
            <color indexed="81"/>
            <rFont val="Tahoma"/>
            <family val="2"/>
          </rPr>
          <t>Note:</t>
        </r>
        <r>
          <rPr>
            <sz val="14"/>
            <color indexed="81"/>
            <rFont val="Tahoma"/>
            <family val="2"/>
          </rPr>
          <t xml:space="preserve">
To qualify for Bonus Depreciation the property must have a recovery period of 20 years or less (under normal federal tax depreciation rules), and the project must commence operation in the year in which bonus depreciation is in effect and under the ownership of the entity claiming the deduction. 
For qualifying projects, the owner is entitled to deduct 50% of the adjusted basis of the property during the tax year the property is first placed in service. The remaining 50% of the adjusted basis of the property is depreciated over the ordinary MACRS depreciation schedule. The bonus depreciation rules do not override the depreciation limit applicable to projects qualifying for the federal ITC. Before calculating depreciation for such a project, including any bonus depreciation, the adjusted basis of the project must be reduced by one-half of the amount of the ITC for which the project qualifies. 
</t>
        </r>
      </text>
    </comment>
    <comment ref="I87" authorId="0" shapeId="0" xr:uid="{00000000-0006-0000-0100-00008E000000}">
      <text>
        <r>
          <rPr>
            <b/>
            <sz val="12"/>
            <color indexed="81"/>
            <rFont val="Tahoma"/>
            <family val="2"/>
          </rPr>
          <t>Note:</t>
        </r>
        <r>
          <rPr>
            <sz val="12"/>
            <color indexed="81"/>
            <rFont val="Tahoma"/>
            <family val="2"/>
          </rPr>
          <t xml:space="preserve">
If "#N/A" appears, F9 should be pressed until the calculated COE achieves it's final value.</t>
        </r>
      </text>
    </comment>
    <comment ref="S87" authorId="0" shapeId="0" xr:uid="{00000000-0006-0000-0100-00008F000000}">
      <text>
        <r>
          <rPr>
            <b/>
            <sz val="14"/>
            <color indexed="81"/>
            <rFont val="Tahoma"/>
            <family val="2"/>
          </rPr>
          <t>Note:</t>
        </r>
        <r>
          <rPr>
            <sz val="14"/>
            <color indexed="81"/>
            <rFont val="Tahoma"/>
            <family val="2"/>
          </rPr>
          <t xml:space="preserve">
This input allows the user to define the bonus depreciation % applied in Year 1, if applicable.  Historically, federal bonus depreciation has been 50% of the eligible cost basis (after taking into account reductions in such cost basis for the ITC, if applicable).  
Input cannot be less than zero.
</t>
        </r>
      </text>
    </comment>
    <comment ref="I88" authorId="1" shapeId="0" xr:uid="{00000000-0006-0000-0100-000090000000}">
      <text>
        <r>
          <rPr>
            <b/>
            <sz val="14"/>
            <color indexed="81"/>
            <rFont val="Tahoma"/>
            <family val="2"/>
          </rPr>
          <t>Note:</t>
        </r>
        <r>
          <rPr>
            <sz val="14"/>
            <color indexed="81"/>
            <rFont val="Tahoma"/>
            <family val="2"/>
          </rPr>
          <t xml:space="preserve">
This cell checks that the average debt service coverage ratio exceeds the user-defined minimum during the period for which debt is outstanding (see note in DSCR cell for definition and rationale for DSCR). If the test "fails", the user must choose from one of several options in order to cure this deficiency (the extent to which these options are available will be specific to each project):
1. reduce the amount of project level debt, 
2. increase the feed-in tariff rate in order to generate cash flow sufficient to meet the bank's assumed coverage requirement.  In the CREST model, </t>
        </r>
        <r>
          <rPr>
            <u/>
            <sz val="14"/>
            <color indexed="81"/>
            <rFont val="Tahoma"/>
            <family val="2"/>
          </rPr>
          <t>this is done by manually increasing the "Target After-Tax Equity IRR."</t>
        </r>
        <r>
          <rPr>
            <sz val="14"/>
            <color indexed="81"/>
            <rFont val="Tahoma"/>
            <family val="2"/>
          </rPr>
          <t xml:space="preserve">
Other possible, but less likely, mechanisms include:
3. increase the loan tenor
4. decrease the interest rate</t>
        </r>
      </text>
    </comment>
    <comment ref="I89" authorId="0" shapeId="0" xr:uid="{00000000-0006-0000-0100-000091000000}">
      <text>
        <r>
          <rPr>
            <b/>
            <sz val="14"/>
            <color indexed="81"/>
            <rFont val="Tahoma"/>
            <family val="2"/>
          </rPr>
          <t xml:space="preserve">Note:
</t>
        </r>
        <r>
          <rPr>
            <sz val="14"/>
            <color indexed="81"/>
            <rFont val="Tahoma"/>
            <family val="2"/>
          </rPr>
          <t xml:space="preserve">The portion of total project cost funded from equity investors. This cell is a calculation and not an input. It is calculated as 100% minus the "% Debt" entered above.
</t>
        </r>
      </text>
    </comment>
    <comment ref="I90" authorId="1" shapeId="0" xr:uid="{00000000-0006-0000-0100-000092000000}">
      <text>
        <r>
          <rPr>
            <b/>
            <sz val="14"/>
            <color indexed="81"/>
            <rFont val="Tahoma"/>
            <family val="2"/>
          </rPr>
          <t>Note:</t>
        </r>
        <r>
          <rPr>
            <sz val="14"/>
            <color indexed="81"/>
            <rFont val="Tahoma"/>
            <family val="2"/>
          </rPr>
          <t xml:space="preserve">
The target after-tax equity IRR is the equity investor's cost of capital -- or "discount rate" -- and is the rate of return that the project owner will seek to attain in order to justify the project compared to alternative investments. The CREST model assumes a single equity investor taking both cash and tax benefits.  As a result, the target after-tax equity IRR entered here should represent a blend of expected returns for both cash and tax equity investments. 
The user should be explicit in his or her assumption regarding the term over which the target after-tax IRR is assumed to be realized. For example, the user could elect to align the return requirement with the tariff payment duration. In this case, the project useful life should be set equal to the tariff duration in order to calculate the COE associated with the target IRR over that period of time. 
In a second example, the user could elect to align the return requirement with the project's useful life. In this case, the user can either assume a tariff duration equal to the project life, or assume market-based revenue for the period after the tariff and before the end of the assumed project useful life.
This input cannot be less than zero.
If a project is expected to be funded either by a pool of corporate funds or back-leveraged after commercial operation, the user might elect to enter 0% in the "% Debt" cell and enter a weighted average cost of capital (WACC) in the "Target After-Tax Equity IRR" cell.
</t>
        </r>
      </text>
    </comment>
    <comment ref="V90" authorId="0" shapeId="0" xr:uid="{00000000-0006-0000-0100-000093000000}">
      <text>
        <r>
          <rPr>
            <b/>
            <sz val="14"/>
            <color indexed="81"/>
            <rFont val="Tahoma"/>
            <family val="2"/>
          </rPr>
          <t>Note:</t>
        </r>
        <r>
          <rPr>
            <sz val="14"/>
            <color indexed="81"/>
            <rFont val="Tahoma"/>
            <family val="2"/>
          </rPr>
          <t xml:space="preserve">
The CREST model is programmed based on an understanding of the current federal tax code policy on depletion.  Project developers should consult a tax advisor for guidance on the use of depletion for geothermal power generating assets.</t>
        </r>
      </text>
    </comment>
    <comment ref="I91" authorId="0" shapeId="0" xr:uid="{00000000-0006-0000-0100-000094000000}">
      <text>
        <r>
          <rPr>
            <b/>
            <sz val="14"/>
            <color indexed="81"/>
            <rFont val="Tahoma"/>
            <family val="2"/>
          </rPr>
          <t xml:space="preserve">Note:
</t>
        </r>
        <r>
          <rPr>
            <sz val="14"/>
            <color indexed="81"/>
            <rFont val="Tahoma"/>
            <family val="2"/>
          </rPr>
          <t xml:space="preserve">The weighted average cost of capital combines the after-tax cost of both equity and debt in proportion to their use, and is calculated here for reference.
</t>
        </r>
      </text>
    </comment>
    <comment ref="Y91" authorId="0" shapeId="0" xr:uid="{00000000-0006-0000-0100-000095000000}">
      <text>
        <r>
          <rPr>
            <b/>
            <sz val="14"/>
            <color indexed="81"/>
            <rFont val="Tahoma"/>
            <family val="2"/>
          </rPr>
          <t>Note:</t>
        </r>
        <r>
          <rPr>
            <sz val="14"/>
            <color indexed="81"/>
            <rFont val="Tahoma"/>
            <family val="2"/>
          </rPr>
          <t xml:space="preserve">
When the "Simple" capital cost option is selected, the depreciation of total project costs is divided among the classifications using this row. The depreciation options associated with other levels of cost detail will be hidden.
</t>
        </r>
        <r>
          <rPr>
            <b/>
            <sz val="14"/>
            <color indexed="81"/>
            <rFont val="Tahoma"/>
            <family val="2"/>
          </rPr>
          <t xml:space="preserve">This row must sum to 100%.
</t>
        </r>
      </text>
    </comment>
    <comment ref="I92" authorId="0" shapeId="0" xr:uid="{00000000-0006-0000-0100-000096000000}">
      <text>
        <r>
          <rPr>
            <b/>
            <sz val="14"/>
            <color indexed="81"/>
            <rFont val="Tahoma"/>
            <family val="2"/>
          </rPr>
          <t xml:space="preserve">Note:
</t>
        </r>
        <r>
          <rPr>
            <sz val="14"/>
            <color indexed="81"/>
            <rFont val="Tahoma"/>
            <family val="2"/>
          </rPr>
          <t>This cell represents the costs of both equity and debt due diligence (if applicable) and other transaction costs.
Input cannot be less than zero.</t>
        </r>
      </text>
    </comment>
    <comment ref="Y92" authorId="0" shapeId="0" xr:uid="{00000000-0006-0000-0100-000097000000}">
      <text>
        <r>
          <rPr>
            <b/>
            <sz val="14"/>
            <color indexed="81"/>
            <rFont val="Tahoma"/>
            <family val="2"/>
          </rPr>
          <t>Note:</t>
        </r>
        <r>
          <rPr>
            <sz val="14"/>
            <color indexed="81"/>
            <rFont val="Tahoma"/>
            <family val="2"/>
          </rPr>
          <t xml:space="preserve">
Exploration Costs are often incurred over an extended, multi-year period prior to commercial operations.  Many of these costs can only be expensed in the year in which they were incurred.  Only the percentage of total Exploration Costs eligible for expensing in the project's first commercial operation year should be entered in this row.  All other Exploration Costs should be treated at Non-Depreciable for the purpose of the CREST model.
When the "Intermediate" capital cost option is selected, the allocation of the specified cost category across the classifications is done using this row. The options associated with other levels of cost detail will be hidden.
</t>
        </r>
        <r>
          <rPr>
            <b/>
            <sz val="14"/>
            <color indexed="81"/>
            <rFont val="Tahoma"/>
            <family val="2"/>
          </rPr>
          <t xml:space="preserve">This row must sum to 100%.
</t>
        </r>
      </text>
    </comment>
    <comment ref="Y93" authorId="0" shapeId="0" xr:uid="{00000000-0006-0000-0100-000098000000}">
      <text>
        <r>
          <rPr>
            <b/>
            <sz val="14"/>
            <color indexed="81"/>
            <rFont val="Tahoma"/>
            <family val="2"/>
          </rPr>
          <t>Note:</t>
        </r>
        <r>
          <rPr>
            <sz val="14"/>
            <color indexed="81"/>
            <rFont val="Tahoma"/>
            <family val="2"/>
          </rPr>
          <t xml:space="preserve">
When the "Intermediate" capital cost option is selected, the allocation of the specified cost category across the classifications is done using this row. The options associated with other levels of cost detail will be hidden.
</t>
        </r>
        <r>
          <rPr>
            <b/>
            <sz val="14"/>
            <color indexed="81"/>
            <rFont val="Tahoma"/>
            <family val="2"/>
          </rPr>
          <t xml:space="preserve">This row must sum to 100%.
</t>
        </r>
      </text>
    </comment>
    <comment ref="F94" authorId="0" shapeId="0" xr:uid="{00000000-0006-0000-0100-000099000000}">
      <text>
        <r>
          <rPr>
            <b/>
            <sz val="8"/>
            <color indexed="81"/>
            <rFont val="Tahoma"/>
            <family val="2"/>
          </rPr>
          <t>See "unit" definitions at the bottom of this worksheet.</t>
        </r>
        <r>
          <rPr>
            <sz val="8"/>
            <color indexed="81"/>
            <rFont val="Tahoma"/>
            <family val="2"/>
          </rPr>
          <t xml:space="preserve">
</t>
        </r>
      </text>
    </comment>
    <comment ref="Y94" authorId="0" shapeId="0" xr:uid="{00000000-0006-0000-0100-00009A000000}">
      <text>
        <r>
          <rPr>
            <b/>
            <sz val="14"/>
            <color indexed="81"/>
            <rFont val="Tahoma"/>
            <family val="2"/>
          </rPr>
          <t>Note:</t>
        </r>
        <r>
          <rPr>
            <sz val="14"/>
            <color indexed="81"/>
            <rFont val="Tahoma"/>
            <family val="2"/>
          </rPr>
          <t xml:space="preserve">
When the "Intermediate" capital cost option is selected, the allocation of the specified cost category across the classifications is done using this row. The options associated with other levels of cost detail will be hidden.
</t>
        </r>
        <r>
          <rPr>
            <b/>
            <sz val="14"/>
            <color indexed="81"/>
            <rFont val="Tahoma"/>
            <family val="2"/>
          </rPr>
          <t xml:space="preserve">This row must sum to 100%.
</t>
        </r>
      </text>
    </comment>
    <comment ref="Y95" authorId="0" shapeId="0" xr:uid="{00000000-0006-0000-0100-00009B000000}">
      <text>
        <r>
          <rPr>
            <b/>
            <sz val="14"/>
            <color indexed="81"/>
            <rFont val="Tahoma"/>
            <family val="2"/>
          </rPr>
          <t>Note:</t>
        </r>
        <r>
          <rPr>
            <sz val="14"/>
            <color indexed="81"/>
            <rFont val="Tahoma"/>
            <family val="2"/>
          </rPr>
          <t xml:space="preserve">
When the "Intermediate" capital cost option is selected, the allocation of the specified cost category across the classifications is done using this row. The options associated with other levels of cost detail will be hidden.
</t>
        </r>
        <r>
          <rPr>
            <b/>
            <sz val="14"/>
            <color indexed="81"/>
            <rFont val="Tahoma"/>
            <family val="2"/>
          </rPr>
          <t xml:space="preserve">This row must sum to 100%.
</t>
        </r>
      </text>
    </comment>
    <comment ref="I96" authorId="0" shapeId="0" xr:uid="{00000000-0006-0000-0100-00009C000000}">
      <text>
        <r>
          <rPr>
            <b/>
            <sz val="14"/>
            <color indexed="81"/>
            <rFont val="Tahoma"/>
            <family val="2"/>
          </rPr>
          <t>Note:</t>
        </r>
        <r>
          <rPr>
            <sz val="14"/>
            <color indexed="81"/>
            <rFont val="Tahoma"/>
            <family val="2"/>
          </rPr>
          <t xml:space="preserve">
Lenders typically require the project owner to establish a reserve account prior to the commencement of operations to ensure that loan repayments occur in full and on time even if the project has insufficient operating cash flow in a specific period due to lower than expected production, higher costs, or both. The size of the reserve account is typically equal to 6 months of debt service obligation.
Input cannot be less than zero.
</t>
        </r>
      </text>
    </comment>
    <comment ref="Y96" authorId="0" shapeId="0" xr:uid="{00000000-0006-0000-0100-00009D000000}">
      <text>
        <r>
          <rPr>
            <b/>
            <sz val="14"/>
            <color indexed="81"/>
            <rFont val="Tahoma"/>
            <family val="2"/>
          </rPr>
          <t>Note:</t>
        </r>
        <r>
          <rPr>
            <sz val="14"/>
            <color indexed="81"/>
            <rFont val="Tahoma"/>
            <family val="2"/>
          </rPr>
          <t xml:space="preserve">
When the "Intermediate" capital cost option is selected, the allocation of the specified cost category across the classifications is done using this row. The options associated with other levels of cost detail will be hidden.
</t>
        </r>
        <r>
          <rPr>
            <b/>
            <sz val="14"/>
            <color indexed="81"/>
            <rFont val="Tahoma"/>
            <family val="2"/>
          </rPr>
          <t xml:space="preserve">This row must sum to 100%.
</t>
        </r>
      </text>
    </comment>
    <comment ref="I97" authorId="0" shapeId="0" xr:uid="{00000000-0006-0000-0100-00009E000000}">
      <text>
        <r>
          <rPr>
            <b/>
            <sz val="14"/>
            <color indexed="81"/>
            <rFont val="Tahoma"/>
            <family val="2"/>
          </rPr>
          <t>Note:</t>
        </r>
        <r>
          <rPr>
            <sz val="14"/>
            <color indexed="81"/>
            <rFont val="Tahoma"/>
            <family val="2"/>
          </rPr>
          <t xml:space="preserve">
Calculated value based on the # months of required reserve and the capital structure and associated periodic debt obligation.
</t>
        </r>
      </text>
    </comment>
    <comment ref="Y97" authorId="0" shapeId="0" xr:uid="{00000000-0006-0000-0100-00009F000000}">
      <text>
        <r>
          <rPr>
            <b/>
            <sz val="14"/>
            <color indexed="81"/>
            <rFont val="Tahoma"/>
            <family val="2"/>
          </rPr>
          <t>Note:</t>
        </r>
        <r>
          <rPr>
            <sz val="14"/>
            <color indexed="81"/>
            <rFont val="Tahoma"/>
            <family val="2"/>
          </rPr>
          <t xml:space="preserve">
When the "Complex" capital cost option is selected, each line items is assigned its own depreciation classification using a drop-down menu on the Complex Capital Costs tab.
</t>
        </r>
      </text>
    </comment>
    <comment ref="I99" authorId="0" shapeId="0" xr:uid="{00000000-0006-0000-0100-0000A0000000}">
      <text>
        <r>
          <rPr>
            <b/>
            <sz val="14"/>
            <color indexed="81"/>
            <rFont val="Tahoma"/>
            <family val="2"/>
          </rPr>
          <t>Note:</t>
        </r>
        <r>
          <rPr>
            <sz val="14"/>
            <color indexed="81"/>
            <rFont val="Tahoma"/>
            <family val="2"/>
          </rPr>
          <t xml:space="preserve">
Lenders typically require the project owner to establish a reserve account prior to the commencement of operations to ensure that all O&amp;M expenses can be met even if the project has insufficient operating cash flow in a specific period due to lower than expected production, higher costs, or both. The size of the reserve account is typically 3 to 6 months of O&amp;M expenses, and includes all categories of O&amp;M expenses.
Input cannot be less than zero.
</t>
        </r>
      </text>
    </comment>
    <comment ref="O99" authorId="0" shapeId="0" xr:uid="{00000000-0006-0000-0100-0000A1000000}">
      <text>
        <r>
          <rPr>
            <b/>
            <sz val="14"/>
            <color indexed="81"/>
            <rFont val="Tahoma"/>
            <family val="2"/>
          </rPr>
          <t xml:space="preserve">Note:
</t>
        </r>
        <r>
          <rPr>
            <sz val="14"/>
            <color indexed="81"/>
            <rFont val="Tahoma"/>
            <family val="2"/>
          </rPr>
          <t>The CREST model is programmed based on an understanding of the current federal tax code policy on depletion.  Project developers should consult a tax advisor for guidance on the use of depletion for geothermal power generating assets.</t>
        </r>
      </text>
    </comment>
    <comment ref="I100" authorId="0" shapeId="0" xr:uid="{00000000-0006-0000-0100-0000A2000000}">
      <text>
        <r>
          <rPr>
            <b/>
            <sz val="14"/>
            <color indexed="81"/>
            <rFont val="Tahoma"/>
            <family val="2"/>
          </rPr>
          <t>Note:</t>
        </r>
        <r>
          <rPr>
            <sz val="14"/>
            <color indexed="81"/>
            <rFont val="Tahoma"/>
            <family val="2"/>
          </rPr>
          <t xml:space="preserve">
Calculated value based on the # months of required reserve and all annual operating expenses.
</t>
        </r>
      </text>
    </comment>
    <comment ref="U100" authorId="0" shapeId="0" xr:uid="{00000000-0006-0000-0100-0000A3000000}">
      <text>
        <r>
          <rPr>
            <b/>
            <sz val="14"/>
            <color indexed="81"/>
            <rFont val="Tahoma"/>
            <family val="2"/>
          </rPr>
          <t xml:space="preserve">Note:
</t>
        </r>
        <r>
          <rPr>
            <sz val="14"/>
            <color indexed="81"/>
            <rFont val="Tahoma"/>
            <family val="2"/>
          </rPr>
          <t>The CREST model is programmed based on an understanding of the current federal tax code policy on depletion.  Project developers should consult a tax advisor for guidance on the use of depletion for geothermal power generating assets.</t>
        </r>
      </text>
    </comment>
    <comment ref="Y100" authorId="0" shapeId="0" xr:uid="{00000000-0006-0000-0100-0000A4000000}">
      <text>
        <r>
          <rPr>
            <b/>
            <sz val="14"/>
            <color indexed="81"/>
            <rFont val="Tahoma"/>
            <family val="2"/>
          </rPr>
          <t>Note:</t>
        </r>
        <r>
          <rPr>
            <sz val="14"/>
            <color indexed="81"/>
            <rFont val="Tahoma"/>
            <family val="2"/>
          </rPr>
          <t xml:space="preserve">
Depletion Allowance is a federal tax deduction for the exhaustion of oil and gas wells, mines, timber, mineral deposits or reserves, and other natural deposits -- such as geothermal steam.
There are two methods of Depletion -- Cost and Percentage.
Like depreciation, the Cost Method of depletion bases the deduction allowance on the original cost of the income-generating property. The CREST model assumes Cost Method depletion occurs evenly over the life of the project.  The Percentage Method allows the project to deduct a user-defined percentage of the portion of revenues attributable to steam (the depletable resource).  This calculation is capped at 50% of taxable income prior to figuring depletion.
</t>
        </r>
        <r>
          <rPr>
            <b/>
            <sz val="14"/>
            <color indexed="81"/>
            <rFont val="Tahoma"/>
            <family val="2"/>
          </rPr>
          <t xml:space="preserve">
</t>
        </r>
      </text>
    </comment>
    <comment ref="I101" authorId="0" shapeId="0" xr:uid="{00000000-0006-0000-0100-0000A5000000}">
      <text>
        <r>
          <rPr>
            <b/>
            <sz val="14"/>
            <color indexed="81"/>
            <rFont val="Tahoma"/>
            <family val="2"/>
          </rPr>
          <t>Note:</t>
        </r>
        <r>
          <rPr>
            <sz val="14"/>
            <color indexed="81"/>
            <rFont val="Tahoma"/>
            <family val="2"/>
          </rPr>
          <t xml:space="preserve">
Unused reserves earn interest at this rate. Input cannot be less than zero.
</t>
        </r>
      </text>
    </comment>
    <comment ref="O101" authorId="0" shapeId="0" xr:uid="{00000000-0006-0000-0100-0000A6000000}">
      <text>
        <r>
          <rPr>
            <b/>
            <sz val="14"/>
            <color indexed="81"/>
            <rFont val="Tahoma"/>
            <family val="2"/>
          </rPr>
          <t>Note:</t>
        </r>
        <r>
          <rPr>
            <sz val="14"/>
            <color indexed="81"/>
            <rFont val="Tahoma"/>
            <family val="2"/>
          </rPr>
          <t xml:space="preserve">
Steam is the depletable resource.  The balance of revenue is not directly attributable to the steam resource and is therefore not depletable. </t>
        </r>
      </text>
    </comment>
    <comment ref="U101" authorId="0" shapeId="0" xr:uid="{00000000-0006-0000-0100-0000A7000000}">
      <text>
        <r>
          <rPr>
            <b/>
            <sz val="14"/>
            <color indexed="81"/>
            <rFont val="Tahoma"/>
            <family val="2"/>
          </rPr>
          <t xml:space="preserve">Note:
</t>
        </r>
        <r>
          <rPr>
            <sz val="14"/>
            <color indexed="81"/>
            <rFont val="Tahoma"/>
            <family val="2"/>
          </rPr>
          <t>Projects typically use cost depletion in early years when operating at a taxable loss, and switch to percentage depletion once they have sufficient taxable income.  
This input allows the user to review the modeled project's taxable income stream and then manually select - if desired - the year in which the depletion method switches from Cost to Percentage Method.</t>
        </r>
      </text>
    </comment>
    <comment ref="Y101" authorId="0" shapeId="0" xr:uid="{00000000-0006-0000-0100-0000A8000000}">
      <text>
        <r>
          <rPr>
            <b/>
            <sz val="14"/>
            <color indexed="81"/>
            <rFont val="Tahoma"/>
            <family val="2"/>
          </rPr>
          <t>Note:</t>
        </r>
        <r>
          <rPr>
            <sz val="14"/>
            <color indexed="81"/>
            <rFont val="Tahoma"/>
            <family val="2"/>
          </rPr>
          <t xml:space="preserve">
Projects typically use cost depletion in early years when operating at a taxable loss, and switch to percentage depletion once they have sufficient taxable income.  
This input allows the user to review the modeled project's taxable income stream and then manually select - if desired - the year in which the depletion method switches from Cost to Percentage Method.
</t>
        </r>
        <r>
          <rPr>
            <b/>
            <sz val="14"/>
            <color indexed="81"/>
            <rFont val="Tahoma"/>
            <family val="2"/>
          </rPr>
          <t xml:space="preserve">
</t>
        </r>
      </text>
    </comment>
    <comment ref="P103" authorId="0" shapeId="0" xr:uid="{00000000-0006-0000-0100-0000A9000000}">
      <text>
        <r>
          <rPr>
            <b/>
            <sz val="8"/>
            <color indexed="81"/>
            <rFont val="Tahoma"/>
            <family val="2"/>
          </rPr>
          <t>See "unit" definitions at the bottom of this worksheet.</t>
        </r>
        <r>
          <rPr>
            <sz val="8"/>
            <color indexed="81"/>
            <rFont val="Tahoma"/>
            <family val="2"/>
          </rPr>
          <t xml:space="preserve">
</t>
        </r>
      </text>
    </comment>
    <comment ref="I104" authorId="0" shapeId="0" xr:uid="{00000000-0006-0000-0100-0000AA000000}">
      <text>
        <r>
          <rPr>
            <b/>
            <sz val="14"/>
            <color indexed="81"/>
            <rFont val="Tahoma"/>
            <family val="2"/>
          </rPr>
          <t xml:space="preserve">NOTE:
</t>
        </r>
        <r>
          <rPr>
            <sz val="14"/>
            <color indexed="81"/>
            <rFont val="Tahoma"/>
            <family val="2"/>
          </rPr>
          <t xml:space="preserve">The "sources of funding" cells summarize the amount of capital contributed from equity, debt and grants, if applicable. The sum is the same at the project's "Total Installed Cost."
</t>
        </r>
      </text>
    </comment>
    <comment ref="S104" authorId="0" shapeId="0" xr:uid="{00000000-0006-0000-0100-0000AB000000}">
      <text>
        <r>
          <rPr>
            <b/>
            <sz val="14"/>
            <color indexed="81"/>
            <rFont val="Tahoma"/>
            <family val="2"/>
          </rPr>
          <t xml:space="preserve">Note:
</t>
        </r>
        <r>
          <rPr>
            <sz val="14"/>
            <color indexed="81"/>
            <rFont val="Tahoma"/>
            <family val="2"/>
          </rPr>
          <t xml:space="preserve">Defines whether the project owner is a taxable or non-taxable entity. This determines the treatment of income taxes and other tax-related items.
</t>
        </r>
      </text>
    </comment>
    <comment ref="I105" authorId="0" shapeId="0" xr:uid="{00000000-0006-0000-0100-0000AC000000}">
      <text>
        <r>
          <rPr>
            <b/>
            <sz val="14"/>
            <color indexed="81"/>
            <rFont val="Tahoma"/>
            <family val="2"/>
          </rPr>
          <t xml:space="preserve">NOTE:
</t>
        </r>
        <r>
          <rPr>
            <sz val="14"/>
            <color indexed="81"/>
            <rFont val="Tahoma"/>
            <family val="2"/>
          </rPr>
          <t xml:space="preserve">The "sources of funding" cells summarize the amount of capital contributed from equity, debt and grants, if applicable. The sum is the same as the project's "Total Installed Cost."
</t>
        </r>
      </text>
    </comment>
    <comment ref="S105" authorId="0" shapeId="0" xr:uid="{00000000-0006-0000-0100-0000AD000000}">
      <text>
        <r>
          <rPr>
            <b/>
            <sz val="14"/>
            <color indexed="81"/>
            <rFont val="Tahoma"/>
            <family val="2"/>
          </rPr>
          <t xml:space="preserve">Note:
</t>
        </r>
        <r>
          <rPr>
            <sz val="14"/>
            <color indexed="81"/>
            <rFont val="Tahoma"/>
            <family val="2"/>
          </rPr>
          <t xml:space="preserve">Defines the project's federal income tax rate, if applicable.
Input cannot be less than zero.
</t>
        </r>
      </text>
    </comment>
    <comment ref="I106" authorId="1" shapeId="0" xr:uid="{00000000-0006-0000-0100-0000AE000000}">
      <text>
        <r>
          <rPr>
            <b/>
            <sz val="14"/>
            <color indexed="81"/>
            <rFont val="Tahoma"/>
            <family val="2"/>
          </rPr>
          <t xml:space="preserve">Note:
</t>
        </r>
        <r>
          <rPr>
            <sz val="14"/>
            <color indexed="81"/>
            <rFont val="Tahoma"/>
            <family val="2"/>
          </rPr>
          <t xml:space="preserve">This cell calculates the total of all applicable grants, </t>
        </r>
        <r>
          <rPr>
            <b/>
            <u/>
            <sz val="14"/>
            <color indexed="81"/>
            <rFont val="Tahoma"/>
            <family val="2"/>
          </rPr>
          <t>excluding</t>
        </r>
        <r>
          <rPr>
            <sz val="14"/>
            <color indexed="81"/>
            <rFont val="Tahoma"/>
            <family val="2"/>
          </rPr>
          <t xml:space="preserve"> the payment in lieu of the Federal ITC (also known as the ITC Cash Grant, or Cash Grant), if applicable.  The ITC Cash Grant is considered separately because unlike grants issued upfront and used to offset capital costs, the ITC Cash Grant is disbursed approxiamtely 60 days after the start of commercial operations and therefore becomes an integral part of the project's financing.
Where grants are treated as taxable income, this cell calculates the after-tax impact on the total cost of the project.
  </t>
        </r>
        <r>
          <rPr>
            <sz val="8"/>
            <color indexed="81"/>
            <rFont val="Tahoma"/>
            <family val="2"/>
          </rPr>
          <t xml:space="preserve">
</t>
        </r>
      </text>
    </comment>
    <comment ref="S106" authorId="0" shapeId="0" xr:uid="{00000000-0006-0000-0100-0000AF000000}">
      <text>
        <r>
          <rPr>
            <b/>
            <sz val="14"/>
            <color indexed="81"/>
            <rFont val="Tahoma"/>
            <family val="2"/>
          </rPr>
          <t xml:space="preserve">Note:
</t>
        </r>
        <r>
          <rPr>
            <sz val="14"/>
            <color indexed="81"/>
            <rFont val="Tahoma"/>
            <family val="2"/>
          </rPr>
          <t xml:space="preserve">Defines whether depreciation and PTC benefits are monetized in the period in which they are generated ("as generated" option) or whether these benefits must be delayed until the project has sufficient tax liability to use these benefits without relying on a 3rd-party investor with tax liability external to the project ("carried forward" method).
</t>
        </r>
      </text>
    </comment>
    <comment ref="I107" authorId="0" shapeId="0" xr:uid="{00000000-0006-0000-0100-0000B0000000}">
      <text>
        <r>
          <rPr>
            <b/>
            <sz val="14"/>
            <color indexed="81"/>
            <rFont val="Tahoma"/>
            <family val="2"/>
          </rPr>
          <t xml:space="preserve">NOTE:
</t>
        </r>
        <r>
          <rPr>
            <sz val="14"/>
            <color indexed="81"/>
            <rFont val="Tahoma"/>
            <family val="2"/>
          </rPr>
          <t xml:space="preserve">The "sources of funding" cells summarize the amount of capital contributed from equity, debt and grants, if applicable. The sum is the same as the project's "Total Installed Cost."
</t>
        </r>
      </text>
    </comment>
    <comment ref="S107" authorId="0" shapeId="0" xr:uid="{00000000-0006-0000-0100-0000B1000000}">
      <text>
        <r>
          <rPr>
            <b/>
            <sz val="14"/>
            <color indexed="81"/>
            <rFont val="Tahoma"/>
            <family val="2"/>
          </rPr>
          <t xml:space="preserve">Note:
</t>
        </r>
        <r>
          <rPr>
            <sz val="14"/>
            <color indexed="81"/>
            <rFont val="Tahoma"/>
            <family val="2"/>
          </rPr>
          <t xml:space="preserve">Defines the project's state income tax rate, if applicable.
Input cannot be less than zero.
</t>
        </r>
      </text>
    </comment>
    <comment ref="S108" authorId="0" shapeId="0" xr:uid="{00000000-0006-0000-0100-0000B2000000}">
      <text>
        <r>
          <rPr>
            <b/>
            <sz val="14"/>
            <color indexed="81"/>
            <rFont val="Tahoma"/>
            <family val="2"/>
          </rPr>
          <t xml:space="preserve">Note:
</t>
        </r>
        <r>
          <rPr>
            <sz val="14"/>
            <color indexed="81"/>
            <rFont val="Tahoma"/>
            <family val="2"/>
          </rPr>
          <t xml:space="preserve">Defines whether depreciation and PTC benefits are monetized in the period in which they are generated ("as generated" option) or whether these benefits must be delayed until the project has sufficient tax liability to use these benefits without relying on a 3rd-party investor with tax liability external to the project ("carried forward" method).
</t>
        </r>
      </text>
    </comment>
    <comment ref="S109" authorId="0" shapeId="0" xr:uid="{00000000-0006-0000-0100-0000B3000000}">
      <text>
        <r>
          <rPr>
            <b/>
            <sz val="14"/>
            <color indexed="81"/>
            <rFont val="Tahoma"/>
            <family val="2"/>
          </rPr>
          <t xml:space="preserve">Note:
</t>
        </r>
        <r>
          <rPr>
            <sz val="14"/>
            <color indexed="81"/>
            <rFont val="Tahoma"/>
            <family val="2"/>
          </rPr>
          <t xml:space="preserve">Takes into account the interaction between federal and state tax rates. This is a calculated value.
</t>
        </r>
      </text>
    </comment>
    <comment ref="S110" authorId="0" shapeId="0" xr:uid="{00000000-0006-0000-0100-0000B4000000}">
      <text>
        <r>
          <rPr>
            <b/>
            <sz val="14"/>
            <color indexed="81"/>
            <rFont val="Tahoma"/>
            <family val="2"/>
          </rPr>
          <t xml:space="preserve">Note:
</t>
        </r>
        <r>
          <rPr>
            <sz val="14"/>
            <color indexed="81"/>
            <rFont val="Tahoma"/>
            <family val="2"/>
          </rPr>
          <t>Depreciation accounts for the "use" of equipment for tax purposes. The depreciation inputs are provided in the table to the right and on the Complex Capital Costs tab when this option is selected.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Jason Gifford</author>
  </authors>
  <commentList>
    <comment ref="B5" authorId="0" shapeId="0" xr:uid="{00000000-0006-0000-0200-000001000000}">
      <text>
        <r>
          <rPr>
            <b/>
            <sz val="12"/>
            <color indexed="81"/>
            <rFont val="Tahoma"/>
            <family val="2"/>
          </rPr>
          <t>Note:</t>
        </r>
        <r>
          <rPr>
            <sz val="12"/>
            <color indexed="81"/>
            <rFont val="Tahoma"/>
            <family val="2"/>
          </rPr>
          <t xml:space="preserve">
One of the CREST model development objectives was to incorporate maximum functionality and flexibility, while maintaining a macro-free file.
As a result, the model calculates using a series of three data tables which converge onto the COE within several one-hundredths of a cent.
Because the three data tables rely on one another to calculate the COE, and the "Automatic" calculation setting only re-calculates the first data table under certain circumstances, it is sometimes necessary to press F9 more than once in order for the calculation to cascade through each of the three data tables.
If "#N/A" appears, F9 should be pressed until the calculated COE achieves it's final value.
</t>
        </r>
      </text>
    </comment>
    <comment ref="B14" authorId="0" shapeId="0" xr:uid="{00000000-0006-0000-0200-000002000000}">
      <text>
        <r>
          <rPr>
            <b/>
            <sz val="14"/>
            <color indexed="81"/>
            <rFont val="Tahoma"/>
            <family val="2"/>
          </rPr>
          <t xml:space="preserve">NOTE:
</t>
        </r>
        <r>
          <rPr>
            <sz val="14"/>
            <color indexed="81"/>
            <rFont val="Tahoma"/>
            <family val="2"/>
          </rPr>
          <t>The Nominal Levelized Cost of Energy (LCOE)
is the single, fixed rate with the same economic impact over the life of the project as the Year-One value escalated over time.  When a 0% escalator is assumed, the "Year-One COE" and "LCOE" are the same.
Both the Year One COE and the LCOE reflect the tariff rate necessary to achieve the project investor's required after tax rate of return, taking into account all applicable incentives and any market value of production assumed after the tariff expires and before the end of the project's useful life.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Jason Gifford</author>
  </authors>
  <commentList>
    <comment ref="C4" authorId="0" shapeId="0" xr:uid="{00000000-0006-0000-0300-000001000000}">
      <text>
        <r>
          <rPr>
            <b/>
            <sz val="14"/>
            <color indexed="81"/>
            <rFont val="Tahoma"/>
            <family val="2"/>
          </rPr>
          <t xml:space="preserve">Note:
</t>
        </r>
        <r>
          <rPr>
            <sz val="14"/>
            <color indexed="81"/>
            <rFont val="Tahoma"/>
            <family val="2"/>
          </rPr>
          <t>During the FIT contract period, this column represents the feed-in tariff rate, including escalation if applicable.  After the FIT contract ends, this column represents the value of energy, capacity, renewable energy credits, or other attributes as defined and enterred by the user, if applicable.</t>
        </r>
      </text>
    </comment>
    <comment ref="D4" authorId="0" shapeId="0" xr:uid="{00000000-0006-0000-0300-000002000000}">
      <text>
        <r>
          <rPr>
            <sz val="8"/>
            <color indexed="81"/>
            <rFont val="Tahoma"/>
            <family val="2"/>
          </rPr>
          <t xml:space="preserve">
</t>
        </r>
        <r>
          <rPr>
            <b/>
            <sz val="14"/>
            <color indexed="81"/>
            <rFont val="Tahoma"/>
            <family val="2"/>
          </rPr>
          <t>Note:</t>
        </r>
        <r>
          <rPr>
            <sz val="8"/>
            <color indexed="81"/>
            <rFont val="Tahoma"/>
            <family val="2"/>
          </rPr>
          <t xml:space="preserve">
</t>
        </r>
        <r>
          <rPr>
            <sz val="14"/>
            <color indexed="81"/>
            <rFont val="Tahoma"/>
            <family val="2"/>
          </rPr>
          <t>includes performance-based incentives.</t>
        </r>
      </text>
    </comment>
    <comment ref="E4" authorId="0" shapeId="0" xr:uid="{00000000-0006-0000-0300-000003000000}">
      <text>
        <r>
          <rPr>
            <b/>
            <sz val="14"/>
            <color indexed="81"/>
            <rFont val="Tahoma"/>
            <family val="2"/>
          </rPr>
          <t>Note:</t>
        </r>
        <r>
          <rPr>
            <sz val="14"/>
            <color indexed="81"/>
            <rFont val="Tahoma"/>
            <family val="2"/>
          </rPr>
          <t xml:space="preserve">
Includes all land lease, royalty and local tax or PILOT.
</t>
        </r>
      </text>
    </comment>
    <comment ref="F4" authorId="0" shapeId="0" xr:uid="{00000000-0006-0000-0300-000004000000}">
      <text>
        <r>
          <rPr>
            <b/>
            <sz val="12"/>
            <color indexed="81"/>
            <rFont val="Tahoma"/>
            <family val="2"/>
          </rPr>
          <t xml:space="preserve">Note:
</t>
        </r>
        <r>
          <rPr>
            <sz val="12"/>
            <color indexed="81"/>
            <rFont val="Tahoma"/>
            <family val="2"/>
          </rPr>
          <t>Includes principle and interest, if debt is used.</t>
        </r>
      </text>
    </comment>
    <comment ref="G4" authorId="0" shapeId="0" xr:uid="{00000000-0006-0000-0300-000005000000}">
      <text>
        <r>
          <rPr>
            <b/>
            <sz val="14"/>
            <color indexed="81"/>
            <rFont val="Tahoma"/>
            <family val="2"/>
          </rPr>
          <t xml:space="preserve">Note:
</t>
        </r>
        <r>
          <rPr>
            <sz val="14"/>
            <color indexed="81"/>
            <rFont val="Tahoma"/>
            <family val="2"/>
          </rPr>
          <t xml:space="preserve">Positive values denote net withdrawal from reserve accounts as reserved capital is returned to project owners.
</t>
        </r>
      </text>
    </comment>
    <comment ref="M4" authorId="0" shapeId="0" xr:uid="{00000000-0006-0000-0300-000006000000}">
      <text>
        <r>
          <rPr>
            <b/>
            <sz val="14"/>
            <color indexed="81"/>
            <rFont val="Tahoma"/>
            <family val="2"/>
          </rPr>
          <t xml:space="preserve">Note:
</t>
        </r>
        <r>
          <rPr>
            <sz val="14"/>
            <color indexed="81"/>
            <rFont val="Tahoma"/>
            <family val="2"/>
          </rPr>
          <t xml:space="preserve">This is the annual cash flow disbursed to the project's equity investors, after tax.
</t>
        </r>
      </text>
    </comment>
    <comment ref="N4" authorId="0" shapeId="0" xr:uid="{00000000-0006-0000-0300-000007000000}">
      <text>
        <r>
          <rPr>
            <b/>
            <sz val="14"/>
            <color indexed="81"/>
            <rFont val="Tahoma"/>
            <family val="2"/>
          </rPr>
          <t xml:space="preserve">Note:
</t>
        </r>
        <r>
          <rPr>
            <sz val="14"/>
            <color indexed="81"/>
            <rFont val="Tahoma"/>
            <family val="2"/>
          </rPr>
          <t xml:space="preserve">This is the cumulative benefit of annual net cash flows.  The year in which the values become positive represents the return "of" the equity investor's original cash contribution.  The equity investor does not earn its return "on" investment until the required rate is met - which in this model will be in the final project year.
</t>
        </r>
      </text>
    </comment>
    <comment ref="O4" authorId="0" shapeId="0" xr:uid="{00000000-0006-0000-0300-000008000000}">
      <text>
        <r>
          <rPr>
            <b/>
            <sz val="14"/>
            <color indexed="81"/>
            <rFont val="Tahoma"/>
            <family val="2"/>
          </rPr>
          <t xml:space="preserve">Note:
</t>
        </r>
        <r>
          <rPr>
            <sz val="14"/>
            <color indexed="81"/>
            <rFont val="Tahoma"/>
            <family val="2"/>
          </rPr>
          <t xml:space="preserve">This is a running tally on the equity investor's after tax internal rate of return.
</t>
        </r>
      </text>
    </comment>
    <comment ref="P4" authorId="0" shapeId="0" xr:uid="{00000000-0006-0000-0300-000009000000}">
      <text>
        <r>
          <rPr>
            <b/>
            <sz val="14"/>
            <color indexed="81"/>
            <rFont val="Tahoma"/>
            <family val="2"/>
          </rPr>
          <t xml:space="preserve">Note:
</t>
        </r>
        <r>
          <rPr>
            <sz val="14"/>
            <color indexed="81"/>
            <rFont val="Tahoma"/>
            <family val="2"/>
          </rPr>
          <t xml:space="preserve">The Debt Service Coverage Ratio is calculated by dividing the sum of the annual principal and interest payment into that year's operating cash flow.  Lenders will require the DSCR to demonstrate the project's ability to easily meet its annual debt service obligation.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Jason Gifford</author>
  </authors>
  <commentList>
    <comment ref="E63" authorId="0" shapeId="0" xr:uid="{00000000-0006-0000-0400-000001000000}">
      <text>
        <r>
          <rPr>
            <b/>
            <sz val="14"/>
            <color indexed="81"/>
            <rFont val="Tahoma"/>
            <family val="2"/>
          </rPr>
          <t xml:space="preserve">NOTE:
</t>
        </r>
        <r>
          <rPr>
            <sz val="14"/>
            <color indexed="81"/>
            <rFont val="Tahoma"/>
            <family val="2"/>
          </rPr>
          <t>If operating loss carry-forward is NOT applied, the values in the "Taxable Income" lines should be the same.</t>
        </r>
        <r>
          <rPr>
            <sz val="8"/>
            <color indexed="81"/>
            <rFont val="Tahoma"/>
            <family val="2"/>
          </rPr>
          <t xml:space="preserve">
</t>
        </r>
      </text>
    </comment>
    <comment ref="C101" authorId="0" shapeId="0" xr:uid="{00000000-0006-0000-0400-000002000000}">
      <text>
        <r>
          <rPr>
            <b/>
            <sz val="14"/>
            <color indexed="81"/>
            <rFont val="Tahoma"/>
            <family val="2"/>
          </rPr>
          <t>Note:</t>
        </r>
        <r>
          <rPr>
            <sz val="14"/>
            <color indexed="81"/>
            <rFont val="Tahoma"/>
            <family val="2"/>
          </rPr>
          <t xml:space="preserve">
Adjustments include (if applicable): reduction of cost basis by 50% of ITC (or ITC Cash Grant), reduction of cost basis for other non-taxable grants, and allocation of Bonus Depreciation. </t>
        </r>
      </text>
    </comment>
    <comment ref="E101" authorId="0" shapeId="0" xr:uid="{00000000-0006-0000-0400-000003000000}">
      <text>
        <r>
          <rPr>
            <b/>
            <sz val="14"/>
            <color indexed="81"/>
            <rFont val="Tahoma"/>
            <family val="2"/>
          </rPr>
          <t xml:space="preserve">Note:
</t>
        </r>
        <r>
          <rPr>
            <sz val="14"/>
            <color indexed="81"/>
            <rFont val="Tahoma"/>
            <family val="2"/>
          </rPr>
          <t xml:space="preserve">Adjustments include (if applicable): reduction of cost basis by 50% of ITC (or ITC Cash Grant), reduction of cost basis for other non-taxable grants, and allocation of Bonus Depreciation. </t>
        </r>
      </text>
    </comment>
    <comment ref="B141" authorId="0" shapeId="0" xr:uid="{00000000-0006-0000-0400-000004000000}">
      <text>
        <r>
          <rPr>
            <b/>
            <sz val="8"/>
            <color indexed="81"/>
            <rFont val="Tahoma"/>
            <family val="2"/>
          </rPr>
          <t>'50% of taxable income' is the not-to-exceed limit on Percentage Method depletion</t>
        </r>
      </text>
    </comment>
    <comment ref="G179" authorId="0" shapeId="0" xr:uid="{00000000-0006-0000-0400-000005000000}">
      <text>
        <r>
          <rPr>
            <b/>
            <sz val="12"/>
            <color indexed="81"/>
            <rFont val="Tahoma"/>
            <family val="2"/>
          </rPr>
          <t>Note:</t>
        </r>
        <r>
          <rPr>
            <sz val="12"/>
            <color indexed="81"/>
            <rFont val="Tahoma"/>
            <family val="2"/>
          </rPr>
          <t xml:space="preserve">
ITC earned in first quarter of operation assumed eligible to offset tax on state income taxes saved in first operating year, when applicable. Remainder of ITC carried forward.
</t>
        </r>
      </text>
    </comment>
    <comment ref="B203" authorId="0" shapeId="0" xr:uid="{00000000-0006-0000-0400-000006000000}">
      <text>
        <r>
          <rPr>
            <sz val="14"/>
            <color indexed="81"/>
            <rFont val="Tahoma"/>
            <family val="2"/>
          </rPr>
          <t>If decommissioning paid for through operations (e.g. a decommissioning reserve account) then the "Ending Balance" in the project's final operating year should equal the total decommission reserve requirement specified on the inputs tab; if decommissioning is paid for from the salvage value of the equipment, then the "Ending Balance" in the project's final operating year should be zero.</t>
        </r>
      </text>
    </comment>
  </commentList>
</comments>
</file>

<file path=xl/sharedStrings.xml><?xml version="1.0" encoding="utf-8"?>
<sst xmlns="http://schemas.openxmlformats.org/spreadsheetml/2006/main" count="1108" uniqueCount="522">
  <si>
    <t>$</t>
  </si>
  <si>
    <t>%</t>
  </si>
  <si>
    <t>kWh</t>
  </si>
  <si>
    <t>Production</t>
  </si>
  <si>
    <t>years</t>
  </si>
  <si>
    <t>Federal Income Tax Rate</t>
  </si>
  <si>
    <t>State Income Tax Rate</t>
  </si>
  <si>
    <t>?</t>
  </si>
  <si>
    <t>Select Cost Level of Detail</t>
  </si>
  <si>
    <t>Operations &amp; Maintenance</t>
  </si>
  <si>
    <t>$/yr</t>
  </si>
  <si>
    <t>Operating Expenses</t>
  </si>
  <si>
    <t>Yes</t>
  </si>
  <si>
    <t>Technology Options</t>
  </si>
  <si>
    <t>Project Size and Performance</t>
  </si>
  <si>
    <t>Is owner a taxable entity?</t>
  </si>
  <si>
    <t>ITC utilization factor, if applicable</t>
  </si>
  <si>
    <t>Notes</t>
  </si>
  <si>
    <t>Check</t>
  </si>
  <si>
    <t>5-year MACRS</t>
  </si>
  <si>
    <t>15-year MACRS</t>
  </si>
  <si>
    <t>20-year SL</t>
  </si>
  <si>
    <t>Non-Depreciable</t>
  </si>
  <si>
    <t>Utilization Factor, if applicable</t>
  </si>
  <si>
    <t>Cost Category</t>
  </si>
  <si>
    <t>year</t>
  </si>
  <si>
    <t>Effective Income Tax Rate</t>
  </si>
  <si>
    <t>State ITC realization period</t>
  </si>
  <si>
    <t>yrs</t>
  </si>
  <si>
    <t>PBI Duration</t>
  </si>
  <si>
    <t>Permanent Financing</t>
  </si>
  <si>
    <t>Interest Rate (Annual)</t>
  </si>
  <si>
    <t>months</t>
  </si>
  <si>
    <t>Interest During Construction</t>
  </si>
  <si>
    <t>Initial Funding of Reserve Accounts</t>
  </si>
  <si>
    <t>Debt Service Reserve</t>
  </si>
  <si>
    <t># of months of O&amp;M Expense</t>
  </si>
  <si>
    <t>Initial O&amp;M and WC Reserve</t>
  </si>
  <si>
    <t>Initial Debt Service Reserve</t>
  </si>
  <si>
    <t># of months of Debt Service</t>
  </si>
  <si>
    <t>Decommissioning Reserve</t>
  </si>
  <si>
    <t>Reserves Funded from Operations</t>
  </si>
  <si>
    <t>Fund from Operations or Salvage Value?</t>
  </si>
  <si>
    <t>Reserve Requirement</t>
  </si>
  <si>
    <t>Lender's Fee (% of total borrowing)</t>
  </si>
  <si>
    <t>Other Equity &amp; Debt Closing Costs</t>
  </si>
  <si>
    <t>Inputs Summary</t>
  </si>
  <si>
    <t>Outputs Summary</t>
  </si>
  <si>
    <t>¢/kWh</t>
  </si>
  <si>
    <t>Annual Project Cash Flows, Returns &amp; Other Metrics</t>
  </si>
  <si>
    <t>Revenue</t>
  </si>
  <si>
    <t>Year</t>
  </si>
  <si>
    <t>Cumulative Cash Flow</t>
  </si>
  <si>
    <t>After Tax IRR</t>
  </si>
  <si>
    <t>Debt Service</t>
  </si>
  <si>
    <t>Coverage</t>
  </si>
  <si>
    <t>Current Model Run</t>
  </si>
  <si>
    <t>units</t>
  </si>
  <si>
    <t>O&amp;M Reserve/Working Capital</t>
  </si>
  <si>
    <t>Insurance, Yr 1 (% of Total Cost)</t>
  </si>
  <si>
    <t>COD</t>
  </si>
  <si>
    <t>Production Degradation Factor</t>
  </si>
  <si>
    <t>Project Expenses</t>
  </si>
  <si>
    <t>Project Administration</t>
  </si>
  <si>
    <t>Insurance</t>
  </si>
  <si>
    <t>Operating Income After Interest Expense</t>
  </si>
  <si>
    <t>Pre-Tax Cash Flow to Equity</t>
  </si>
  <si>
    <t>Project Cash Flows</t>
  </si>
  <si>
    <t>Running IRR (Cash Only)</t>
  </si>
  <si>
    <t>Supporting Calculations</t>
  </si>
  <si>
    <t>5 Year MACRS</t>
  </si>
  <si>
    <t>15 Year MACRS</t>
  </si>
  <si>
    <t>20 Year SL</t>
  </si>
  <si>
    <t>Total Project Cost, adj for ITC/Grant if applicable</t>
  </si>
  <si>
    <t xml:space="preserve">Total  </t>
  </si>
  <si>
    <t xml:space="preserve">Debt Service:            </t>
  </si>
  <si>
    <t>Size of Debt</t>
  </si>
  <si>
    <t>Debt Sizing (Defined Capital Structure Method)</t>
  </si>
  <si>
    <t>Installed Cost (excluding cost of financing)</t>
  </si>
  <si>
    <t>Defined Debt-to-Total-Capital</t>
  </si>
  <si>
    <t>Beginning Balance</t>
  </si>
  <si>
    <t>Drawdowns</t>
  </si>
  <si>
    <t>Ending Balance</t>
  </si>
  <si>
    <t>Interest</t>
  </si>
  <si>
    <t>Principal</t>
  </si>
  <si>
    <t>Structured Debt Service Payment</t>
  </si>
  <si>
    <t>Depreciation Allocation</t>
  </si>
  <si>
    <t>% Eligible for ITC</t>
  </si>
  <si>
    <t>placeholder</t>
  </si>
  <si>
    <t>Click Here to Return to Inputs Worksheet</t>
  </si>
  <si>
    <t>Variable O&amp;M Expense, Yr 1</t>
  </si>
  <si>
    <t xml:space="preserve">¢/kWh </t>
  </si>
  <si>
    <t>see table ==&gt;</t>
  </si>
  <si>
    <t>Tariff Rate &amp; Cash Incentives</t>
  </si>
  <si>
    <t>Percentage of Tariff Escalated</t>
  </si>
  <si>
    <t>Tariff Rate Escalator, if applicable</t>
  </si>
  <si>
    <t>Revenue from Tariff</t>
  </si>
  <si>
    <t>Federal Cash Incentive Rate</t>
  </si>
  <si>
    <t xml:space="preserve">Federal Cash Incentive  </t>
  </si>
  <si>
    <t>State Cash Incentive Rate</t>
  </si>
  <si>
    <t xml:space="preserve">State Cash Incentive  </t>
  </si>
  <si>
    <t>Operating Expense Inflation Factor</t>
  </si>
  <si>
    <t>Property Tax or Payment in Lieu of Taxes (PILOT)</t>
  </si>
  <si>
    <t>Royalties</t>
  </si>
  <si>
    <t>Royalties (% of revenue)</t>
  </si>
  <si>
    <t>Project Revenue, All Sources</t>
  </si>
  <si>
    <t xml:space="preserve">Total Operating Expenses </t>
  </si>
  <si>
    <t>EBITDA (Operating Income)</t>
  </si>
  <si>
    <t>Principal Repayments</t>
  </si>
  <si>
    <t>Loan Amortization</t>
  </si>
  <si>
    <t xml:space="preserve">Loan Repayment </t>
  </si>
  <si>
    <t>Repayment of Loan Principal</t>
  </si>
  <si>
    <t>Loan Interest Expense</t>
  </si>
  <si>
    <t>Net Pre-Tax Cash Flow to Equity</t>
  </si>
  <si>
    <t>Project/Contract Year</t>
  </si>
  <si>
    <t>Depreciation Schedules, Half-Year Convention</t>
  </si>
  <si>
    <t>Allocation</t>
  </si>
  <si>
    <t xml:space="preserve">ITC or Cash Grant  </t>
  </si>
  <si>
    <t>check</t>
  </si>
  <si>
    <t>Total Installed Cost</t>
  </si>
  <si>
    <t>No</t>
  </si>
  <si>
    <t>PBI Rate</t>
  </si>
  <si>
    <t>Federal Income Taxes Saved / (Paid), before ITC/PTC</t>
  </si>
  <si>
    <t>Running IRR (After Tax)</t>
  </si>
  <si>
    <t>After-Tax Cash Flow to Equity</t>
  </si>
  <si>
    <t>Cash Benefit of State ITC and/or PTC</t>
  </si>
  <si>
    <t>PBI Escalation Rate</t>
  </si>
  <si>
    <t>Federal PBI Escalator, if applicable</t>
  </si>
  <si>
    <t>State PBI Escalator, if applicable</t>
  </si>
  <si>
    <t>Reserve Accounts:</t>
  </si>
  <si>
    <t>Interest on All Reserves</t>
  </si>
  <si>
    <t>Annual Debt Service Coverage Ratio</t>
  </si>
  <si>
    <t>Depreciation:</t>
  </si>
  <si>
    <t>Annual Depreciation Expense, Initial Installation</t>
  </si>
  <si>
    <t>Annual Depreciation Expense, Repairs &amp; Replacements</t>
  </si>
  <si>
    <t>1st Replacement</t>
  </si>
  <si>
    <t>2nd Replacement</t>
  </si>
  <si>
    <t>Depreciation Timing</t>
  </si>
  <si>
    <t>Depreciation Expense</t>
  </si>
  <si>
    <t>Tax</t>
  </si>
  <si>
    <t>After Tax Cash Flow</t>
  </si>
  <si>
    <t>Reserves</t>
  </si>
  <si>
    <t>PBI Utilization Factor, if applicable</t>
  </si>
  <si>
    <t>Depreciation Classification</t>
  </si>
  <si>
    <t>Interconnection</t>
  </si>
  <si>
    <t>Sample inputs provided on this tab are illustrative only, all inputs must be provided and validated by the user.</t>
  </si>
  <si>
    <t>Total Project Costs</t>
  </si>
  <si>
    <t>$ Eligible for ITC</t>
  </si>
  <si>
    <t>Lender Fee</t>
  </si>
  <si>
    <t>Initial Funding of Debt Service &amp; Working Capital/O&amp;M Reserves</t>
  </si>
  <si>
    <t>Other Closing Costs</t>
  </si>
  <si>
    <t>Other Grants or Rebates</t>
  </si>
  <si>
    <t>State Income Taxes Saved / (Paid), before ITC/PTC</t>
  </si>
  <si>
    <t>Title:</t>
  </si>
  <si>
    <t>Yr 1 COE</t>
  </si>
  <si>
    <t>Interest Earned on Reserve Accounts</t>
  </si>
  <si>
    <t>O&amp;M/Working Capital Reserve</t>
  </si>
  <si>
    <t>Interest on Reserves</t>
  </si>
  <si>
    <t>Annual Contributions to/(Liquidations of) Reserves</t>
  </si>
  <si>
    <t>(Contributions to), and Liquidation of, Reserve Accounts</t>
  </si>
  <si>
    <t>Adjustment(s) for Major Equipment Replacement(s)</t>
  </si>
  <si>
    <t>Major Equipment Replacement Reserves</t>
  </si>
  <si>
    <t>Annual Depreciation Benefit</t>
  </si>
  <si>
    <t>Model Architecture:</t>
  </si>
  <si>
    <t>Black Text is strictly reserved for cells that are calculated automatically . These cells should not be modified.</t>
  </si>
  <si>
    <t>Pass/Fail</t>
  </si>
  <si>
    <t>Min DSCR</t>
  </si>
  <si>
    <t>Taxable Entity? (turns on/off ITC and depreciation input cells)</t>
  </si>
  <si>
    <t>Federal PTC (as generated)</t>
  </si>
  <si>
    <t>State PTC (as generated)</t>
  </si>
  <si>
    <t>Version:</t>
  </si>
  <si>
    <t>Entering Inputs:  Model Conventions</t>
  </si>
  <si>
    <t>In the "Check" column, green cells are used to indicate that the user has entered an acceptable value in a required field.</t>
  </si>
  <si>
    <t>Annual Escalation of Year-One COE</t>
  </si>
  <si>
    <t>% of Year-One Tariff Rate Escalated</t>
  </si>
  <si>
    <t>Project Management Yr 1</t>
  </si>
  <si>
    <t xml:space="preserve">ITC Amount </t>
  </si>
  <si>
    <t>Paste Results of Multiple Model Runs Below</t>
  </si>
  <si>
    <t>[Insert Scenario Name]</t>
  </si>
  <si>
    <t>Results of multiple scenarios may be compared here by using the "copy" and "paste special - values" feature to transfer values from column D to columns F through O</t>
  </si>
  <si>
    <t>Interest Rate on Term Debt</t>
  </si>
  <si>
    <t>Initial Period ends last day of:</t>
  </si>
  <si>
    <t>O&amp;M Cost Inflation, thereafter</t>
  </si>
  <si>
    <t>O&amp;M Cost Inflation, initial period</t>
  </si>
  <si>
    <t>Fixed O&amp;M Expense, Yr 1</t>
  </si>
  <si>
    <t>Project Useful Life</t>
  </si>
  <si>
    <t>Value of energy, capacity &amp; RECs, Yr 1</t>
  </si>
  <si>
    <t>Market Value Escalation Rate</t>
  </si>
  <si>
    <t>Year-by-Year Inputs for Market Value of Production, if applicable</t>
  </si>
  <si>
    <t>Complex Inputs for Deriving Total Project Capital Cost, if applicable</t>
  </si>
  <si>
    <t>* Includes energy, capacity &amp; RECs</t>
  </si>
  <si>
    <t>Market Revenue</t>
  </si>
  <si>
    <t>Post-Tariff Market Value of Production</t>
  </si>
  <si>
    <t>Required Minimum Annual DSCR</t>
  </si>
  <si>
    <t>Actual Minimum DSCR, occurs in →</t>
  </si>
  <si>
    <t xml:space="preserve">ITC or Cash Grant Amount </t>
  </si>
  <si>
    <t>Tariff or Market Value</t>
  </si>
  <si>
    <t>Project</t>
  </si>
  <si>
    <t>Summary Results</t>
  </si>
  <si>
    <t>Taxable Income / (Operating Loss)</t>
  </si>
  <si>
    <t>Operating Loss Carry-Forward, if applicable:</t>
  </si>
  <si>
    <t>Utilization of Operating Loss Carry-Forward</t>
  </si>
  <si>
    <t>Operating Loss Carry-Forward, Beginning Balance</t>
  </si>
  <si>
    <t>Additional Operating Loss Carried-Forward</t>
  </si>
  <si>
    <t>Operating Loss Carry-Forward, Ending Balance</t>
  </si>
  <si>
    <t>Taxable Income with Operating Loss Carry-Forward</t>
  </si>
  <si>
    <t>Annual Depreciation Expense</t>
  </si>
  <si>
    <t>Federal Tax Credit Benefits, if applicable:</t>
  </si>
  <si>
    <t>Federal ITC (as generated)</t>
  </si>
  <si>
    <t>State ITC (as generated)</t>
  </si>
  <si>
    <t>Applicable Tax Credits, as generated</t>
  </si>
  <si>
    <t>Carry-Forward Scenario:</t>
  </si>
  <si>
    <t>State Tax Credit Benefits, if applicable:</t>
  </si>
  <si>
    <t>Performance, Cost, Operating, Tax &amp; Financing Inputs</t>
  </si>
  <si>
    <t>State Grants Treated as Taxable Income?</t>
  </si>
  <si>
    <t>Federal Grants Treated as Taxable Income?</t>
  </si>
  <si>
    <t>Annual Property Tax Adjustment Factor</t>
  </si>
  <si>
    <t>Property Tax or PILOT, Yr 1</t>
  </si>
  <si>
    <t>% Debt (% of hard costs) (mortgage-style amort.)</t>
  </si>
  <si>
    <t>Senior Debt (funds portion of hard costs)</t>
  </si>
  <si>
    <t>Equity (funds balance of hard costs + all soft costs)</t>
  </si>
  <si>
    <t>Summary of Sources of Funding for Total Installed Cost</t>
  </si>
  <si>
    <t>Actual Average DSCR</t>
  </si>
  <si>
    <t>Required Average DSCR</t>
  </si>
  <si>
    <t>Select Market Value Forecast Methodology</t>
  </si>
  <si>
    <t>Project Year</t>
  </si>
  <si>
    <t>Bundled* Market Value of Production (¢/kWh)</t>
  </si>
  <si>
    <t>Avg. DSCR</t>
  </si>
  <si>
    <t>Tariff Rate (Fixed Portion)</t>
  </si>
  <si>
    <t>Tariff Rate (Total)</t>
  </si>
  <si>
    <t>Tariff Rate (Escalating Portion)</t>
  </si>
  <si>
    <t>Equity Investment</t>
  </si>
  <si>
    <t>Pre-Tax Cash Flow</t>
  </si>
  <si>
    <t>Revenue + Tax Benefit/(Loss)</t>
  </si>
  <si>
    <t>Expenses + Cash Obligations</t>
  </si>
  <si>
    <t>Graph Data</t>
  </si>
  <si>
    <t>Operating the Model:</t>
  </si>
  <si>
    <t>Understanding the Results:</t>
  </si>
  <si>
    <t>Cash Benefit of Federal ITC, Cash Grant, or PTC</t>
  </si>
  <si>
    <t>Net Capacity Factor, Yr 1</t>
  </si>
  <si>
    <t>Target After-Tax Equity IRR</t>
  </si>
  <si>
    <t>COE Data Tables</t>
  </si>
  <si>
    <t>NPV</t>
  </si>
  <si>
    <t>(cents/kWh)</t>
  </si>
  <si>
    <t>Range Min</t>
  </si>
  <si>
    <t>Range Max</t>
  </si>
  <si>
    <t>Calculation of COE when tax benefits are "Carried Forward"</t>
  </si>
  <si>
    <t>Production, Yr 1</t>
  </si>
  <si>
    <t>Tax Benefit Carry-Forward, Beginning Balance</t>
  </si>
  <si>
    <t>Additional Tax Benefit Carry-Forward</t>
  </si>
  <si>
    <t>Utilization of Tax Benefit Carry-Forward</t>
  </si>
  <si>
    <t>Tax Benefit Carry-Forward, Ending Balance</t>
  </si>
  <si>
    <r>
      <t xml:space="preserve">Taxable Income </t>
    </r>
    <r>
      <rPr>
        <sz val="12"/>
        <rFont val="Arial"/>
        <family val="2"/>
      </rPr>
      <t>(operating loss used as generated)</t>
    </r>
  </si>
  <si>
    <r>
      <t>Taxable Income (Federal)</t>
    </r>
    <r>
      <rPr>
        <sz val="12"/>
        <rFont val="Arial"/>
        <family val="2"/>
      </rPr>
      <t>,           operating loss treatment ==&gt;&gt;</t>
    </r>
  </si>
  <si>
    <r>
      <t>Taxable Income (State),</t>
    </r>
    <r>
      <rPr>
        <sz val="12"/>
        <rFont val="Arial"/>
        <family val="2"/>
      </rPr>
      <t xml:space="preserve">               operating loss treatment ==&gt;&gt;</t>
    </r>
  </si>
  <si>
    <t>Federal Tax Benefits used as generated or carried forward?</t>
  </si>
  <si>
    <t>State Tax Benefits used as generated or carried forward?</t>
  </si>
  <si>
    <t>Federal Carry-Forward</t>
  </si>
  <si>
    <t>State Carry-Forward</t>
  </si>
  <si>
    <t>Federal Tax Income</t>
  </si>
  <si>
    <t>State Tax Income</t>
  </si>
  <si>
    <t>Federal Tax 
Benefit/ (Loss)</t>
  </si>
  <si>
    <t>State Tax 
Benefit/ (Loss)</t>
  </si>
  <si>
    <t>Minimum DSSCR Year</t>
  </si>
  <si>
    <t>Units</t>
  </si>
  <si>
    <t>Unit Definitions</t>
  </si>
  <si>
    <t>Pass/Fail – denotes whether the two debt service coverage ratio tests have passed or failed.</t>
  </si>
  <si>
    <t>(kW) kilowatt – a standard measure of electrical capacity, equal to 1000 Watts.</t>
  </si>
  <si>
    <t>(kWh) kilowatt hour – a standard measure of electrical output. A 1 kW generator operating at rated capacity for one hour will produce 1 kWh of electricity.</t>
  </si>
  <si>
    <t>(DC) direct current – the unidirectional flow of electric charge</t>
  </si>
  <si>
    <t>(AC) alternating current – the multidirectional flow of electric charge</t>
  </si>
  <si>
    <t>(¢/kWh) –cents per kilowatt hour</t>
  </si>
  <si>
    <t>(%) – an input with units expressed as a percentage</t>
  </si>
  <si>
    <t>(years or year) – an input applicable to a specified duration or project year</t>
  </si>
  <si>
    <t>($/yr) – inputs measured in dollars and applied annually</t>
  </si>
  <si>
    <t>(months) –designates the number of months to which an input applies</t>
  </si>
  <si>
    <r>
      <t xml:space="preserve">Does modeled project meet </t>
    </r>
    <r>
      <rPr>
        <b/>
        <i/>
        <sz val="11"/>
        <color theme="1"/>
        <rFont val="Arial"/>
        <family val="2"/>
      </rPr>
      <t>minimum</t>
    </r>
    <r>
      <rPr>
        <b/>
        <sz val="11"/>
        <color theme="1"/>
        <rFont val="Arial"/>
        <family val="2"/>
      </rPr>
      <t xml:space="preserve"> DSCR requirements?</t>
    </r>
  </si>
  <si>
    <r>
      <t xml:space="preserve">Does modeled project meet </t>
    </r>
    <r>
      <rPr>
        <b/>
        <i/>
        <sz val="11"/>
        <color theme="1"/>
        <rFont val="Arial"/>
        <family val="2"/>
      </rPr>
      <t>average</t>
    </r>
    <r>
      <rPr>
        <b/>
        <sz val="11"/>
        <color theme="1"/>
        <rFont val="Arial"/>
        <family val="2"/>
      </rPr>
      <t xml:space="preserve"> DSCR requirements?</t>
    </r>
  </si>
  <si>
    <t>Notes: User-Defined</t>
  </si>
  <si>
    <t>Cost-Based</t>
  </si>
  <si>
    <t>Investment Tax Credit (ITC) or Cash Grant?</t>
  </si>
  <si>
    <t>Type of Federal Incentive Assumed</t>
  </si>
  <si>
    <t>Is PBI Tax-Based (PTC) or Cash-Based (REPI)?</t>
  </si>
  <si>
    <t>Is Performance-Based Incentive Tax Credit or Cash Pmt?</t>
  </si>
  <si>
    <t>($/kW-yr) – an annual expense (or revenue) based on generator capacity</t>
  </si>
  <si>
    <t>($) – All CREST model values are in nominal dollars</t>
  </si>
  <si>
    <t>Weighted Average Cost of Capital (WACC)</t>
  </si>
  <si>
    <t>Year One</t>
  </si>
  <si>
    <t>As Generated</t>
  </si>
  <si>
    <t>Did you confirm that all minimum required inputs have green check cells?</t>
  </si>
  <si>
    <t>ITC</t>
  </si>
  <si>
    <t>Insurance, Yr 1 ($) (Provided for reference)</t>
  </si>
  <si>
    <t>Royalties, Yr 1 ($) (Provided for reference)</t>
  </si>
  <si>
    <r>
      <rPr>
        <b/>
        <sz val="12"/>
        <color theme="4"/>
        <rFont val="Calibri"/>
        <family val="2"/>
        <scheme val="minor"/>
      </rPr>
      <t>Blue Bold Text</t>
    </r>
    <r>
      <rPr>
        <sz val="12"/>
        <color theme="1"/>
        <rFont val="Calibri"/>
        <family val="2"/>
        <scheme val="minor"/>
      </rPr>
      <t xml:space="preserve"> denotes user-defined inputs.  The user is responsible for modifying these cells to be consistent with the project being evaluated.</t>
    </r>
  </si>
  <si>
    <t>Conversely, red cells appearing in the "Check" column indicate that a required cell is blank or contains an invalid argument which requires the user's attention.</t>
  </si>
  <si>
    <t>Yellow boxes are used to highlight input choices the model user must make via a dropdown menu.</t>
  </si>
  <si>
    <t>The "Notes" column, populated with boxes showing a "?", contains a combination of definitions, explanations and ranges of typical values for most inputs.  To read a note, the users need only move the cursor onto the applicable cell.  The user is strongly encouraged to review all of these comments in order to understand key features of the CREST model.</t>
  </si>
  <si>
    <t>The output of this model is the all-in payment required to cover all expenses and meet the project investors' after-tax return requirements over the specified number of years. This payment can be used to inform the feed-in tariff rate-setting process.  The payment can either be expressed as a  ‘Year One’ value of which all, or a designated portion, escalates each year during the tariff's duration at a defined rate, or as a "nominal levelized" value (where zero annual escalation is assumed).  The model output is always expressed in cents/kWh.  It is important to note that this calculated tariff rate is net of other assumed incentives, such as federal tax credits and state grants.</t>
  </si>
  <si>
    <t>Press F9 each time inputs are changed to ensure completion of the COE calculation.  
When "#N/A" appears,  press "F9" in the upper row on your keyboard to complete the calculation.  It may be necessary to press F9 more than once. See note for details.</t>
  </si>
  <si>
    <t>Minimum DSCR Check Cell (If "Fail," read note ==&gt;)</t>
  </si>
  <si>
    <t>Average DSCR Check Cell (If "Fail," read note ==&gt;)</t>
  </si>
  <si>
    <t>Input Value</t>
  </si>
  <si>
    <t>Input Values</t>
  </si>
  <si>
    <t>Select Production Degradation Level of Detail</t>
  </si>
  <si>
    <t>Ratio of Plant Capacity to Thermal Potential</t>
  </si>
  <si>
    <t>ratio</t>
  </si>
  <si>
    <t>Thermal Resource Potential, Yr 1 (kW-electric equivalent)</t>
  </si>
  <si>
    <t>MW</t>
  </si>
  <si>
    <t>Select Thermal Resource Degradation Level of Detail</t>
  </si>
  <si>
    <t>Annual Degradation of Thermal Resource</t>
  </si>
  <si>
    <t>% of initial</t>
  </si>
  <si>
    <t>Exploration Costs Attributed to Project</t>
  </si>
  <si>
    <t>#</t>
  </si>
  <si>
    <t>Avg cost per exploration well</t>
  </si>
  <si>
    <t>Non-well exploration costs</t>
  </si>
  <si>
    <t>Confirmation well success ratio</t>
  </si>
  <si>
    <t>Cost per confirmation well</t>
  </si>
  <si>
    <t>Non-well confirmation costs</t>
  </si>
  <si>
    <t>Total Production Wells Needed</t>
  </si>
  <si>
    <t>Ratio of Injection to Production Wells</t>
  </si>
  <si>
    <t>Cost per production well</t>
  </si>
  <si>
    <t>Cost per injection well</t>
  </si>
  <si>
    <t>Non-Drilling Wellfield Costs (excluding confirmation phase)</t>
  </si>
  <si>
    <t>$/kW</t>
  </si>
  <si>
    <t>$/kW-yr</t>
  </si>
  <si>
    <t>Plant Capacity Factor by year (%)</t>
  </si>
  <si>
    <t>Production Degradation</t>
  </si>
  <si>
    <t>Plant Capacity</t>
  </si>
  <si>
    <t>Resource Potential Degradation</t>
  </si>
  <si>
    <t>Resource Potential</t>
  </si>
  <si>
    <t>Annual Plant Production Degradation</t>
  </si>
  <si>
    <t>Confirmation Well Drilling Cost (total)</t>
  </si>
  <si>
    <t>Production Well Drilling Cost (total)</t>
  </si>
  <si>
    <t>Injection Well Drilling Cost (total)</t>
  </si>
  <si>
    <t>Surface equipment cost (total)</t>
  </si>
  <si>
    <t>Non-well costs (total)</t>
  </si>
  <si>
    <t>Fixed O&amp;M Expense (Field)</t>
  </si>
  <si>
    <t>Variable O&amp;M Expense (Field)</t>
  </si>
  <si>
    <t>Fixed O&amp;M Expense (Plant)</t>
  </si>
  <si>
    <t>Variable O&amp;M Expense (Plant)</t>
  </si>
  <si>
    <t>Field</t>
  </si>
  <si>
    <t>Plant</t>
  </si>
  <si>
    <t>Capital Expenditures During Operations: Replacement Wells</t>
  </si>
  <si>
    <t>% Equity (% hard costs) (soft costs also equity funded)</t>
  </si>
  <si>
    <t>Degradation:</t>
  </si>
  <si>
    <t>Thermal Resource Degradation</t>
  </si>
  <si>
    <t>Power Plant</t>
  </si>
  <si>
    <t xml:space="preserve">Operations &amp; Maintenance: </t>
  </si>
  <si>
    <t>Land Lease</t>
  </si>
  <si>
    <t>Bonus Depreciation</t>
  </si>
  <si>
    <t>Project Cost Allocation</t>
  </si>
  <si>
    <t>Before</t>
  </si>
  <si>
    <t xml:space="preserve">% </t>
  </si>
  <si>
    <t xml:space="preserve">After </t>
  </si>
  <si>
    <t>Adjustments</t>
  </si>
  <si>
    <t>Unadjusted</t>
  </si>
  <si>
    <t>Adjusted</t>
  </si>
  <si>
    <t>Project Cost Basis</t>
  </si>
  <si>
    <t>Pre-Tax (Cash-only) Equity IRR (over defined Useful Life)</t>
  </si>
  <si>
    <t>After Tax Equity IRR (over defined Useful Life)</t>
  </si>
  <si>
    <t>Adjustment to Cost Basis for ITC &amp; Non-taxable Grants</t>
  </si>
  <si>
    <t>Cost of Renewable Energy Spreadsheet Tool (CREST)</t>
  </si>
  <si>
    <t>User Manual:</t>
  </si>
  <si>
    <t>Examples:</t>
  </si>
  <si>
    <t>Input Format</t>
  </si>
  <si>
    <t>Calculated Value Format</t>
  </si>
  <si>
    <t>Drop-Down Menu</t>
  </si>
  <si>
    <r>
      <t xml:space="preserve">Once a user has finished entering the characteristics of the project under review on the "Inputs" tab, the model will automatically calculate both the "Year One" and equivalent "Levelized Cost of Energy" -- as defined and discussed in the User Manual.  MS Excel's "Calculation Options" </t>
    </r>
    <r>
      <rPr>
        <b/>
        <sz val="12"/>
        <color theme="1"/>
        <rFont val="Calibri"/>
        <family val="2"/>
        <scheme val="minor"/>
      </rPr>
      <t>MUST</t>
    </r>
    <r>
      <rPr>
        <sz val="12"/>
        <color theme="1"/>
        <rFont val="Calibri"/>
        <family val="2"/>
        <scheme val="minor"/>
      </rPr>
      <t xml:space="preserve"> be set to "</t>
    </r>
    <r>
      <rPr>
        <u/>
        <sz val="12"/>
        <color theme="1"/>
        <rFont val="Calibri"/>
        <family val="2"/>
        <scheme val="minor"/>
      </rPr>
      <t>Automatic</t>
    </r>
    <r>
      <rPr>
        <sz val="12"/>
        <color theme="1"/>
        <rFont val="Calibri"/>
        <family val="2"/>
        <scheme val="minor"/>
      </rPr>
      <t xml:space="preserve">" in order for these results to be generated automatically.  If "Calculation Options" are not set to "Automatic," then the user will need to press "F9" </t>
    </r>
    <r>
      <rPr>
        <u/>
        <sz val="12"/>
        <color theme="1"/>
        <rFont val="Calibri"/>
        <family val="2"/>
        <scheme val="minor"/>
      </rPr>
      <t>after any input is changed</t>
    </r>
    <r>
      <rPr>
        <sz val="12"/>
        <color theme="1"/>
        <rFont val="Calibri"/>
        <family val="2"/>
        <scheme val="minor"/>
      </rPr>
      <t>, in order to calculate accurate results. Even when the Calculations Options are set to Automatic, there are circumstances in which F9 will need to be pressed one or more times in order to complete the calculation.  This is described in more detail in the note towards the top of the Summary Results worksheet. 
Results appear on the "Summary Results" worksheet.  In an effort to allow the user to perform a side-by-side review of multiple cases, the "Summary Results" tab has columns for multiple results. The user is encouraged to copy and paste results from column D into columns F-O as multiple scenarios are run.  This is accomplished by using the "copy" and then "paste special -- values" features in Excel.</t>
    </r>
  </si>
  <si>
    <t>The CREST model consists of six worksheets: (1) Introduction: An overview of the CREST model, (2) Inputs: The interface for nearly all user-defined assumptions, (3) Summary Results: A framework for storing the output (results) and associated key inputs of multiple model runs, (4) Annual Cash Flows &amp; Returns: Provides a summary of the modeled project's annual cash flows, (5) Cash Flow: The formula calculations, or "guts", of the model; derives all project cash and tax benefits, and (6) Complex Inputs: This worksheet is only used if the user elects to include a detailed breakdown of project costs; this choice is selected by the user on the Inputs tab. Users should expect to work primarily with the "Inputs" and the "Summary Results" worksheets, although the other tabs and summaries are also expected to be useful during the policy-making process.</t>
  </si>
  <si>
    <t>Federal Incentives</t>
  </si>
  <si>
    <t>1st Set of Well Replacements</t>
  </si>
  <si>
    <t>2nd Set of Well Replacements</t>
  </si>
  <si>
    <t># of Wells Replaced</t>
  </si>
  <si>
    <t>Cost per Replacement Well  ($ in year replaced)</t>
  </si>
  <si>
    <t>Resulting Increase in Thermal Resource Potential</t>
  </si>
  <si>
    <t>Other O&amp;M</t>
  </si>
  <si>
    <t>Year-by-Year Inputs for Thermal Resource and Production Degradation, if applicable</t>
  </si>
  <si>
    <t>Annual</t>
  </si>
  <si>
    <t>http://dsireusa.org/</t>
  </si>
  <si>
    <t>http://dsireusa.org/incentives/incentive.cfm?Incentive_Code=US02F&amp;re=1&amp;ee=1</t>
  </si>
  <si>
    <t>http://dsireusa.org/incentives/index.cfm?state=us&amp;re=1&amp;EE=1</t>
  </si>
  <si>
    <t>Summary of Reference Links From Inputs Worksheet</t>
  </si>
  <si>
    <t>Several of the input-specific "Notes" on the Inputs worksheet contain hyperlinks.  Since these hyperlinks are not operable when placed within the MS Excel notes feature, they are duplicated here for the user's convenience.</t>
  </si>
  <si>
    <t>DSIRE</t>
  </si>
  <si>
    <t>DSIRE: Tax/Grants</t>
  </si>
  <si>
    <t>DSIRE: Other Fed Incentives</t>
  </si>
  <si>
    <t>Total State ITC, over realization period</t>
  </si>
  <si>
    <t>Allocation of Depreciable, Depletable &amp; Expensable Costs</t>
  </si>
  <si>
    <t>Depletion</t>
  </si>
  <si>
    <t>Yr 1 Expensing</t>
  </si>
  <si>
    <t>Depletable</t>
  </si>
  <si>
    <t>Expensable</t>
  </si>
  <si>
    <t>Capital Cost Expensing</t>
  </si>
  <si>
    <t>Depletion -- Cost Method</t>
  </si>
  <si>
    <t>Depletion -- Percentage (Statutory) Method</t>
  </si>
  <si>
    <t>Percentage (Statutory) Depletion Deduction %:</t>
  </si>
  <si>
    <t>Portion of Revenue Attributable to Steam:</t>
  </si>
  <si>
    <t>Additional Depletion Inputs:</t>
  </si>
  <si>
    <t>Depreciation, Depletion &amp; Year-1 Expensing Allocation</t>
  </si>
  <si>
    <t>Depreciation, Depletion &amp; Capital Cost Expensing</t>
  </si>
  <si>
    <r>
      <t>Depletion -- Active Case</t>
    </r>
    <r>
      <rPr>
        <sz val="12"/>
        <rFont val="Arial"/>
        <family val="2"/>
      </rPr>
      <t xml:space="preserve"> (subject to change over time per user-defined inputs)</t>
    </r>
  </si>
  <si>
    <t>Select Depletion Methodology:</t>
  </si>
  <si>
    <t>Cost Method</t>
  </si>
  <si>
    <t>If Cost Method, switch to Percentage Method in year:</t>
  </si>
  <si>
    <t>Depletion:</t>
  </si>
  <si>
    <t>Depletion &amp; Capital Cost Expensing</t>
  </si>
  <si>
    <t>Capital Cost Expensing:</t>
  </si>
  <si>
    <t>50% of Taxable Income, before depletion</t>
  </si>
  <si>
    <t>Cost-Based Tariff Rate Structure</t>
  </si>
  <si>
    <t>Cost-Based Tariff Escalation Rate</t>
  </si>
  <si>
    <t xml:space="preserve">http://financere.nrel.gov/finance/content/crest-model </t>
  </si>
  <si>
    <t>The remainder of this Introduction worksheet provides an abridged version of the User Manual.</t>
  </si>
  <si>
    <r>
      <t xml:space="preserve">The CREST model comes with a User Manual which describes its design, features, inputs and outputs.  The manual is intended to provide an easy to follow road map to users who might not typically work with financial analyses,  to ensure successful utilization of this Cost of Energy tool.  The User Manual gives a "guided tour" of the model architecture, provides an explanation of how to operate the model, compare multiple analyses, and understand the results.  The User Manual is available to download at: </t>
    </r>
    <r>
      <rPr>
        <sz val="12"/>
        <color theme="1"/>
        <rFont val="Calibri"/>
        <family val="2"/>
        <scheme val="minor"/>
      </rPr>
      <t xml:space="preserve">
</t>
    </r>
  </si>
  <si>
    <t>RETI Cost of Generation Spreadsheet</t>
  </si>
  <si>
    <t>Vermont Standard Offer Models</t>
  </si>
  <si>
    <t>RETScreen</t>
  </si>
  <si>
    <t>Gainesville FIT Model</t>
  </si>
  <si>
    <t>Solar Advisor Model (SAM)</t>
  </si>
  <si>
    <t>EU PV Platform</t>
  </si>
  <si>
    <t>Vote Solar Incentive Comparison Model</t>
  </si>
  <si>
    <t>Geothermal Electricity Technology Evaluation Model (GETEM)</t>
  </si>
  <si>
    <t>Summary of Models Reviewed During the Development of the solar, wind and geothermal CREST:</t>
  </si>
  <si>
    <t>These models were reviewed primarily to identify best practices which effectively balance ease of use with flexibility and advanced functionality.  In most cases, the helpful modeling techniques identified are not technology-specific, and have influenced the general design of all three CREST models.  Each of the models listed below is discussed in more detail in the report (please see link at the top of this worksheet).</t>
  </si>
  <si>
    <t>Number of Successful Exploration Wells Required</t>
  </si>
  <si>
    <t xml:space="preserve">GETEM </t>
  </si>
  <si>
    <t>For a detailed description of the concepts and components associated with a geothermal power facility, please refer to the Geothermal Electricity Technology Evaluation Model (GETEM) and related resources:</t>
  </si>
  <si>
    <t xml:space="preserve">http://www1.eere.energy.gov/geothermal/getem.html </t>
  </si>
  <si>
    <r>
      <t xml:space="preserve">Forecasted Market Value of Production; applies </t>
    </r>
    <r>
      <rPr>
        <b/>
        <u/>
        <sz val="12"/>
        <rFont val="Arial"/>
        <family val="2"/>
      </rPr>
      <t>after</t>
    </r>
    <r>
      <rPr>
        <b/>
        <sz val="12"/>
        <rFont val="Arial"/>
        <family val="2"/>
      </rPr>
      <t xml:space="preserve"> Incentive Expiration</t>
    </r>
  </si>
  <si>
    <t>Initial Drilling (no upgrades)</t>
  </si>
  <si>
    <t>With First Upgrade</t>
  </si>
  <si>
    <t>With Second Upgrade</t>
  </si>
  <si>
    <t>Power Plant Production Capacity</t>
  </si>
  <si>
    <t>Annual Production</t>
  </si>
  <si>
    <t>Author:</t>
  </si>
  <si>
    <t>Sustainable Energy Advantage, LLC</t>
  </si>
  <si>
    <t>For Technical Support, Please Contact:</t>
  </si>
  <si>
    <t xml:space="preserve">Michael Mendelsohn, NREL
(303) 384-7363
michael.mendelsohn@nrel.gov </t>
  </si>
  <si>
    <t>For Model Customization, Please Contact:</t>
  </si>
  <si>
    <t xml:space="preserve">Sustainable Energy Advantage, LLC
(508) 665-5850
CREST@seadvantage.com </t>
  </si>
  <si>
    <t>Introduction:</t>
  </si>
  <si>
    <t xml:space="preserve">The CREST model is a cost-of-energy analysis tool intended to assist policy makers evaluating the appropriate payment rate for a cost-based renewable energy incentive policy. The model aims to determine the cost-of-energy, or minimum revenue per unit of production needed for a sample (modeled) renewable energy project to meet its investors' assumed minimum required after-tax rate of return.  This model was developed in conjunction with a report entitled “Renewable Energy Cost Modeling: A Toolkit for Establishing Cost-Based Incentives in the United States”, developed under contract to the National Renewable Energy Laboratory. For more information about the factors, issues and policy decisions involved in establishing cost-based rates and incentives, please refer to the report.
The report, user manual and CREST models are free and available for download at: </t>
  </si>
  <si>
    <t>Total Value of Grants  (excl. pmt in lieu of ITC, if applicable)</t>
  </si>
  <si>
    <t>Total Installed Cost (before grants, if applicable)</t>
  </si>
  <si>
    <t>Net Installed Cost</t>
  </si>
  <si>
    <t>Total Operating Expenses</t>
  </si>
  <si>
    <t>Payment Duration for Cost-Based Tariff</t>
  </si>
  <si>
    <t>Tax Credit-  or Cash- Based?</t>
  </si>
  <si>
    <t>Debt Term</t>
  </si>
  <si>
    <t>% of Year 1 Tariff Rate Escalated</t>
  </si>
  <si>
    <t>Operating Expenses, Aggregated, Yr 1</t>
  </si>
  <si>
    <t>Federal Tax Benefts Used "as generated" or "carried forward"?</t>
  </si>
  <si>
    <t>State Tax Benefts Used "as generated" or "carried forward"?</t>
  </si>
  <si>
    <t>Total of Grants or Rebates</t>
  </si>
  <si>
    <t>Bonus Depreciation assumed?</t>
  </si>
  <si>
    <t>Years</t>
  </si>
  <si>
    <r>
      <rPr>
        <sz val="11"/>
        <color theme="1"/>
        <rFont val="Calibri"/>
        <family val="2"/>
      </rPr>
      <t>¢</t>
    </r>
    <r>
      <rPr>
        <i/>
        <sz val="11"/>
        <color theme="1"/>
        <rFont val="Arial"/>
        <family val="2"/>
      </rPr>
      <t>/kWh</t>
    </r>
  </si>
  <si>
    <t>Cash</t>
  </si>
  <si>
    <t>Total $ Cap on State Rebates/Grants</t>
  </si>
  <si>
    <t>Annual $ Cap on Performance-Based Incentive</t>
  </si>
  <si>
    <t>State Tax Credits, Rebates and/or REC Revenue</t>
  </si>
  <si>
    <t>PBI or REC Rate</t>
  </si>
  <si>
    <t>PBI or REC PaymentDuration</t>
  </si>
  <si>
    <t>PBI or REC Escalation Rate (pos. or neg.)</t>
  </si>
  <si>
    <t>Net Year-One Cost of Energy (COE)</t>
  </si>
  <si>
    <t>Net Nominal Levelized Cost of Energy</t>
  </si>
  <si>
    <r>
      <t xml:space="preserve">Additional Federal Grants </t>
    </r>
    <r>
      <rPr>
        <b/>
        <sz val="10"/>
        <rFont val="Arial"/>
        <family val="2"/>
      </rPr>
      <t>(Other than Section 1603)</t>
    </r>
  </si>
  <si>
    <t>Select Form of Federal Incentive</t>
  </si>
  <si>
    <t>Additional State Rebates/Grants</t>
  </si>
  <si>
    <t>Select Form of State Incentive</t>
  </si>
  <si>
    <t>If cash, is state PBI or REC taxable?</t>
  </si>
  <si>
    <t>Neither</t>
  </si>
  <si>
    <t>Cost Level of Detail: Confirmation and Site Development Costs</t>
  </si>
  <si>
    <t>Exploration Well Drilling Success Rate</t>
  </si>
  <si>
    <t>Site Construction Costs: Well field &amp; Power Plant</t>
  </si>
  <si>
    <t>Production Well Field</t>
  </si>
  <si>
    <t>Power Plant &amp; Interconnection</t>
  </si>
  <si>
    <t>Total Confirmation Well Cost (at end of Confirmation Phase)</t>
  </si>
  <si>
    <t>Duration of Confirmation Phase</t>
  </si>
  <si>
    <r>
      <rPr>
        <b/>
        <sz val="12"/>
        <rFont val="Arial"/>
        <family val="2"/>
      </rPr>
      <t>Total Confirmation Costs</t>
    </r>
    <r>
      <rPr>
        <sz val="12"/>
        <rFont val="Arial"/>
        <family val="2"/>
      </rPr>
      <t xml:space="preserve"> (at time of permanent financing)</t>
    </r>
  </si>
  <si>
    <t>Number of successful confirmation wells required</t>
  </si>
  <si>
    <t>Total Confirmation Phase Costs (excluding time-value of money)</t>
  </si>
  <si>
    <t>Duration of Construction Phase</t>
  </si>
  <si>
    <t>Total Power Plant &amp; Interconnection Cost (at COD)</t>
  </si>
  <si>
    <t>Total Well Field &amp; Power Plant Costs (at COD)</t>
  </si>
  <si>
    <t>Total Well Field Cost (at end of Construction/COD)</t>
  </si>
  <si>
    <t>% of Construction Costs Financed with Equity</t>
  </si>
  <si>
    <t>% of Construction Costs Financed with Debt</t>
  </si>
  <si>
    <t>Blended Cost of Construction Financing</t>
  </si>
  <si>
    <r>
      <rPr>
        <b/>
        <sz val="12"/>
        <rFont val="Arial"/>
        <family val="2"/>
      </rPr>
      <t>Total Exploration Costs</t>
    </r>
    <r>
      <rPr>
        <sz val="12"/>
        <rFont val="Arial"/>
        <family val="2"/>
      </rPr>
      <t xml:space="preserve"> (including return from inception to COD)</t>
    </r>
  </si>
  <si>
    <t>$/Well</t>
  </si>
  <si>
    <t>Expected Return on Exploration Capital (from investment to COD)</t>
  </si>
  <si>
    <t>Confirmation Drilling Costs</t>
  </si>
  <si>
    <t>Annual Return Requirement of Confirmation Stage Investors</t>
  </si>
  <si>
    <t>Annual Return Requirement of Construction Phase Equity Investors</t>
  </si>
  <si>
    <t>Exploration Cost, before time-value of investment (for reference)</t>
  </si>
  <si>
    <t>Total Well Field &amp; Power Plant Cost per kW (for reference)</t>
  </si>
  <si>
    <t>% Bonus Depreciation, Yr 1, if applicable</t>
  </si>
  <si>
    <t>Total Production Well Field Cost</t>
  </si>
  <si>
    <t>Total Production Well Field Cost per kW (for reference)</t>
  </si>
  <si>
    <t>Total Power Plant &amp; Interconnection Cost</t>
  </si>
  <si>
    <t>Total Power Plant Costs per kW (for reference)</t>
  </si>
  <si>
    <t>% of Confirmation Costs Financed with Debt</t>
  </si>
  <si>
    <t>% of Confirmation Costs Financed with Equity</t>
  </si>
  <si>
    <t>Salvage</t>
  </si>
  <si>
    <t>Generator Gross Nameplate Capacity</t>
  </si>
  <si>
    <t>Total Capital Invested in Exploration</t>
  </si>
  <si>
    <t>Total Exploration Costs (before time-value of investment)</t>
  </si>
  <si>
    <t>Desk-top studies</t>
  </si>
  <si>
    <t>initial surface exploration</t>
  </si>
  <si>
    <t>temperature gradient drilling</t>
  </si>
  <si>
    <t>Total Exploration Phase Costs (excluding time-value of money)</t>
  </si>
  <si>
    <t>Installed Cost, excluding exploration costs</t>
  </si>
  <si>
    <t>Total Reserves &amp; Financing Costs</t>
  </si>
  <si>
    <t>Blended Cost of Confirmation Financing</t>
  </si>
  <si>
    <t>Confirmation Cost per kW, before time-value of investment (for reference)</t>
  </si>
  <si>
    <t>Power Plant Cost per kW, before IDC (for reference)</t>
  </si>
  <si>
    <t>Total Installed Cost, including time value of money</t>
  </si>
  <si>
    <t>Reserves, Lender Fees &amp; Closing Costs</t>
  </si>
  <si>
    <t>Intermediate</t>
  </si>
  <si>
    <t>Version 1.4 removes CREST's password protection. The authors strongly recommend that you save a copy of the model in its original form.  Once altered, modeling results cannot be warranted by NREL or SEA.  For model customization support, please contact Sustainable Energy Advantage, LLC.</t>
  </si>
  <si>
    <t>Update Notice:</t>
  </si>
  <si>
    <t>Geothermal, version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</si>
</sst>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_(&quot;$&quot;* #,##0_);_(&quot;$&quot;* \(#,##0\);_(&quot;$&quot;* &quot;-&quot;??_);_(@_)"/>
    <numFmt numFmtId="166" formatCode="&quot;Project&quot;\ #"/>
    <numFmt numFmtId="167" formatCode="0\ &quot;kW&quot;"/>
    <numFmt numFmtId="168" formatCode="&quot;$&quot;#,##0"/>
    <numFmt numFmtId="169" formatCode="&quot;$&quot;#.##&quot;/ Watt&quot;"/>
    <numFmt numFmtId="170" formatCode="&quot;$&quot;#,##0.00"/>
    <numFmt numFmtId="171" formatCode="0.0000"/>
    <numFmt numFmtId="172" formatCode="0.000"/>
    <numFmt numFmtId="173" formatCode="_(* #,##0_);_(* \(#,##0\);_(* &quot;-&quot;??_);_(@_)"/>
    <numFmt numFmtId="174" formatCode="0.000000"/>
    <numFmt numFmtId="175" formatCode="&quot;Year&quot;\ #"/>
    <numFmt numFmtId="176" formatCode="0.0"/>
    <numFmt numFmtId="177" formatCode="_(* #,##0.0_);_(* \(#,##0.0\);_(* &quot;-&quot;??_);_(@_)"/>
    <numFmt numFmtId="178" formatCode="_(* #,##0_);_(* \(#,##0\);_(* &quot;-&quot;?_);_(@_)"/>
    <numFmt numFmtId="179" formatCode="&quot;Net Present Value @&quot;\ #.##%\ &quot;(over defined Useful Life)&quot;"/>
  </numFmts>
  <fonts count="100">
    <font>
      <sz val="11"/>
      <color theme="1"/>
      <name val="Calibri"/>
      <family val="2"/>
      <scheme val="minor"/>
    </font>
    <font>
      <sz val="12"/>
      <color theme="1"/>
      <name val="Calibri"/>
      <family val="2"/>
      <scheme val="minor"/>
    </font>
    <font>
      <sz val="11"/>
      <color theme="1"/>
      <name val="Calibri"/>
      <family val="2"/>
      <scheme val="minor"/>
    </font>
    <font>
      <b/>
      <sz val="12"/>
      <name val="Arial"/>
      <family val="2"/>
    </font>
    <font>
      <i/>
      <sz val="12"/>
      <name val="Arial"/>
      <family val="2"/>
    </font>
    <font>
      <b/>
      <sz val="12"/>
      <color indexed="62"/>
      <name val="Arial"/>
      <family val="2"/>
    </font>
    <font>
      <sz val="12"/>
      <name val="Arial"/>
      <family val="2"/>
    </font>
    <font>
      <sz val="12"/>
      <color rgb="FFFF0000"/>
      <name val="Arial"/>
      <family val="2"/>
    </font>
    <font>
      <b/>
      <sz val="14"/>
      <name val="Arial"/>
      <family val="2"/>
    </font>
    <font>
      <b/>
      <sz val="12"/>
      <color theme="3"/>
      <name val="Arial"/>
      <family val="2"/>
    </font>
    <font>
      <b/>
      <i/>
      <sz val="10"/>
      <name val="Arial"/>
      <family val="2"/>
    </font>
    <font>
      <i/>
      <sz val="11"/>
      <name val="Arial"/>
      <family val="2"/>
    </font>
    <font>
      <b/>
      <sz val="12"/>
      <color indexed="56"/>
      <name val="Arial"/>
      <family val="2"/>
    </font>
    <font>
      <b/>
      <sz val="8"/>
      <color indexed="81"/>
      <name val="Tahoma"/>
      <family val="2"/>
    </font>
    <font>
      <sz val="8"/>
      <color indexed="81"/>
      <name val="Tahoma"/>
      <family val="2"/>
    </font>
    <font>
      <b/>
      <sz val="12"/>
      <color rgb="FFFF0000"/>
      <name val="Arial"/>
      <family val="2"/>
    </font>
    <font>
      <b/>
      <sz val="12"/>
      <color theme="0" tint="-0.14999847407452621"/>
      <name val="Arial"/>
      <family val="2"/>
    </font>
    <font>
      <u/>
      <sz val="8.8000000000000007"/>
      <color theme="10"/>
      <name val="Calibri"/>
      <family val="2"/>
    </font>
    <font>
      <b/>
      <sz val="14"/>
      <color indexed="81"/>
      <name val="Tahoma"/>
      <family val="2"/>
    </font>
    <font>
      <sz val="14"/>
      <color indexed="81"/>
      <name val="Tahoma"/>
      <family val="2"/>
    </font>
    <font>
      <sz val="10"/>
      <name val="Arial"/>
      <family val="2"/>
    </font>
    <font>
      <b/>
      <i/>
      <sz val="12"/>
      <name val="Arial"/>
      <family val="2"/>
    </font>
    <font>
      <u/>
      <sz val="12"/>
      <name val="Arial"/>
      <family val="2"/>
    </font>
    <font>
      <b/>
      <sz val="12"/>
      <color indexed="81"/>
      <name val="Tahoma"/>
      <family val="2"/>
    </font>
    <font>
      <b/>
      <sz val="12"/>
      <color theme="4"/>
      <name val="Arial"/>
      <family val="2"/>
    </font>
    <font>
      <b/>
      <sz val="11"/>
      <color rgb="FFFF0000"/>
      <name val="Calibri"/>
      <family val="2"/>
      <scheme val="minor"/>
    </font>
    <font>
      <u/>
      <sz val="14"/>
      <color indexed="81"/>
      <name val="Tahoma"/>
      <family val="2"/>
    </font>
    <font>
      <b/>
      <u/>
      <sz val="12"/>
      <color theme="0" tint="-0.249977111117893"/>
      <name val="Arial"/>
      <family val="2"/>
    </font>
    <font>
      <sz val="12"/>
      <color theme="1"/>
      <name val="Arial"/>
      <family val="2"/>
    </font>
    <font>
      <b/>
      <sz val="12"/>
      <color theme="1"/>
      <name val="Calibri"/>
      <family val="2"/>
      <scheme val="minor"/>
    </font>
    <font>
      <b/>
      <sz val="14"/>
      <color theme="1"/>
      <name val="Calibri"/>
      <family val="2"/>
      <scheme val="minor"/>
    </font>
    <font>
      <b/>
      <sz val="12"/>
      <color indexed="12"/>
      <name val="Arial"/>
      <family val="2"/>
    </font>
    <font>
      <sz val="12"/>
      <color indexed="8"/>
      <name val="Arial"/>
      <family val="2"/>
    </font>
    <font>
      <i/>
      <sz val="12"/>
      <color rgb="FFFF0000"/>
      <name val="Arial"/>
      <family val="2"/>
    </font>
    <font>
      <u/>
      <sz val="18"/>
      <color theme="10"/>
      <name val="Calibri"/>
      <family val="2"/>
    </font>
    <font>
      <b/>
      <sz val="12"/>
      <color indexed="56"/>
      <name val="Times New Roman"/>
      <family val="1"/>
    </font>
    <font>
      <i/>
      <u/>
      <sz val="12"/>
      <name val="Arial"/>
      <family val="2"/>
    </font>
    <font>
      <b/>
      <u/>
      <sz val="12"/>
      <name val="Arial"/>
      <family val="2"/>
    </font>
    <font>
      <b/>
      <sz val="14"/>
      <name val="Tahoma"/>
      <family val="2"/>
    </font>
    <font>
      <b/>
      <i/>
      <sz val="14"/>
      <color rgb="FFC00000"/>
      <name val="Tahoma"/>
      <family val="2"/>
    </font>
    <font>
      <i/>
      <sz val="11"/>
      <color rgb="FFC00000"/>
      <name val="Calibri"/>
      <family val="2"/>
      <scheme val="minor"/>
    </font>
    <font>
      <b/>
      <i/>
      <sz val="11"/>
      <color rgb="FFC00000"/>
      <name val="Calibri"/>
      <family val="2"/>
      <scheme val="minor"/>
    </font>
    <font>
      <b/>
      <i/>
      <sz val="12"/>
      <color theme="4"/>
      <name val="Arial"/>
      <family val="2"/>
    </font>
    <font>
      <sz val="12"/>
      <color rgb="FFC00000"/>
      <name val="Arial"/>
      <family val="2"/>
    </font>
    <font>
      <b/>
      <sz val="12"/>
      <color theme="1"/>
      <name val="Arial"/>
      <family val="2"/>
    </font>
    <font>
      <sz val="12"/>
      <color theme="1"/>
      <name val="Calibri"/>
      <family val="2"/>
      <scheme val="minor"/>
    </font>
    <font>
      <b/>
      <sz val="12"/>
      <color rgb="FFFF0000"/>
      <name val="Calibri"/>
      <family val="2"/>
      <scheme val="minor"/>
    </font>
    <font>
      <sz val="12"/>
      <color rgb="FFFF0000"/>
      <name val="Calibri"/>
      <family val="2"/>
      <scheme val="minor"/>
    </font>
    <font>
      <b/>
      <sz val="12"/>
      <color theme="4"/>
      <name val="Calibri"/>
      <family val="2"/>
      <scheme val="minor"/>
    </font>
    <font>
      <sz val="11"/>
      <color theme="1"/>
      <name val="Arial"/>
      <family val="2"/>
    </font>
    <font>
      <b/>
      <sz val="14"/>
      <color theme="1"/>
      <name val="Arial"/>
      <family val="2"/>
    </font>
    <font>
      <b/>
      <sz val="11"/>
      <color theme="1"/>
      <name val="Arial"/>
      <family val="2"/>
    </font>
    <font>
      <b/>
      <sz val="11"/>
      <name val="Arial"/>
      <family val="2"/>
    </font>
    <font>
      <sz val="11"/>
      <name val="Arial"/>
      <family val="2"/>
    </font>
    <font>
      <b/>
      <i/>
      <sz val="11"/>
      <name val="Arial"/>
      <family val="2"/>
    </font>
    <font>
      <i/>
      <sz val="11"/>
      <color theme="1"/>
      <name val="Arial"/>
      <family val="2"/>
    </font>
    <font>
      <b/>
      <i/>
      <sz val="11"/>
      <color rgb="FFC00000"/>
      <name val="Arial"/>
      <family val="2"/>
    </font>
    <font>
      <b/>
      <sz val="11"/>
      <color theme="4"/>
      <name val="Arial"/>
      <family val="2"/>
    </font>
    <font>
      <i/>
      <sz val="12"/>
      <color theme="0" tint="-0.499984740745262"/>
      <name val="Arial"/>
      <family val="2"/>
    </font>
    <font>
      <b/>
      <sz val="12"/>
      <color theme="0"/>
      <name val="Arial"/>
      <family val="2"/>
    </font>
    <font>
      <b/>
      <i/>
      <u/>
      <sz val="12"/>
      <name val="Arial"/>
      <family val="2"/>
    </font>
    <font>
      <b/>
      <sz val="12"/>
      <name val="Tahoma"/>
      <family val="2"/>
    </font>
    <font>
      <sz val="14"/>
      <name val="Arial"/>
      <family val="2"/>
    </font>
    <font>
      <b/>
      <i/>
      <sz val="12"/>
      <color theme="0" tint="-0.249977111117893"/>
      <name val="Arial"/>
      <family val="2"/>
    </font>
    <font>
      <b/>
      <sz val="14"/>
      <color rgb="FFFF0000"/>
      <name val="Calibri"/>
      <family val="2"/>
      <scheme val="minor"/>
    </font>
    <font>
      <i/>
      <sz val="10"/>
      <color theme="0" tint="-0.499984740745262"/>
      <name val="Arial"/>
      <family val="2"/>
    </font>
    <font>
      <b/>
      <u/>
      <sz val="12"/>
      <color theme="0"/>
      <name val="Arial"/>
      <family val="2"/>
    </font>
    <font>
      <i/>
      <sz val="11"/>
      <color theme="0" tint="-0.34998626667073579"/>
      <name val="Arial"/>
      <family val="2"/>
    </font>
    <font>
      <b/>
      <sz val="8"/>
      <name val="Arial"/>
      <family val="2"/>
    </font>
    <font>
      <sz val="12"/>
      <color theme="0" tint="-0.14999847407452621"/>
      <name val="Arial"/>
      <family val="2"/>
    </font>
    <font>
      <i/>
      <sz val="12"/>
      <color theme="0" tint="-0.14999847407452621"/>
      <name val="Arial"/>
      <family val="2"/>
    </font>
    <font>
      <sz val="12"/>
      <color theme="0"/>
      <name val="Arial"/>
      <family val="2"/>
    </font>
    <font>
      <i/>
      <sz val="12"/>
      <color theme="1"/>
      <name val="Arial"/>
      <family val="2"/>
    </font>
    <font>
      <b/>
      <i/>
      <sz val="11"/>
      <color theme="1"/>
      <name val="Arial"/>
      <family val="2"/>
    </font>
    <font>
      <u/>
      <sz val="12"/>
      <color theme="10"/>
      <name val="Arial"/>
      <family val="2"/>
    </font>
    <font>
      <b/>
      <u/>
      <sz val="12"/>
      <color theme="10"/>
      <name val="Arial"/>
      <family val="2"/>
    </font>
    <font>
      <sz val="12"/>
      <color indexed="81"/>
      <name val="Tahoma"/>
      <family val="2"/>
    </font>
    <font>
      <b/>
      <i/>
      <sz val="11"/>
      <color rgb="FF00B050"/>
      <name val="Arial"/>
      <family val="2"/>
    </font>
    <font>
      <b/>
      <i/>
      <sz val="14"/>
      <color indexed="81"/>
      <name val="Tahoma"/>
      <family val="2"/>
    </font>
    <font>
      <u/>
      <sz val="12"/>
      <color theme="1"/>
      <name val="Calibri"/>
      <family val="2"/>
      <scheme val="minor"/>
    </font>
    <font>
      <b/>
      <sz val="12"/>
      <color theme="0" tint="-0.249977111117893"/>
      <name val="Arial"/>
      <family val="2"/>
    </font>
    <font>
      <sz val="12"/>
      <color theme="0" tint="-0.249977111117893"/>
      <name val="Arial"/>
      <family val="2"/>
    </font>
    <font>
      <b/>
      <sz val="11"/>
      <color rgb="FFFFFF00"/>
      <name val="Arial"/>
      <family val="2"/>
    </font>
    <font>
      <b/>
      <u/>
      <sz val="14"/>
      <color indexed="81"/>
      <name val="Tahoma"/>
      <family val="2"/>
    </font>
    <font>
      <b/>
      <i/>
      <u/>
      <sz val="12"/>
      <color theme="1"/>
      <name val="Calibri"/>
      <family val="2"/>
      <scheme val="minor"/>
    </font>
    <font>
      <b/>
      <sz val="12"/>
      <color theme="3"/>
      <name val="Calibri"/>
      <family val="2"/>
      <scheme val="minor"/>
    </font>
    <font>
      <u/>
      <sz val="12"/>
      <color theme="10"/>
      <name val="Calibri"/>
      <family val="2"/>
    </font>
    <font>
      <b/>
      <sz val="12"/>
      <color theme="1"/>
      <name val="Tahoma"/>
      <family val="2"/>
    </font>
    <font>
      <b/>
      <i/>
      <sz val="12"/>
      <color theme="1"/>
      <name val="Calibri"/>
      <family val="2"/>
      <scheme val="minor"/>
    </font>
    <font>
      <b/>
      <u/>
      <sz val="14"/>
      <color theme="10"/>
      <name val="Calibri"/>
      <family val="2"/>
    </font>
    <font>
      <b/>
      <i/>
      <sz val="11"/>
      <color theme="1"/>
      <name val="Calibri"/>
      <family val="2"/>
      <scheme val="minor"/>
    </font>
    <font>
      <sz val="11"/>
      <color theme="1"/>
      <name val="Calibri"/>
      <family val="2"/>
    </font>
    <font>
      <b/>
      <sz val="16"/>
      <color indexed="81"/>
      <name val="Tahoma"/>
      <family val="2"/>
    </font>
    <font>
      <i/>
      <sz val="14"/>
      <color theme="1"/>
      <name val="Arial"/>
      <family val="2"/>
    </font>
    <font>
      <sz val="14"/>
      <color theme="1"/>
      <name val="Arial"/>
      <family val="2"/>
    </font>
    <font>
      <b/>
      <sz val="10"/>
      <name val="Arial"/>
      <family val="2"/>
    </font>
    <font>
      <b/>
      <sz val="12"/>
      <color theme="3" tint="0.39997558519241921"/>
      <name val="Arial"/>
      <family val="2"/>
    </font>
    <font>
      <b/>
      <i/>
      <sz val="14"/>
      <name val="Arial"/>
      <family val="2"/>
    </font>
    <font>
      <b/>
      <i/>
      <u/>
      <sz val="12"/>
      <color theme="10"/>
      <name val="Arial"/>
      <family val="2"/>
    </font>
    <font>
      <b/>
      <i/>
      <sz val="12"/>
      <color theme="3"/>
      <name val="Arial"/>
      <family val="2"/>
    </font>
  </fonts>
  <fills count="15">
    <fill>
      <patternFill patternType="none"/>
    </fill>
    <fill>
      <patternFill patternType="gray125"/>
    </fill>
    <fill>
      <patternFill patternType="solid">
        <fgColor indexed="9"/>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indexed="2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s>
  <cellStyleXfs count="6">
    <xf numFmtId="0" fontId="0" fillId="0" borderId="0"/>
    <xf numFmtId="44" fontId="2" fillId="0" borderId="0" applyFont="0" applyFill="0" applyBorder="0" applyAlignment="0" applyProtection="0"/>
    <xf numFmtId="9" fontId="2" fillId="0" borderId="0" applyFont="0" applyFill="0" applyBorder="0" applyAlignment="0" applyProtection="0"/>
    <xf numFmtId="0" fontId="17" fillId="0" borderId="0" applyNumberFormat="0" applyFill="0" applyBorder="0" applyAlignment="0" applyProtection="0">
      <alignment vertical="top"/>
      <protection locked="0"/>
    </xf>
    <xf numFmtId="9" fontId="20" fillId="0" borderId="0" applyFont="0" applyFill="0" applyBorder="0" applyAlignment="0" applyProtection="0"/>
    <xf numFmtId="43" fontId="2" fillId="0" borderId="0" applyFont="0" applyFill="0" applyBorder="0" applyAlignment="0" applyProtection="0"/>
  </cellStyleXfs>
  <cellXfs count="922">
    <xf numFmtId="0" fontId="0" fillId="0" borderId="0" xfId="0"/>
    <xf numFmtId="0" fontId="6" fillId="0" borderId="0" xfId="0" applyFont="1" applyFill="1" applyBorder="1"/>
    <xf numFmtId="0" fontId="3" fillId="5" borderId="1" xfId="0" applyNumberFormat="1" applyFont="1" applyFill="1" applyBorder="1" applyAlignment="1">
      <alignment horizontal="left"/>
    </xf>
    <xf numFmtId="0" fontId="10" fillId="5" borderId="2" xfId="0" applyNumberFormat="1" applyFont="1" applyFill="1" applyBorder="1" applyAlignment="1">
      <alignment horizontal="center"/>
    </xf>
    <xf numFmtId="166" fontId="11" fillId="5" borderId="3" xfId="0" applyNumberFormat="1" applyFont="1" applyFill="1" applyBorder="1" applyAlignment="1">
      <alignment horizontal="center"/>
    </xf>
    <xf numFmtId="0" fontId="6" fillId="2" borderId="4" xfId="0" applyNumberFormat="1" applyFont="1" applyFill="1" applyBorder="1" applyAlignment="1"/>
    <xf numFmtId="3" fontId="3" fillId="5" borderId="1" xfId="0" applyNumberFormat="1" applyFont="1" applyFill="1" applyBorder="1" applyAlignment="1">
      <alignment horizontal="left"/>
    </xf>
    <xf numFmtId="0" fontId="0" fillId="0" borderId="0" xfId="0" applyBorder="1"/>
    <xf numFmtId="0" fontId="3" fillId="0" borderId="0" xfId="0" applyFont="1" applyFill="1" applyBorder="1" applyAlignment="1">
      <alignment horizontal="center"/>
    </xf>
    <xf numFmtId="9" fontId="9" fillId="0" borderId="0" xfId="0" applyNumberFormat="1" applyFont="1" applyFill="1" applyBorder="1" applyAlignment="1">
      <alignment horizontal="center"/>
    </xf>
    <xf numFmtId="0" fontId="0" fillId="0" borderId="0" xfId="0" applyFill="1" applyBorder="1"/>
    <xf numFmtId="0" fontId="6" fillId="0" borderId="0" xfId="0" applyNumberFormat="1" applyFont="1" applyAlignment="1"/>
    <xf numFmtId="0" fontId="3" fillId="0" borderId="0" xfId="0" applyNumberFormat="1" applyFont="1" applyAlignment="1">
      <alignment horizontal="center"/>
    </xf>
    <xf numFmtId="0" fontId="6" fillId="0" borderId="0" xfId="0" applyNumberFormat="1" applyFont="1" applyFill="1" applyAlignment="1"/>
    <xf numFmtId="0" fontId="6" fillId="0" borderId="0" xfId="0" applyNumberFormat="1" applyFont="1" applyAlignment="1">
      <alignment horizontal="center"/>
    </xf>
    <xf numFmtId="172" fontId="6" fillId="0" borderId="0" xfId="0" applyNumberFormat="1" applyFont="1" applyAlignment="1"/>
    <xf numFmtId="0" fontId="3" fillId="0" borderId="0" xfId="0" applyNumberFormat="1" applyFont="1" applyAlignment="1"/>
    <xf numFmtId="3" fontId="6" fillId="0" borderId="0" xfId="0" applyNumberFormat="1" applyFont="1" applyAlignment="1"/>
    <xf numFmtId="0" fontId="6" fillId="0" borderId="0" xfId="0" applyNumberFormat="1" applyFont="1" applyFill="1" applyBorder="1" applyAlignment="1"/>
    <xf numFmtId="168" fontId="6" fillId="0" borderId="0" xfId="0" applyNumberFormat="1" applyFont="1" applyBorder="1" applyAlignment="1"/>
    <xf numFmtId="0" fontId="6" fillId="0" borderId="0" xfId="0" applyNumberFormat="1" applyFont="1" applyBorder="1" applyAlignment="1"/>
    <xf numFmtId="0" fontId="6" fillId="0" borderId="9" xfId="0" applyNumberFormat="1" applyFont="1" applyFill="1" applyBorder="1" applyAlignment="1"/>
    <xf numFmtId="0" fontId="6" fillId="0" borderId="9" xfId="0" applyNumberFormat="1" applyFont="1" applyBorder="1" applyAlignment="1"/>
    <xf numFmtId="168" fontId="3" fillId="0" borderId="0" xfId="0" applyNumberFormat="1" applyFont="1" applyAlignment="1"/>
    <xf numFmtId="6" fontId="6" fillId="0" borderId="0" xfId="0" applyNumberFormat="1" applyFont="1" applyFill="1" applyBorder="1" applyAlignment="1"/>
    <xf numFmtId="6" fontId="6" fillId="0" borderId="9" xfId="0" applyNumberFormat="1" applyFont="1" applyFill="1" applyBorder="1" applyAlignment="1"/>
    <xf numFmtId="0" fontId="3" fillId="0" borderId="0" xfId="0" applyNumberFormat="1" applyFont="1" applyFill="1" applyBorder="1" applyAlignment="1"/>
    <xf numFmtId="6" fontId="3" fillId="0" borderId="0" xfId="0" applyNumberFormat="1" applyFont="1" applyAlignment="1"/>
    <xf numFmtId="0" fontId="4" fillId="0" borderId="0" xfId="0" applyNumberFormat="1" applyFont="1" applyFill="1" applyBorder="1" applyAlignment="1"/>
    <xf numFmtId="0" fontId="4" fillId="0" borderId="0" xfId="0" applyNumberFormat="1" applyFont="1" applyAlignment="1"/>
    <xf numFmtId="0" fontId="4" fillId="0" borderId="0" xfId="0" applyNumberFormat="1" applyFont="1" applyFill="1" applyAlignment="1"/>
    <xf numFmtId="40" fontId="4" fillId="0" borderId="0" xfId="0" applyNumberFormat="1" applyFont="1" applyFill="1" applyAlignment="1">
      <alignment horizontal="center"/>
    </xf>
    <xf numFmtId="0" fontId="3" fillId="0" borderId="0" xfId="0" applyNumberFormat="1" applyFont="1" applyFill="1" applyAlignment="1"/>
    <xf numFmtId="6" fontId="3" fillId="0" borderId="0" xfId="0" applyNumberFormat="1" applyFont="1" applyFill="1" applyAlignment="1"/>
    <xf numFmtId="0" fontId="3" fillId="0" borderId="0" xfId="0" applyNumberFormat="1" applyFont="1" applyAlignment="1">
      <alignment wrapText="1"/>
    </xf>
    <xf numFmtId="6" fontId="6" fillId="0" borderId="0" xfId="0" applyNumberFormat="1" applyFont="1" applyAlignment="1"/>
    <xf numFmtId="6" fontId="6" fillId="0" borderId="9" xfId="0" applyNumberFormat="1" applyFont="1" applyBorder="1" applyAlignment="1"/>
    <xf numFmtId="0" fontId="21" fillId="0" borderId="0" xfId="0" applyNumberFormat="1" applyFont="1" applyAlignment="1">
      <alignment wrapText="1"/>
    </xf>
    <xf numFmtId="164" fontId="4" fillId="0" borderId="0" xfId="2" applyNumberFormat="1" applyFont="1" applyAlignment="1"/>
    <xf numFmtId="6" fontId="31" fillId="0" borderId="0" xfId="0" applyNumberFormat="1" applyFont="1" applyFill="1" applyAlignment="1">
      <alignment horizontal="center"/>
    </xf>
    <xf numFmtId="0" fontId="3" fillId="0" borderId="22" xfId="0" applyNumberFormat="1" applyFont="1" applyBorder="1" applyAlignment="1"/>
    <xf numFmtId="0" fontId="6" fillId="0" borderId="22" xfId="0" applyNumberFormat="1" applyFont="1" applyBorder="1" applyAlignment="1"/>
    <xf numFmtId="0" fontId="3" fillId="9" borderId="0" xfId="0" applyNumberFormat="1" applyFont="1" applyFill="1" applyBorder="1" applyAlignment="1"/>
    <xf numFmtId="0" fontId="6" fillId="9" borderId="0" xfId="0" applyNumberFormat="1" applyFont="1" applyFill="1" applyBorder="1" applyAlignment="1"/>
    <xf numFmtId="6" fontId="6" fillId="9" borderId="0" xfId="0" applyNumberFormat="1" applyFont="1" applyFill="1" applyBorder="1" applyAlignment="1"/>
    <xf numFmtId="0" fontId="21" fillId="9" borderId="0" xfId="0" applyNumberFormat="1" applyFont="1" applyFill="1" applyBorder="1" applyAlignment="1">
      <alignment horizontal="center"/>
    </xf>
    <xf numFmtId="0" fontId="6" fillId="9" borderId="0" xfId="0" applyNumberFormat="1" applyFont="1" applyFill="1" applyAlignment="1"/>
    <xf numFmtId="0" fontId="0" fillId="0" borderId="0" xfId="0" applyNumberFormat="1" applyAlignment="1"/>
    <xf numFmtId="0" fontId="25" fillId="0" borderId="0" xfId="0" applyFont="1" applyFill="1" applyAlignment="1">
      <alignment horizontal="center"/>
    </xf>
    <xf numFmtId="0" fontId="0" fillId="0" borderId="0" xfId="0" applyFill="1"/>
    <xf numFmtId="3" fontId="3" fillId="9" borderId="1" xfId="0" applyNumberFormat="1" applyFont="1" applyFill="1" applyBorder="1" applyAlignment="1">
      <alignment horizontal="left" vertical="center"/>
    </xf>
    <xf numFmtId="3" fontId="4" fillId="9" borderId="2" xfId="0" applyNumberFormat="1" applyFont="1" applyFill="1" applyBorder="1" applyAlignment="1">
      <alignment horizontal="center" vertical="center"/>
    </xf>
    <xf numFmtId="0" fontId="0" fillId="4" borderId="2" xfId="0" applyFill="1" applyBorder="1"/>
    <xf numFmtId="0" fontId="0" fillId="4" borderId="3" xfId="0" applyFill="1" applyBorder="1"/>
    <xf numFmtId="0" fontId="6" fillId="2" borderId="4" xfId="0" applyNumberFormat="1" applyFont="1" applyFill="1" applyBorder="1" applyAlignment="1">
      <alignment vertical="center"/>
    </xf>
    <xf numFmtId="0" fontId="6" fillId="0" borderId="4" xfId="0" applyNumberFormat="1" applyFont="1" applyFill="1" applyBorder="1" applyAlignment="1">
      <alignment vertical="center"/>
    </xf>
    <xf numFmtId="9" fontId="3" fillId="2" borderId="5" xfId="2" applyFont="1" applyFill="1" applyBorder="1" applyAlignment="1">
      <alignment horizontal="center"/>
    </xf>
    <xf numFmtId="0" fontId="34" fillId="0" borderId="0" xfId="3" applyNumberFormat="1" applyFont="1" applyBorder="1" applyAlignment="1" applyProtection="1">
      <alignment vertical="center"/>
    </xf>
    <xf numFmtId="9" fontId="35" fillId="2" borderId="5" xfId="2" applyFont="1" applyFill="1" applyBorder="1" applyAlignment="1">
      <alignment horizontal="center"/>
    </xf>
    <xf numFmtId="0" fontId="4" fillId="0" borderId="0" xfId="0" applyNumberFormat="1" applyFont="1" applyFill="1" applyBorder="1" applyAlignment="1">
      <alignment horizontal="center"/>
    </xf>
    <xf numFmtId="9" fontId="6" fillId="2" borderId="5" xfId="2" applyFont="1" applyFill="1" applyBorder="1" applyAlignment="1">
      <alignment horizontal="center" vertical="center"/>
    </xf>
    <xf numFmtId="0" fontId="4" fillId="0" borderId="0" xfId="0" applyNumberFormat="1" applyFont="1" applyAlignment="1">
      <alignment horizontal="center"/>
    </xf>
    <xf numFmtId="0" fontId="4" fillId="0" borderId="9" xfId="0" applyNumberFormat="1" applyFont="1" applyFill="1" applyBorder="1" applyAlignment="1">
      <alignment horizontal="center"/>
    </xf>
    <xf numFmtId="0" fontId="21" fillId="0" borderId="0" xfId="0" applyNumberFormat="1" applyFont="1" applyAlignment="1">
      <alignment horizontal="center"/>
    </xf>
    <xf numFmtId="0" fontId="4" fillId="0" borderId="0" xfId="0" applyNumberFormat="1" applyFont="1" applyFill="1" applyAlignment="1">
      <alignment horizontal="center"/>
    </xf>
    <xf numFmtId="171" fontId="6" fillId="0" borderId="0" xfId="0" applyNumberFormat="1" applyFont="1" applyFill="1" applyAlignment="1">
      <alignment horizontal="center"/>
    </xf>
    <xf numFmtId="6" fontId="6" fillId="0" borderId="0" xfId="0" applyNumberFormat="1" applyFont="1" applyBorder="1" applyAlignment="1"/>
    <xf numFmtId="10" fontId="6" fillId="0" borderId="0" xfId="2" applyNumberFormat="1" applyFont="1" applyAlignment="1"/>
    <xf numFmtId="9" fontId="6" fillId="0" borderId="0" xfId="0" applyNumberFormat="1" applyFont="1" applyAlignment="1"/>
    <xf numFmtId="41" fontId="6" fillId="0" borderId="0" xfId="0" applyNumberFormat="1" applyFont="1" applyAlignment="1"/>
    <xf numFmtId="2" fontId="31" fillId="0" borderId="0" xfId="0" applyNumberFormat="1" applyFont="1" applyFill="1" applyAlignment="1">
      <alignment horizontal="center"/>
    </xf>
    <xf numFmtId="0" fontId="6" fillId="9" borderId="22" xfId="0" applyNumberFormat="1" applyFont="1" applyFill="1" applyBorder="1" applyAlignment="1"/>
    <xf numFmtId="2" fontId="4" fillId="0" borderId="0" xfId="0" applyNumberFormat="1" applyFont="1" applyBorder="1" applyAlignment="1"/>
    <xf numFmtId="0" fontId="4" fillId="0" borderId="0" xfId="0" applyNumberFormat="1" applyFont="1" applyBorder="1" applyAlignment="1">
      <alignment horizontal="center"/>
    </xf>
    <xf numFmtId="0" fontId="6" fillId="0" borderId="22" xfId="0" applyFont="1" applyFill="1" applyBorder="1"/>
    <xf numFmtId="8" fontId="4" fillId="0" borderId="0" xfId="0" applyNumberFormat="1" applyFont="1" applyFill="1" applyBorder="1" applyAlignment="1">
      <alignment horizontal="center"/>
    </xf>
    <xf numFmtId="0" fontId="38" fillId="4" borderId="1" xfId="0" applyFont="1" applyFill="1" applyBorder="1" applyAlignment="1">
      <alignment horizontal="left" vertical="center"/>
    </xf>
    <xf numFmtId="0" fontId="25" fillId="4" borderId="2" xfId="0" applyFont="1" applyFill="1" applyBorder="1" applyAlignment="1">
      <alignment horizontal="center"/>
    </xf>
    <xf numFmtId="0" fontId="39" fillId="6" borderId="1" xfId="0" applyFont="1" applyFill="1" applyBorder="1"/>
    <xf numFmtId="0" fontId="40" fillId="6" borderId="2" xfId="0" applyFont="1" applyFill="1" applyBorder="1"/>
    <xf numFmtId="0" fontId="41" fillId="6" borderId="2" xfId="0" applyFont="1" applyFill="1" applyBorder="1" applyAlignment="1">
      <alignment horizontal="center"/>
    </xf>
    <xf numFmtId="9" fontId="24" fillId="0" borderId="4" xfId="0" applyNumberFormat="1" applyFont="1" applyFill="1" applyBorder="1" applyAlignment="1">
      <alignment horizontal="center"/>
    </xf>
    <xf numFmtId="0" fontId="4" fillId="4" borderId="3" xfId="0" applyNumberFormat="1" applyFont="1" applyFill="1" applyBorder="1" applyAlignment="1">
      <alignment horizontal="center" vertical="center"/>
    </xf>
    <xf numFmtId="9" fontId="6" fillId="0" borderId="0" xfId="2" applyFont="1" applyFill="1" applyBorder="1" applyAlignment="1">
      <alignment horizontal="center" vertical="center"/>
    </xf>
    <xf numFmtId="0" fontId="40" fillId="6" borderId="3" xfId="0" applyFont="1" applyFill="1" applyBorder="1"/>
    <xf numFmtId="0" fontId="6" fillId="2" borderId="5" xfId="0" applyNumberFormat="1" applyFont="1" applyFill="1" applyBorder="1" applyAlignment="1">
      <alignment vertical="center"/>
    </xf>
    <xf numFmtId="168" fontId="6" fillId="0" borderId="5" xfId="1" applyNumberFormat="1" applyFont="1" applyBorder="1" applyAlignment="1">
      <alignment horizontal="center" vertical="center"/>
    </xf>
    <xf numFmtId="0" fontId="0" fillId="0" borderId="4" xfId="0" applyFill="1" applyBorder="1"/>
    <xf numFmtId="0" fontId="4" fillId="9" borderId="29" xfId="0" applyNumberFormat="1" applyFont="1" applyFill="1" applyBorder="1" applyAlignment="1">
      <alignment horizontal="center" vertical="center"/>
    </xf>
    <xf numFmtId="0" fontId="4" fillId="9" borderId="29" xfId="0" applyNumberFormat="1" applyFont="1" applyFill="1" applyBorder="1" applyAlignment="1">
      <alignment horizontal="center" vertical="center" wrapText="1"/>
    </xf>
    <xf numFmtId="0" fontId="33" fillId="2" borderId="0" xfId="0" applyNumberFormat="1" applyFont="1" applyFill="1" applyBorder="1" applyAlignment="1">
      <alignment vertical="center"/>
    </xf>
    <xf numFmtId="9" fontId="7" fillId="2" borderId="0" xfId="2" applyFont="1" applyFill="1" applyBorder="1" applyAlignment="1">
      <alignment horizontal="center" vertical="center"/>
    </xf>
    <xf numFmtId="9" fontId="24" fillId="0" borderId="0" xfId="0" applyNumberFormat="1" applyFont="1" applyFill="1" applyBorder="1" applyAlignment="1">
      <alignment horizontal="center"/>
    </xf>
    <xf numFmtId="0" fontId="6" fillId="0" borderId="0" xfId="0" applyNumberFormat="1" applyFont="1" applyFill="1" applyBorder="1" applyAlignment="1">
      <alignment vertical="center"/>
    </xf>
    <xf numFmtId="168" fontId="6" fillId="0" borderId="0" xfId="1" applyNumberFormat="1" applyFont="1" applyFill="1" applyBorder="1" applyAlignment="1">
      <alignment horizontal="center" vertical="center"/>
    </xf>
    <xf numFmtId="0" fontId="33" fillId="0" borderId="0" xfId="0" applyNumberFormat="1" applyFont="1" applyFill="1" applyBorder="1" applyAlignment="1">
      <alignment vertical="center"/>
    </xf>
    <xf numFmtId="168" fontId="7" fillId="0" borderId="0" xfId="1" applyNumberFormat="1" applyFont="1" applyFill="1" applyBorder="1" applyAlignment="1">
      <alignment horizontal="center" vertical="center"/>
    </xf>
    <xf numFmtId="9" fontId="7" fillId="0" borderId="0" xfId="2" applyFont="1" applyFill="1" applyBorder="1" applyAlignment="1">
      <alignment horizontal="center" vertical="center"/>
    </xf>
    <xf numFmtId="0" fontId="3" fillId="9" borderId="30" xfId="0" applyNumberFormat="1" applyFont="1" applyFill="1" applyBorder="1" applyAlignment="1">
      <alignment vertical="center"/>
    </xf>
    <xf numFmtId="168" fontId="6" fillId="0" borderId="4" xfId="0" applyNumberFormat="1" applyFont="1" applyFill="1" applyBorder="1" applyAlignment="1">
      <alignment vertical="center"/>
    </xf>
    <xf numFmtId="0" fontId="3" fillId="0" borderId="5" xfId="0" applyNumberFormat="1" applyFont="1" applyFill="1" applyBorder="1" applyAlignment="1">
      <alignment vertical="center"/>
    </xf>
    <xf numFmtId="0" fontId="6" fillId="0" borderId="5" xfId="0" applyNumberFormat="1" applyFont="1" applyFill="1" applyBorder="1" applyAlignment="1">
      <alignment vertical="center"/>
    </xf>
    <xf numFmtId="6" fontId="6" fillId="0" borderId="28" xfId="0" applyNumberFormat="1" applyFont="1" applyFill="1" applyBorder="1" applyAlignment="1">
      <alignment vertical="center"/>
    </xf>
    <xf numFmtId="168" fontId="6" fillId="0" borderId="5" xfId="0" applyNumberFormat="1" applyFont="1" applyFill="1" applyBorder="1" applyAlignment="1">
      <alignment vertical="center"/>
    </xf>
    <xf numFmtId="168" fontId="3" fillId="0" borderId="5" xfId="0" applyNumberFormat="1" applyFont="1" applyFill="1" applyBorder="1" applyAlignment="1">
      <alignment vertical="center"/>
    </xf>
    <xf numFmtId="168" fontId="6" fillId="0" borderId="4" xfId="2" applyNumberFormat="1" applyFont="1" applyFill="1" applyBorder="1" applyAlignment="1">
      <alignment vertical="center"/>
    </xf>
    <xf numFmtId="9" fontId="35" fillId="0" borderId="0" xfId="2" applyFont="1" applyFill="1" applyBorder="1" applyAlignment="1">
      <alignment horizontal="center"/>
    </xf>
    <xf numFmtId="165" fontId="7" fillId="0" borderId="0" xfId="1" applyNumberFormat="1" applyFont="1" applyBorder="1" applyAlignment="1">
      <alignment horizontal="center" vertical="center"/>
    </xf>
    <xf numFmtId="168" fontId="6" fillId="0" borderId="4" xfId="1" applyNumberFormat="1" applyFont="1" applyBorder="1" applyAlignment="1">
      <alignment horizontal="center" vertical="center"/>
    </xf>
    <xf numFmtId="0" fontId="6" fillId="2" borderId="28" xfId="0" applyNumberFormat="1" applyFont="1" applyFill="1" applyBorder="1" applyAlignment="1">
      <alignment vertical="center"/>
    </xf>
    <xf numFmtId="168" fontId="6" fillId="0" borderId="28" xfId="1" applyNumberFormat="1" applyFont="1" applyBorder="1" applyAlignment="1">
      <alignment horizontal="center" vertical="center"/>
    </xf>
    <xf numFmtId="168" fontId="6" fillId="0" borderId="28" xfId="2" applyNumberFormat="1" applyFont="1" applyFill="1" applyBorder="1" applyAlignment="1">
      <alignment vertical="center"/>
    </xf>
    <xf numFmtId="0" fontId="4" fillId="0" borderId="0" xfId="0" applyNumberFormat="1" applyFont="1" applyFill="1" applyBorder="1" applyAlignment="1">
      <alignment horizontal="center" vertical="center"/>
    </xf>
    <xf numFmtId="0" fontId="6" fillId="0" borderId="0" xfId="0" applyNumberFormat="1" applyFont="1" applyFill="1" applyBorder="1" applyAlignment="1">
      <alignment horizontal="center"/>
    </xf>
    <xf numFmtId="168" fontId="6" fillId="0" borderId="28" xfId="0" applyNumberFormat="1" applyFont="1" applyFill="1" applyBorder="1" applyAlignment="1">
      <alignment vertical="center"/>
    </xf>
    <xf numFmtId="168" fontId="6" fillId="0" borderId="5" xfId="2" applyNumberFormat="1" applyFont="1" applyFill="1" applyBorder="1" applyAlignment="1">
      <alignment vertical="center"/>
    </xf>
    <xf numFmtId="0" fontId="6" fillId="0" borderId="5" xfId="0" applyNumberFormat="1" applyFont="1" applyFill="1" applyBorder="1" applyAlignment="1">
      <alignment horizontal="right" vertical="center"/>
    </xf>
    <xf numFmtId="9" fontId="24" fillId="2" borderId="5" xfId="2" applyFont="1" applyFill="1" applyBorder="1" applyAlignment="1">
      <alignment horizontal="center" vertical="center"/>
    </xf>
    <xf numFmtId="0" fontId="42" fillId="2" borderId="4" xfId="0" applyNumberFormat="1" applyFont="1" applyFill="1" applyBorder="1" applyAlignment="1">
      <alignment vertical="center"/>
    </xf>
    <xf numFmtId="168" fontId="24" fillId="0" borderId="4" xfId="1" applyNumberFormat="1" applyFont="1" applyBorder="1" applyAlignment="1">
      <alignment horizontal="center" vertical="center"/>
    </xf>
    <xf numFmtId="0" fontId="42" fillId="2" borderId="28" xfId="0" applyNumberFormat="1" applyFont="1" applyFill="1" applyBorder="1" applyAlignment="1">
      <alignment vertical="center"/>
    </xf>
    <xf numFmtId="168" fontId="24" fillId="0" borderId="28" xfId="1" applyNumberFormat="1" applyFont="1" applyBorder="1" applyAlignment="1">
      <alignment horizontal="center" vertical="center"/>
    </xf>
    <xf numFmtId="9" fontId="24" fillId="2" borderId="28" xfId="2" applyFont="1" applyFill="1" applyBorder="1" applyAlignment="1">
      <alignment horizontal="center" vertical="center"/>
    </xf>
    <xf numFmtId="0" fontId="43" fillId="0" borderId="0" xfId="0" applyFont="1" applyFill="1" applyBorder="1"/>
    <xf numFmtId="168" fontId="6" fillId="0" borderId="9" xfId="0" applyNumberFormat="1" applyFont="1" applyFill="1" applyBorder="1" applyAlignment="1"/>
    <xf numFmtId="0" fontId="46" fillId="0" borderId="0" xfId="0" applyFont="1" applyBorder="1"/>
    <xf numFmtId="0" fontId="47" fillId="0" borderId="0" xfId="0" applyFont="1" applyBorder="1"/>
    <xf numFmtId="0" fontId="45" fillId="0" borderId="0" xfId="0" applyFont="1" applyBorder="1" applyAlignment="1">
      <alignment vertical="center"/>
    </xf>
    <xf numFmtId="0" fontId="29" fillId="0" borderId="0" xfId="0" applyFont="1" applyBorder="1" applyAlignment="1">
      <alignment vertical="center"/>
    </xf>
    <xf numFmtId="0" fontId="45" fillId="0" borderId="0" xfId="0" applyFont="1" applyBorder="1" applyAlignment="1">
      <alignment vertical="center" wrapText="1"/>
    </xf>
    <xf numFmtId="0" fontId="45" fillId="0" borderId="0" xfId="0" applyFont="1" applyBorder="1" applyAlignment="1"/>
    <xf numFmtId="0" fontId="45" fillId="0" borderId="0" xfId="0" applyFont="1" applyBorder="1" applyAlignment="1">
      <alignment wrapText="1"/>
    </xf>
    <xf numFmtId="0" fontId="45" fillId="0" borderId="0" xfId="0" applyFont="1" applyBorder="1"/>
    <xf numFmtId="0" fontId="45" fillId="0" borderId="0" xfId="0" applyFont="1" applyFill="1" applyBorder="1" applyAlignment="1">
      <alignment wrapText="1"/>
    </xf>
    <xf numFmtId="0" fontId="45" fillId="0" borderId="0" xfId="0" applyFont="1" applyFill="1" applyBorder="1" applyAlignment="1"/>
    <xf numFmtId="0" fontId="29" fillId="0" borderId="0" xfId="0" applyFont="1" applyBorder="1" applyAlignment="1">
      <alignment wrapText="1"/>
    </xf>
    <xf numFmtId="0" fontId="49" fillId="0" borderId="0" xfId="0" applyFont="1"/>
    <xf numFmtId="0" fontId="49" fillId="0" borderId="0" xfId="0" applyFont="1" applyAlignment="1">
      <alignment horizontal="center"/>
    </xf>
    <xf numFmtId="0" fontId="49" fillId="0" borderId="0" xfId="0" applyFont="1" applyAlignment="1">
      <alignment horizontal="center" vertical="center"/>
    </xf>
    <xf numFmtId="0" fontId="51" fillId="5" borderId="19" xfId="0" applyFont="1" applyFill="1" applyBorder="1" applyAlignment="1">
      <alignment horizontal="center" wrapText="1"/>
    </xf>
    <xf numFmtId="0" fontId="51" fillId="5" borderId="11" xfId="0" applyFont="1" applyFill="1" applyBorder="1" applyAlignment="1">
      <alignment horizontal="center" wrapText="1"/>
    </xf>
    <xf numFmtId="0" fontId="51" fillId="5" borderId="20" xfId="0" applyFont="1" applyFill="1" applyBorder="1" applyAlignment="1">
      <alignment horizontal="center" wrapText="1"/>
    </xf>
    <xf numFmtId="0" fontId="51" fillId="5" borderId="17" xfId="0" applyFont="1" applyFill="1" applyBorder="1" applyAlignment="1">
      <alignment horizontal="center"/>
    </xf>
    <xf numFmtId="0" fontId="51" fillId="5" borderId="0" xfId="0" applyFont="1" applyFill="1" applyBorder="1" applyAlignment="1">
      <alignment horizontal="center"/>
    </xf>
    <xf numFmtId="0" fontId="51" fillId="5" borderId="9" xfId="0" applyFont="1" applyFill="1" applyBorder="1" applyAlignment="1">
      <alignment horizontal="center"/>
    </xf>
    <xf numFmtId="0" fontId="51" fillId="5" borderId="18" xfId="0" applyFont="1" applyFill="1" applyBorder="1" applyAlignment="1">
      <alignment horizontal="center"/>
    </xf>
    <xf numFmtId="0" fontId="49" fillId="0" borderId="19" xfId="0" applyFont="1" applyBorder="1" applyAlignment="1">
      <alignment horizontal="center"/>
    </xf>
    <xf numFmtId="0" fontId="49" fillId="0" borderId="11" xfId="0" applyFont="1" applyBorder="1" applyAlignment="1">
      <alignment horizontal="center"/>
    </xf>
    <xf numFmtId="0" fontId="49" fillId="0" borderId="11" xfId="0" applyFont="1" applyBorder="1"/>
    <xf numFmtId="6" fontId="49" fillId="0" borderId="0" xfId="0" applyNumberFormat="1" applyFont="1" applyBorder="1" applyAlignment="1">
      <alignment horizontal="center" wrapText="1"/>
    </xf>
    <xf numFmtId="0" fontId="49" fillId="0" borderId="0" xfId="0" applyFont="1" applyFill="1" applyBorder="1"/>
    <xf numFmtId="0" fontId="49" fillId="0" borderId="17" xfId="0" applyFont="1" applyBorder="1" applyAlignment="1">
      <alignment horizontal="center"/>
    </xf>
    <xf numFmtId="2" fontId="49" fillId="0" borderId="0" xfId="0" applyNumberFormat="1" applyFont="1" applyBorder="1" applyAlignment="1">
      <alignment horizontal="center" wrapText="1"/>
    </xf>
    <xf numFmtId="10" fontId="49" fillId="0" borderId="0" xfId="2" applyNumberFormat="1" applyFont="1" applyBorder="1" applyAlignment="1">
      <alignment horizontal="center" wrapText="1"/>
    </xf>
    <xf numFmtId="2" fontId="49" fillId="0" borderId="18" xfId="2" applyNumberFormat="1" applyFont="1" applyBorder="1" applyAlignment="1">
      <alignment horizontal="center" wrapText="1"/>
    </xf>
    <xf numFmtId="0" fontId="49" fillId="0" borderId="0" xfId="0" applyFont="1" applyFill="1" applyBorder="1" applyAlignment="1">
      <alignment wrapText="1"/>
    </xf>
    <xf numFmtId="0" fontId="49" fillId="0" borderId="0" xfId="0" applyFont="1" applyAlignment="1">
      <alignment wrapText="1"/>
    </xf>
    <xf numFmtId="0" fontId="49" fillId="0" borderId="17" xfId="0" applyFont="1" applyBorder="1" applyAlignment="1">
      <alignment horizontal="center" wrapText="1"/>
    </xf>
    <xf numFmtId="0" fontId="49" fillId="0" borderId="15" xfId="0" applyFont="1" applyBorder="1"/>
    <xf numFmtId="0" fontId="49" fillId="0" borderId="9" xfId="0" applyFont="1" applyBorder="1"/>
    <xf numFmtId="0" fontId="51" fillId="4" borderId="1" xfId="0" applyFont="1" applyFill="1" applyBorder="1" applyAlignment="1">
      <alignment horizontal="left" vertical="center"/>
    </xf>
    <xf numFmtId="0" fontId="49" fillId="4" borderId="2" xfId="0" applyFont="1" applyFill="1" applyBorder="1" applyAlignment="1">
      <alignment horizontal="left" vertical="center"/>
    </xf>
    <xf numFmtId="0" fontId="52" fillId="4" borderId="2" xfId="0" applyFont="1" applyFill="1" applyBorder="1" applyAlignment="1">
      <alignment horizontal="left" vertical="center"/>
    </xf>
    <xf numFmtId="167" fontId="52" fillId="4" borderId="2" xfId="0" applyNumberFormat="1" applyFont="1" applyFill="1" applyBorder="1" applyAlignment="1">
      <alignment horizontal="left" vertical="center"/>
    </xf>
    <xf numFmtId="0" fontId="52" fillId="4" borderId="3" xfId="0" applyFont="1" applyFill="1" applyBorder="1" applyAlignment="1">
      <alignment horizontal="left" vertical="center"/>
    </xf>
    <xf numFmtId="0" fontId="52" fillId="0" borderId="0" xfId="0" applyFont="1" applyFill="1" applyBorder="1" applyAlignment="1">
      <alignment horizontal="center"/>
    </xf>
    <xf numFmtId="168" fontId="52" fillId="0" borderId="0" xfId="0" applyNumberFormat="1" applyFont="1" applyFill="1" applyBorder="1" applyAlignment="1">
      <alignment horizontal="center"/>
    </xf>
    <xf numFmtId="0" fontId="52" fillId="0" borderId="0" xfId="0" applyFont="1" applyFill="1" applyBorder="1"/>
    <xf numFmtId="0" fontId="53" fillId="0" borderId="11" xfId="0" applyFont="1" applyFill="1" applyBorder="1"/>
    <xf numFmtId="0" fontId="53" fillId="0" borderId="20" xfId="0" applyFont="1" applyFill="1" applyBorder="1"/>
    <xf numFmtId="6" fontId="54" fillId="0" borderId="9" xfId="0" applyNumberFormat="1" applyFont="1" applyFill="1" applyBorder="1" applyAlignment="1">
      <alignment horizontal="center" wrapText="1"/>
    </xf>
    <xf numFmtId="6" fontId="54" fillId="0" borderId="16" xfId="0" applyNumberFormat="1" applyFont="1" applyFill="1" applyBorder="1" applyAlignment="1">
      <alignment horizontal="center" wrapText="1"/>
    </xf>
    <xf numFmtId="6" fontId="54" fillId="0" borderId="0" xfId="0" applyNumberFormat="1" applyFont="1" applyFill="1" applyBorder="1" applyAlignment="1">
      <alignment horizontal="center" wrapText="1"/>
    </xf>
    <xf numFmtId="0" fontId="50" fillId="8" borderId="12" xfId="0" applyFont="1" applyFill="1" applyBorder="1" applyAlignment="1">
      <alignment vertical="center"/>
    </xf>
    <xf numFmtId="0" fontId="50" fillId="8" borderId="13" xfId="0" applyFont="1" applyFill="1" applyBorder="1" applyAlignment="1">
      <alignment vertical="center"/>
    </xf>
    <xf numFmtId="0" fontId="50" fillId="8" borderId="14" xfId="0" applyFont="1" applyFill="1" applyBorder="1" applyAlignment="1">
      <alignment vertical="center"/>
    </xf>
    <xf numFmtId="0" fontId="51" fillId="0" borderId="17" xfId="0" applyFont="1" applyBorder="1"/>
    <xf numFmtId="0" fontId="55" fillId="0" borderId="0" xfId="0" applyFont="1" applyBorder="1" applyAlignment="1">
      <alignment horizontal="center"/>
    </xf>
    <xf numFmtId="0" fontId="51" fillId="0" borderId="15" xfId="0" applyFont="1" applyBorder="1"/>
    <xf numFmtId="0" fontId="55" fillId="0" borderId="9" xfId="0" applyFont="1" applyBorder="1" applyAlignment="1">
      <alignment horizontal="center"/>
    </xf>
    <xf numFmtId="0" fontId="55" fillId="0" borderId="0" xfId="0" applyFont="1" applyAlignment="1">
      <alignment horizontal="center" wrapText="1"/>
    </xf>
    <xf numFmtId="0" fontId="49" fillId="0" borderId="0" xfId="0" applyFont="1" applyBorder="1" applyAlignment="1">
      <alignment wrapText="1"/>
    </xf>
    <xf numFmtId="0" fontId="44" fillId="5" borderId="12" xfId="0" applyFont="1" applyFill="1" applyBorder="1"/>
    <xf numFmtId="0" fontId="49" fillId="0" borderId="0" xfId="0" applyFont="1" applyFill="1" applyBorder="1" applyAlignment="1">
      <alignment horizontal="center"/>
    </xf>
    <xf numFmtId="0" fontId="49" fillId="0" borderId="0" xfId="0" applyFont="1" applyBorder="1" applyAlignment="1">
      <alignment horizontal="center"/>
    </xf>
    <xf numFmtId="167" fontId="49" fillId="0" borderId="0" xfId="0" applyNumberFormat="1" applyFont="1" applyFill="1" applyBorder="1" applyAlignment="1">
      <alignment horizontal="center"/>
    </xf>
    <xf numFmtId="164" fontId="49" fillId="0" borderId="21" xfId="2" applyNumberFormat="1" applyFont="1" applyBorder="1" applyAlignment="1">
      <alignment horizontal="center"/>
    </xf>
    <xf numFmtId="164" fontId="49" fillId="0" borderId="0" xfId="2" applyNumberFormat="1" applyFont="1" applyFill="1" applyBorder="1" applyAlignment="1">
      <alignment horizontal="center"/>
    </xf>
    <xf numFmtId="0" fontId="49" fillId="0" borderId="21" xfId="0" applyFont="1" applyBorder="1" applyAlignment="1">
      <alignment horizontal="center"/>
    </xf>
    <xf numFmtId="168" fontId="49" fillId="0" borderId="21" xfId="0" applyNumberFormat="1" applyFont="1" applyBorder="1" applyAlignment="1">
      <alignment horizontal="center"/>
    </xf>
    <xf numFmtId="168" fontId="49" fillId="0" borderId="0" xfId="0" applyNumberFormat="1" applyFont="1" applyFill="1" applyBorder="1" applyAlignment="1">
      <alignment horizontal="center"/>
    </xf>
    <xf numFmtId="0" fontId="55" fillId="0" borderId="0" xfId="0" applyFont="1" applyBorder="1" applyAlignment="1">
      <alignment horizontal="center" wrapText="1"/>
    </xf>
    <xf numFmtId="170" fontId="49" fillId="0" borderId="0" xfId="0" applyNumberFormat="1" applyFont="1" applyFill="1" applyBorder="1" applyAlignment="1">
      <alignment horizontal="center"/>
    </xf>
    <xf numFmtId="9" fontId="49" fillId="0" borderId="21" xfId="0" applyNumberFormat="1" applyFont="1" applyBorder="1" applyAlignment="1">
      <alignment horizontal="center"/>
    </xf>
    <xf numFmtId="9" fontId="49" fillId="0" borderId="0" xfId="0" applyNumberFormat="1" applyFont="1" applyFill="1" applyBorder="1" applyAlignment="1">
      <alignment horizontal="center"/>
    </xf>
    <xf numFmtId="9" fontId="49" fillId="0" borderId="0" xfId="0" applyNumberFormat="1" applyFont="1" applyBorder="1" applyAlignment="1">
      <alignment horizontal="center"/>
    </xf>
    <xf numFmtId="0" fontId="49" fillId="0" borderId="0" xfId="0" applyFont="1" applyBorder="1"/>
    <xf numFmtId="0" fontId="30" fillId="5" borderId="23" xfId="0" applyFont="1" applyFill="1" applyBorder="1" applyAlignment="1">
      <alignment vertical="center"/>
    </xf>
    <xf numFmtId="0" fontId="30" fillId="5" borderId="10" xfId="0" applyFont="1" applyFill="1" applyBorder="1" applyAlignment="1">
      <alignment vertical="center"/>
    </xf>
    <xf numFmtId="0" fontId="45" fillId="5" borderId="24" xfId="0" applyFont="1" applyFill="1" applyBorder="1" applyAlignment="1">
      <alignment vertical="center"/>
    </xf>
    <xf numFmtId="0" fontId="45" fillId="8" borderId="25" xfId="0" applyFont="1" applyFill="1" applyBorder="1" applyAlignment="1">
      <alignment vertical="center"/>
    </xf>
    <xf numFmtId="0" fontId="29" fillId="8" borderId="25" xfId="0" applyFont="1" applyFill="1" applyBorder="1" applyAlignment="1">
      <alignment vertical="center"/>
    </xf>
    <xf numFmtId="0" fontId="29" fillId="8" borderId="8" xfId="0" applyFont="1" applyFill="1" applyBorder="1" applyAlignment="1">
      <alignment horizontal="left" vertical="top" wrapText="1"/>
    </xf>
    <xf numFmtId="0" fontId="45" fillId="8" borderId="0" xfId="0" applyFont="1" applyFill="1" applyBorder="1" applyAlignment="1">
      <alignment vertical="center" wrapText="1"/>
    </xf>
    <xf numFmtId="0" fontId="45" fillId="8" borderId="25" xfId="0" applyFont="1" applyFill="1" applyBorder="1" applyAlignment="1">
      <alignment vertical="center" wrapText="1"/>
    </xf>
    <xf numFmtId="0" fontId="45" fillId="8" borderId="8" xfId="0" applyFont="1" applyFill="1" applyBorder="1" applyAlignment="1"/>
    <xf numFmtId="0" fontId="45" fillId="8" borderId="0" xfId="0" applyFont="1" applyFill="1" applyBorder="1" applyAlignment="1"/>
    <xf numFmtId="0" fontId="45" fillId="8" borderId="25" xfId="0" applyFont="1" applyFill="1" applyBorder="1" applyAlignment="1"/>
    <xf numFmtId="0" fontId="29" fillId="8" borderId="8" xfId="0" applyFont="1" applyFill="1" applyBorder="1" applyAlignment="1">
      <alignment vertical="top" wrapText="1"/>
    </xf>
    <xf numFmtId="0" fontId="45" fillId="8" borderId="0" xfId="0" applyFont="1" applyFill="1" applyBorder="1" applyAlignment="1">
      <alignment wrapText="1"/>
    </xf>
    <xf numFmtId="0" fontId="45" fillId="8" borderId="25" xfId="0" applyFont="1" applyFill="1" applyBorder="1" applyAlignment="1">
      <alignment wrapText="1"/>
    </xf>
    <xf numFmtId="0" fontId="46" fillId="8" borderId="0" xfId="0" applyFont="1" applyFill="1" applyBorder="1" applyAlignment="1">
      <alignment vertical="center"/>
    </xf>
    <xf numFmtId="0" fontId="29" fillId="8" borderId="25" xfId="0" applyFont="1" applyFill="1" applyBorder="1" applyAlignment="1">
      <alignment wrapText="1"/>
    </xf>
    <xf numFmtId="0" fontId="45" fillId="8" borderId="26" xfId="0" applyFont="1" applyFill="1" applyBorder="1" applyAlignment="1"/>
    <xf numFmtId="0" fontId="45" fillId="8" borderId="22" xfId="0" applyFont="1" applyFill="1" applyBorder="1" applyAlignment="1"/>
    <xf numFmtId="0" fontId="45" fillId="8" borderId="27" xfId="0" applyFont="1" applyFill="1" applyBorder="1" applyAlignment="1"/>
    <xf numFmtId="2" fontId="49" fillId="0" borderId="0" xfId="0" applyNumberFormat="1" applyFont="1" applyBorder="1"/>
    <xf numFmtId="6" fontId="6" fillId="11" borderId="7" xfId="0" applyNumberFormat="1" applyFont="1" applyFill="1" applyBorder="1" applyAlignment="1">
      <alignment horizontal="center"/>
    </xf>
    <xf numFmtId="9" fontId="57" fillId="0" borderId="0" xfId="0" applyNumberFormat="1" applyFont="1" applyBorder="1" applyAlignment="1">
      <alignment horizontal="center"/>
    </xf>
    <xf numFmtId="0" fontId="57" fillId="0" borderId="0" xfId="0" applyFont="1" applyBorder="1" applyAlignment="1">
      <alignment horizontal="center"/>
    </xf>
    <xf numFmtId="0" fontId="50" fillId="0" borderId="0" xfId="0" applyFont="1" applyFill="1" applyBorder="1" applyAlignment="1">
      <alignment vertical="center"/>
    </xf>
    <xf numFmtId="0" fontId="49" fillId="0" borderId="0" xfId="0" applyFont="1" applyFill="1"/>
    <xf numFmtId="9" fontId="50" fillId="0" borderId="0" xfId="0" applyNumberFormat="1" applyFont="1" applyFill="1" applyBorder="1" applyAlignment="1">
      <alignment vertical="center"/>
    </xf>
    <xf numFmtId="0" fontId="49" fillId="0" borderId="0" xfId="0" applyFont="1" applyBorder="1" applyAlignment="1"/>
    <xf numFmtId="0" fontId="36" fillId="0" borderId="0" xfId="0" applyNumberFormat="1" applyFont="1" applyAlignment="1">
      <alignment horizontal="center"/>
    </xf>
    <xf numFmtId="0" fontId="6" fillId="0" borderId="0" xfId="0" applyNumberFormat="1" applyFont="1" applyFill="1" applyBorder="1" applyAlignment="1">
      <alignment horizontal="left" vertical="center"/>
    </xf>
    <xf numFmtId="9" fontId="28" fillId="0" borderId="0" xfId="0" applyNumberFormat="1" applyFont="1" applyAlignment="1">
      <alignment horizontal="center"/>
    </xf>
    <xf numFmtId="0" fontId="49" fillId="0" borderId="17" xfId="0" applyFont="1" applyFill="1" applyBorder="1"/>
    <xf numFmtId="0" fontId="4" fillId="0" borderId="4" xfId="0" applyNumberFormat="1" applyFont="1" applyBorder="1" applyAlignment="1">
      <alignment horizontal="center"/>
    </xf>
    <xf numFmtId="0" fontId="3" fillId="8" borderId="0" xfId="0" applyNumberFormat="1" applyFont="1" applyFill="1" applyAlignment="1"/>
    <xf numFmtId="0" fontId="6" fillId="8" borderId="0" xfId="0" applyNumberFormat="1" applyFont="1" applyFill="1" applyAlignment="1"/>
    <xf numFmtId="0" fontId="6" fillId="8" borderId="0" xfId="0" applyNumberFormat="1" applyFont="1" applyFill="1" applyAlignment="1">
      <alignment horizontal="center"/>
    </xf>
    <xf numFmtId="0" fontId="37" fillId="8" borderId="0" xfId="0" applyNumberFormat="1" applyFont="1" applyFill="1" applyAlignment="1"/>
    <xf numFmtId="0" fontId="22" fillId="8" borderId="0" xfId="0" applyNumberFormat="1" applyFont="1" applyFill="1" applyAlignment="1">
      <alignment horizontal="center"/>
    </xf>
    <xf numFmtId="168" fontId="6" fillId="8" borderId="0" xfId="0" applyNumberFormat="1" applyFont="1" applyFill="1" applyAlignment="1">
      <alignment horizontal="center"/>
    </xf>
    <xf numFmtId="0" fontId="7" fillId="8" borderId="0" xfId="0" applyNumberFormat="1" applyFont="1" applyFill="1" applyAlignment="1"/>
    <xf numFmtId="10" fontId="12" fillId="8" borderId="0" xfId="2" applyNumberFormat="1" applyFont="1" applyFill="1"/>
    <xf numFmtId="10" fontId="6" fillId="8" borderId="0" xfId="2" applyNumberFormat="1" applyFont="1" applyFill="1"/>
    <xf numFmtId="168" fontId="36" fillId="8" borderId="0" xfId="0" applyNumberFormat="1" applyFont="1" applyFill="1" applyAlignment="1">
      <alignment horizontal="center"/>
    </xf>
    <xf numFmtId="168" fontId="6" fillId="8" borderId="0" xfId="0" applyNumberFormat="1" applyFont="1" applyFill="1" applyAlignment="1"/>
    <xf numFmtId="168" fontId="6" fillId="8" borderId="0" xfId="0" applyNumberFormat="1" applyFont="1" applyFill="1" applyBorder="1" applyAlignment="1"/>
    <xf numFmtId="168" fontId="6" fillId="8" borderId="0" xfId="2" applyNumberFormat="1" applyFont="1" applyFill="1"/>
    <xf numFmtId="168" fontId="6" fillId="8" borderId="0" xfId="2" applyNumberFormat="1" applyFont="1" applyFill="1" applyBorder="1"/>
    <xf numFmtId="0" fontId="6" fillId="8" borderId="9" xfId="0" applyNumberFormat="1" applyFont="1" applyFill="1" applyBorder="1" applyAlignment="1"/>
    <xf numFmtId="168" fontId="6" fillId="8" borderId="9" xfId="0" applyNumberFormat="1" applyFont="1" applyFill="1" applyBorder="1" applyAlignment="1"/>
    <xf numFmtId="0" fontId="6" fillId="8" borderId="0" xfId="0" applyNumberFormat="1" applyFont="1" applyFill="1" applyBorder="1" applyAlignment="1"/>
    <xf numFmtId="168" fontId="4" fillId="8" borderId="0" xfId="0" applyNumberFormat="1" applyFont="1" applyFill="1" applyBorder="1" applyAlignment="1">
      <alignment horizontal="center" vertical="center"/>
    </xf>
    <xf numFmtId="1" fontId="6" fillId="8" borderId="0" xfId="2" applyNumberFormat="1" applyFont="1" applyFill="1" applyBorder="1"/>
    <xf numFmtId="168" fontId="6" fillId="8" borderId="0" xfId="0" applyNumberFormat="1" applyFont="1" applyFill="1" applyBorder="1" applyAlignment="1">
      <alignment horizontal="right"/>
    </xf>
    <xf numFmtId="0" fontId="6" fillId="8" borderId="0" xfId="0" applyNumberFormat="1" applyFont="1" applyFill="1" applyAlignment="1">
      <alignment horizontal="left" indent="1"/>
    </xf>
    <xf numFmtId="6" fontId="6" fillId="8" borderId="0" xfId="0" applyNumberFormat="1" applyFont="1" applyFill="1" applyBorder="1" applyAlignment="1">
      <alignment horizontal="right"/>
    </xf>
    <xf numFmtId="0" fontId="4" fillId="8" borderId="22" xfId="0" applyNumberFormat="1" applyFont="1" applyFill="1" applyBorder="1" applyAlignment="1">
      <alignment horizontal="right"/>
    </xf>
    <xf numFmtId="0" fontId="6" fillId="8" borderId="22" xfId="0" applyNumberFormat="1" applyFont="1" applyFill="1" applyBorder="1" applyAlignment="1"/>
    <xf numFmtId="0" fontId="3" fillId="8" borderId="22" xfId="0" applyNumberFormat="1" applyFont="1" applyFill="1" applyBorder="1" applyAlignment="1">
      <alignment horizontal="center"/>
    </xf>
    <xf numFmtId="10" fontId="6" fillId="8" borderId="22" xfId="2" applyNumberFormat="1" applyFont="1" applyFill="1" applyBorder="1" applyAlignment="1">
      <alignment horizontal="right"/>
    </xf>
    <xf numFmtId="0" fontId="3" fillId="8" borderId="0" xfId="0" applyNumberFormat="1" applyFont="1" applyFill="1" applyBorder="1" applyAlignment="1">
      <alignment horizontal="center"/>
    </xf>
    <xf numFmtId="10" fontId="6" fillId="8" borderId="0" xfId="2" applyNumberFormat="1" applyFont="1" applyFill="1" applyBorder="1" applyAlignment="1">
      <alignment horizontal="right"/>
    </xf>
    <xf numFmtId="174" fontId="3" fillId="8" borderId="0" xfId="0" applyNumberFormat="1" applyFont="1" applyFill="1" applyAlignment="1">
      <alignment horizontal="left"/>
    </xf>
    <xf numFmtId="174" fontId="6" fillId="8" borderId="0" xfId="0" applyNumberFormat="1" applyFont="1" applyFill="1" applyAlignment="1">
      <alignment horizontal="left"/>
    </xf>
    <xf numFmtId="41" fontId="6" fillId="8" borderId="0" xfId="0" applyNumberFormat="1" applyFont="1" applyFill="1" applyBorder="1" applyAlignment="1">
      <alignment horizontal="right" wrapText="1"/>
    </xf>
    <xf numFmtId="173" fontId="32" fillId="8" borderId="0" xfId="1" applyNumberFormat="1" applyFont="1" applyFill="1" applyBorder="1" applyAlignment="1">
      <alignment horizontal="right"/>
    </xf>
    <xf numFmtId="9" fontId="6" fillId="8" borderId="0" xfId="0" applyNumberFormat="1" applyFont="1" applyFill="1" applyBorder="1" applyAlignment="1">
      <alignment horizontal="right" wrapText="1"/>
    </xf>
    <xf numFmtId="41" fontId="6" fillId="8" borderId="4" xfId="0" applyNumberFormat="1" applyFont="1" applyFill="1" applyBorder="1" applyAlignment="1">
      <alignment horizontal="right" wrapText="1"/>
    </xf>
    <xf numFmtId="174" fontId="6" fillId="8" borderId="0" xfId="0" applyNumberFormat="1" applyFont="1" applyFill="1" applyAlignment="1">
      <alignment horizontal="left" indent="2"/>
    </xf>
    <xf numFmtId="174" fontId="6" fillId="8" borderId="0" xfId="0" applyNumberFormat="1" applyFont="1" applyFill="1" applyAlignment="1">
      <alignment horizontal="right"/>
    </xf>
    <xf numFmtId="174" fontId="6" fillId="8" borderId="0" xfId="0" applyNumberFormat="1" applyFont="1" applyFill="1" applyAlignment="1">
      <alignment horizontal="left" indent="1"/>
    </xf>
    <xf numFmtId="41" fontId="12" fillId="8" borderId="0" xfId="0" applyNumberFormat="1" applyFont="1" applyFill="1" applyBorder="1" applyAlignment="1">
      <alignment horizontal="right" wrapText="1"/>
    </xf>
    <xf numFmtId="6" fontId="6" fillId="8" borderId="0" xfId="0" applyNumberFormat="1" applyFont="1" applyFill="1" applyAlignment="1">
      <alignment horizontal="right" wrapText="1"/>
    </xf>
    <xf numFmtId="174" fontId="6" fillId="8" borderId="0" xfId="0" applyNumberFormat="1" applyFont="1" applyFill="1" applyBorder="1" applyAlignment="1">
      <alignment horizontal="left" indent="1"/>
    </xf>
    <xf numFmtId="41" fontId="6" fillId="8" borderId="0" xfId="0" applyNumberFormat="1" applyFont="1" applyFill="1" applyAlignment="1">
      <alignment horizontal="right" wrapText="1"/>
    </xf>
    <xf numFmtId="174" fontId="6" fillId="8" borderId="0" xfId="0" applyNumberFormat="1" applyFont="1" applyFill="1" applyAlignment="1">
      <alignment horizontal="right" wrapText="1"/>
    </xf>
    <xf numFmtId="41" fontId="12" fillId="8" borderId="0" xfId="0" applyNumberFormat="1" applyFont="1" applyFill="1" applyAlignment="1">
      <alignment horizontal="right" wrapText="1"/>
    </xf>
    <xf numFmtId="41" fontId="12" fillId="8" borderId="9" xfId="0" applyNumberFormat="1" applyFont="1" applyFill="1" applyBorder="1" applyAlignment="1">
      <alignment horizontal="right" wrapText="1"/>
    </xf>
    <xf numFmtId="6" fontId="6" fillId="8" borderId="9" xfId="0" applyNumberFormat="1" applyFont="1" applyFill="1" applyBorder="1" applyAlignment="1">
      <alignment horizontal="right" wrapText="1"/>
    </xf>
    <xf numFmtId="0" fontId="0" fillId="8" borderId="0" xfId="0" applyNumberFormat="1" applyFill="1" applyAlignment="1"/>
    <xf numFmtId="174" fontId="6" fillId="8" borderId="22" xfId="0" applyNumberFormat="1" applyFont="1" applyFill="1" applyBorder="1" applyAlignment="1">
      <alignment horizontal="left" indent="1"/>
    </xf>
    <xf numFmtId="0" fontId="0" fillId="8" borderId="22" xfId="0" applyNumberFormat="1" applyFill="1" applyBorder="1" applyAlignment="1"/>
    <xf numFmtId="6" fontId="6" fillId="8" borderId="22" xfId="0" applyNumberFormat="1" applyFont="1" applyFill="1" applyBorder="1" applyAlignment="1">
      <alignment horizontal="right" wrapText="1"/>
    </xf>
    <xf numFmtId="168" fontId="58" fillId="8" borderId="0" xfId="0" applyNumberFormat="1" applyFont="1" applyFill="1" applyBorder="1" applyAlignment="1"/>
    <xf numFmtId="9" fontId="59" fillId="0" borderId="0" xfId="0" applyNumberFormat="1" applyFont="1" applyFill="1" applyBorder="1" applyAlignment="1">
      <alignment horizontal="center"/>
    </xf>
    <xf numFmtId="0" fontId="45" fillId="8" borderId="0" xfId="0" applyFont="1" applyFill="1" applyBorder="1" applyAlignment="1">
      <alignment vertical="top" wrapText="1"/>
    </xf>
    <xf numFmtId="0" fontId="30" fillId="5" borderId="8" xfId="0" applyFont="1" applyFill="1" applyBorder="1" applyAlignment="1">
      <alignment vertical="center"/>
    </xf>
    <xf numFmtId="0" fontId="30" fillId="5" borderId="0" xfId="0" applyFont="1" applyFill="1" applyBorder="1" applyAlignment="1">
      <alignment vertical="center"/>
    </xf>
    <xf numFmtId="0" fontId="45" fillId="5" borderId="25" xfId="0" applyFont="1" applyFill="1" applyBorder="1" applyAlignment="1">
      <alignment vertical="center"/>
    </xf>
    <xf numFmtId="0" fontId="45" fillId="8" borderId="0" xfId="0" applyFont="1" applyFill="1" applyBorder="1" applyAlignment="1">
      <alignment horizontal="left" vertical="center"/>
    </xf>
    <xf numFmtId="0" fontId="45" fillId="8" borderId="0" xfId="0" applyFont="1" applyFill="1" applyBorder="1" applyAlignment="1">
      <alignment horizontal="left" vertical="center" wrapText="1"/>
    </xf>
    <xf numFmtId="165" fontId="0" fillId="0" borderId="0" xfId="1" applyNumberFormat="1" applyFont="1"/>
    <xf numFmtId="9" fontId="24" fillId="6" borderId="5" xfId="0" applyNumberFormat="1" applyFont="1" applyFill="1" applyBorder="1" applyAlignment="1">
      <alignment horizontal="center"/>
    </xf>
    <xf numFmtId="0" fontId="42" fillId="2" borderId="6" xfId="0" applyNumberFormat="1" applyFont="1" applyFill="1" applyBorder="1" applyAlignment="1">
      <alignment vertical="center"/>
    </xf>
    <xf numFmtId="168" fontId="24" fillId="0" borderId="6" xfId="1" applyNumberFormat="1" applyFont="1" applyBorder="1" applyAlignment="1">
      <alignment horizontal="center" vertical="center"/>
    </xf>
    <xf numFmtId="2" fontId="6" fillId="0" borderId="0" xfId="0" applyNumberFormat="1" applyFont="1" applyFill="1" applyAlignment="1">
      <alignment horizontal="right"/>
    </xf>
    <xf numFmtId="6" fontId="6" fillId="8" borderId="0" xfId="0" applyNumberFormat="1" applyFont="1" applyFill="1" applyAlignment="1">
      <alignment horizontal="right" vertical="center" wrapText="1"/>
    </xf>
    <xf numFmtId="0" fontId="56" fillId="0" borderId="0" xfId="0" applyFont="1" applyBorder="1" applyAlignment="1">
      <alignment horizontal="center" vertical="center" wrapText="1"/>
    </xf>
    <xf numFmtId="164" fontId="51" fillId="0" borderId="17" xfId="2" applyNumberFormat="1" applyFont="1" applyFill="1" applyBorder="1" applyAlignment="1">
      <alignment horizontal="center"/>
    </xf>
    <xf numFmtId="10" fontId="49" fillId="0" borderId="21" xfId="0" applyNumberFormat="1" applyFont="1" applyBorder="1" applyAlignment="1">
      <alignment horizontal="center"/>
    </xf>
    <xf numFmtId="0" fontId="6" fillId="9" borderId="30" xfId="0" applyNumberFormat="1" applyFont="1" applyFill="1" applyBorder="1" applyAlignment="1">
      <alignment horizontal="center" vertical="center"/>
    </xf>
    <xf numFmtId="0" fontId="6" fillId="9" borderId="7" xfId="0" applyNumberFormat="1" applyFont="1" applyFill="1" applyBorder="1" applyAlignment="1">
      <alignment horizontal="center" vertical="center" wrapText="1"/>
    </xf>
    <xf numFmtId="0" fontId="61" fillId="0" borderId="0" xfId="0" applyFont="1" applyFill="1" applyBorder="1" applyAlignment="1">
      <alignment vertical="center"/>
    </xf>
    <xf numFmtId="0" fontId="0" fillId="0" borderId="22" xfId="0" applyBorder="1"/>
    <xf numFmtId="0" fontId="62" fillId="0" borderId="0" xfId="0" applyFont="1" applyFill="1" applyBorder="1" applyAlignment="1">
      <alignment vertical="center"/>
    </xf>
    <xf numFmtId="10" fontId="3" fillId="11" borderId="7" xfId="2" applyNumberFormat="1" applyFont="1" applyFill="1" applyBorder="1" applyAlignment="1">
      <alignment horizontal="center" vertical="center"/>
    </xf>
    <xf numFmtId="2" fontId="44" fillId="0" borderId="22" xfId="0" applyNumberFormat="1" applyFont="1" applyFill="1" applyBorder="1" applyAlignment="1">
      <alignment horizontal="center"/>
    </xf>
    <xf numFmtId="6" fontId="63" fillId="0" borderId="0" xfId="0" applyNumberFormat="1" applyFont="1" applyAlignment="1"/>
    <xf numFmtId="6" fontId="63" fillId="0" borderId="9" xfId="0" applyNumberFormat="1" applyFont="1" applyBorder="1" applyAlignment="1"/>
    <xf numFmtId="0" fontId="51" fillId="0" borderId="0" xfId="0" applyFont="1" applyBorder="1"/>
    <xf numFmtId="164" fontId="51" fillId="0" borderId="0" xfId="2" applyNumberFormat="1" applyFont="1" applyFill="1" applyBorder="1" applyAlignment="1">
      <alignment horizontal="center"/>
    </xf>
    <xf numFmtId="0" fontId="51" fillId="0" borderId="9" xfId="0" applyFont="1" applyFill="1" applyBorder="1" applyAlignment="1">
      <alignment horizontal="center"/>
    </xf>
    <xf numFmtId="0" fontId="55" fillId="5" borderId="14" xfId="0" applyFont="1" applyFill="1" applyBorder="1" applyAlignment="1">
      <alignment horizontal="center"/>
    </xf>
    <xf numFmtId="0" fontId="6" fillId="0" borderId="0" xfId="0" applyNumberFormat="1" applyFont="1" applyAlignment="1">
      <alignment wrapText="1"/>
    </xf>
    <xf numFmtId="9" fontId="6" fillId="0" borderId="9" xfId="0" applyNumberFormat="1" applyFont="1" applyBorder="1" applyAlignment="1"/>
    <xf numFmtId="9" fontId="65" fillId="0" borderId="0" xfId="0" applyNumberFormat="1" applyFont="1" applyAlignment="1"/>
    <xf numFmtId="6" fontId="6" fillId="8" borderId="0" xfId="0" applyNumberFormat="1" applyFont="1" applyFill="1" applyBorder="1" applyAlignment="1"/>
    <xf numFmtId="0" fontId="22" fillId="8" borderId="0" xfId="0" applyNumberFormat="1" applyFont="1" applyFill="1" applyAlignment="1"/>
    <xf numFmtId="0" fontId="8" fillId="0" borderId="23" xfId="0" applyFont="1" applyFill="1" applyBorder="1" applyAlignment="1">
      <alignment horizontal="center"/>
    </xf>
    <xf numFmtId="0" fontId="6" fillId="0" borderId="10" xfId="0" applyFont="1" applyFill="1" applyBorder="1"/>
    <xf numFmtId="6" fontId="3" fillId="0" borderId="22" xfId="0" applyNumberFormat="1" applyFont="1" applyBorder="1" applyAlignment="1"/>
    <xf numFmtId="0" fontId="15" fillId="0" borderId="32" xfId="0" applyFont="1" applyFill="1" applyBorder="1" applyAlignment="1">
      <alignment horizontal="center"/>
    </xf>
    <xf numFmtId="0" fontId="6" fillId="0" borderId="24" xfId="0" applyFont="1" applyFill="1" applyBorder="1"/>
    <xf numFmtId="164" fontId="4" fillId="0" borderId="0" xfId="2" applyNumberFormat="1" applyFont="1" applyAlignment="1">
      <alignment horizontal="center"/>
    </xf>
    <xf numFmtId="9" fontId="4" fillId="0" borderId="0" xfId="2" applyFont="1" applyAlignment="1">
      <alignment horizontal="center"/>
    </xf>
    <xf numFmtId="9" fontId="4" fillId="0" borderId="0" xfId="0" applyNumberFormat="1" applyFont="1" applyAlignment="1">
      <alignment horizontal="center"/>
    </xf>
    <xf numFmtId="0" fontId="22" fillId="0" borderId="0" xfId="0" applyNumberFormat="1" applyFont="1" applyFill="1" applyBorder="1" applyAlignment="1"/>
    <xf numFmtId="2" fontId="36" fillId="0" borderId="0" xfId="0" applyNumberFormat="1" applyFont="1" applyBorder="1" applyAlignment="1"/>
    <xf numFmtId="0" fontId="6" fillId="0" borderId="27" xfId="0" applyFont="1" applyFill="1" applyBorder="1"/>
    <xf numFmtId="0" fontId="6" fillId="0" borderId="9" xfId="0" applyNumberFormat="1" applyFont="1" applyBorder="1" applyAlignment="1">
      <alignment wrapText="1"/>
    </xf>
    <xf numFmtId="0" fontId="67" fillId="0" borderId="19" xfId="0" applyFont="1" applyBorder="1"/>
    <xf numFmtId="0" fontId="67" fillId="0" borderId="20" xfId="0" applyFont="1" applyBorder="1"/>
    <xf numFmtId="6" fontId="67" fillId="0" borderId="17" xfId="0" applyNumberFormat="1" applyFont="1" applyBorder="1" applyAlignment="1">
      <alignment horizontal="center" wrapText="1"/>
    </xf>
    <xf numFmtId="6" fontId="67" fillId="0" borderId="18" xfId="0" applyNumberFormat="1" applyFont="1" applyBorder="1" applyAlignment="1">
      <alignment horizontal="center" wrapText="1"/>
    </xf>
    <xf numFmtId="0" fontId="67" fillId="0" borderId="15" xfId="0" applyFont="1" applyBorder="1"/>
    <xf numFmtId="0" fontId="67" fillId="0" borderId="16" xfId="0" applyFont="1" applyBorder="1"/>
    <xf numFmtId="6" fontId="68" fillId="0" borderId="0" xfId="0" applyNumberFormat="1" applyFont="1" applyAlignment="1"/>
    <xf numFmtId="6" fontId="15" fillId="0" borderId="0" xfId="0" applyNumberFormat="1" applyFont="1" applyFill="1" applyAlignment="1"/>
    <xf numFmtId="169" fontId="4" fillId="3" borderId="0" xfId="0" applyNumberFormat="1" applyFont="1" applyFill="1" applyBorder="1" applyAlignment="1">
      <alignment horizontal="center"/>
    </xf>
    <xf numFmtId="0" fontId="6" fillId="3" borderId="0" xfId="0" applyFont="1" applyFill="1" applyBorder="1"/>
    <xf numFmtId="14" fontId="6" fillId="3" borderId="0" xfId="0" applyNumberFormat="1" applyFont="1" applyFill="1" applyBorder="1" applyAlignment="1">
      <alignment horizontal="center"/>
    </xf>
    <xf numFmtId="168" fontId="5" fillId="0" borderId="0" xfId="1" applyNumberFormat="1" applyFont="1" applyFill="1" applyBorder="1" applyAlignment="1">
      <alignment horizontal="center"/>
    </xf>
    <xf numFmtId="168" fontId="6" fillId="0" borderId="0" xfId="1" applyNumberFormat="1" applyFont="1" applyFill="1" applyBorder="1" applyAlignment="1">
      <alignment horizontal="center"/>
    </xf>
    <xf numFmtId="170" fontId="5" fillId="0" borderId="0" xfId="1" applyNumberFormat="1" applyFont="1" applyFill="1" applyBorder="1" applyAlignment="1">
      <alignment horizontal="center"/>
    </xf>
    <xf numFmtId="164" fontId="5" fillId="3" borderId="0" xfId="2" applyNumberFormat="1" applyFont="1" applyFill="1" applyBorder="1" applyAlignment="1">
      <alignment horizontal="center"/>
    </xf>
    <xf numFmtId="9" fontId="5" fillId="0" borderId="0" xfId="2" applyFont="1" applyFill="1" applyBorder="1" applyAlignment="1">
      <alignment horizontal="center"/>
    </xf>
    <xf numFmtId="0" fontId="8" fillId="5" borderId="10" xfId="0" applyFont="1" applyFill="1" applyBorder="1" applyAlignment="1">
      <alignment vertical="center"/>
    </xf>
    <xf numFmtId="0" fontId="62" fillId="5" borderId="10" xfId="0" applyFont="1" applyFill="1" applyBorder="1" applyAlignment="1">
      <alignment vertical="center"/>
    </xf>
    <xf numFmtId="0" fontId="62" fillId="5" borderId="24" xfId="0" applyFont="1" applyFill="1" applyBorder="1" applyAlignment="1">
      <alignment vertical="center"/>
    </xf>
    <xf numFmtId="0" fontId="49" fillId="0" borderId="6" xfId="0" applyFont="1" applyBorder="1" applyAlignment="1">
      <alignment horizontal="center"/>
    </xf>
    <xf numFmtId="1" fontId="0" fillId="0" borderId="0" xfId="0" applyNumberFormat="1" applyAlignment="1"/>
    <xf numFmtId="6" fontId="22" fillId="8" borderId="0" xfId="0" applyNumberFormat="1" applyFont="1" applyFill="1" applyAlignment="1">
      <alignment horizontal="center" wrapText="1"/>
    </xf>
    <xf numFmtId="176" fontId="6" fillId="8" borderId="0" xfId="0" applyNumberFormat="1" applyFont="1" applyFill="1" applyAlignment="1">
      <alignment horizontal="center" wrapText="1"/>
    </xf>
    <xf numFmtId="1" fontId="24" fillId="8" borderId="0" xfId="0" applyNumberFormat="1" applyFont="1" applyFill="1" applyAlignment="1">
      <alignment horizontal="right" wrapText="1"/>
    </xf>
    <xf numFmtId="176" fontId="6" fillId="8" borderId="0" xfId="0" applyNumberFormat="1" applyFont="1" applyFill="1" applyAlignment="1">
      <alignment horizontal="right" wrapText="1"/>
    </xf>
    <xf numFmtId="0" fontId="0" fillId="0" borderId="0" xfId="0" applyNumberFormat="1" applyFill="1" applyAlignment="1"/>
    <xf numFmtId="1" fontId="0" fillId="0" borderId="0" xfId="0" applyNumberFormat="1" applyFill="1" applyAlignment="1"/>
    <xf numFmtId="1" fontId="0" fillId="8" borderId="22" xfId="0" applyNumberFormat="1" applyFill="1" applyBorder="1" applyAlignment="1"/>
    <xf numFmtId="174" fontId="3" fillId="8" borderId="0" xfId="0" applyNumberFormat="1" applyFont="1" applyFill="1" applyAlignment="1">
      <alignment horizontal="left" indent="1"/>
    </xf>
    <xf numFmtId="175" fontId="4" fillId="0" borderId="0" xfId="0" applyNumberFormat="1" applyFont="1" applyFill="1" applyAlignment="1">
      <alignment horizontal="center"/>
    </xf>
    <xf numFmtId="1" fontId="43" fillId="0" borderId="0" xfId="0" applyNumberFormat="1" applyFont="1" applyFill="1" applyBorder="1" applyAlignment="1">
      <alignment horizontal="center"/>
    </xf>
    <xf numFmtId="0" fontId="70" fillId="5" borderId="6" xfId="0" applyNumberFormat="1" applyFont="1" applyFill="1" applyBorder="1" applyAlignment="1">
      <alignment horizontal="center"/>
    </xf>
    <xf numFmtId="2" fontId="16" fillId="5" borderId="5" xfId="0" applyNumberFormat="1" applyFont="1" applyFill="1" applyBorder="1" applyAlignment="1">
      <alignment horizontal="center"/>
    </xf>
    <xf numFmtId="0" fontId="71" fillId="0" borderId="0" xfId="0" applyFont="1" applyFill="1" applyBorder="1"/>
    <xf numFmtId="0" fontId="21" fillId="5" borderId="2" xfId="0" applyNumberFormat="1" applyFont="1" applyFill="1" applyBorder="1" applyAlignment="1">
      <alignment horizontal="center"/>
    </xf>
    <xf numFmtId="0" fontId="21" fillId="5" borderId="1" xfId="0" applyFont="1" applyFill="1" applyBorder="1"/>
    <xf numFmtId="0" fontId="6" fillId="4" borderId="23" xfId="0" applyFont="1" applyFill="1" applyBorder="1"/>
    <xf numFmtId="0" fontId="6" fillId="4" borderId="8" xfId="0" applyFont="1" applyFill="1" applyBorder="1"/>
    <xf numFmtId="0" fontId="72" fillId="4" borderId="0" xfId="0" applyFont="1" applyFill="1" applyBorder="1" applyAlignment="1"/>
    <xf numFmtId="0" fontId="6" fillId="4" borderId="26" xfId="0" applyFont="1" applyFill="1" applyBorder="1"/>
    <xf numFmtId="0" fontId="72" fillId="4" borderId="22" xfId="0" applyFont="1" applyFill="1" applyBorder="1" applyAlignment="1"/>
    <xf numFmtId="0" fontId="60" fillId="4" borderId="10" xfId="0" applyNumberFormat="1" applyFont="1" applyFill="1" applyBorder="1" applyAlignment="1"/>
    <xf numFmtId="0" fontId="51" fillId="0" borderId="12" xfId="0" applyFont="1" applyBorder="1" applyAlignment="1">
      <alignment vertical="center"/>
    </xf>
    <xf numFmtId="0" fontId="49" fillId="0" borderId="14" xfId="0" applyFont="1" applyBorder="1"/>
    <xf numFmtId="0" fontId="71" fillId="0" borderId="0" xfId="0" applyFont="1" applyFill="1" applyBorder="1" applyAlignment="1">
      <alignment horizontal="center"/>
    </xf>
    <xf numFmtId="164" fontId="16" fillId="5" borderId="6" xfId="2" applyNumberFormat="1" applyFont="1" applyFill="1" applyBorder="1" applyAlignment="1">
      <alignment horizontal="center"/>
    </xf>
    <xf numFmtId="0" fontId="6" fillId="12" borderId="0" xfId="0" applyFont="1" applyFill="1" applyBorder="1"/>
    <xf numFmtId="169" fontId="4" fillId="12" borderId="0" xfId="0" applyNumberFormat="1" applyFont="1" applyFill="1" applyBorder="1" applyAlignment="1">
      <alignment horizontal="center"/>
    </xf>
    <xf numFmtId="9" fontId="5" fillId="12" borderId="0" xfId="2" applyFont="1" applyFill="1" applyBorder="1" applyAlignment="1">
      <alignment horizontal="center"/>
    </xf>
    <xf numFmtId="168" fontId="5" fillId="12" borderId="0" xfId="2" applyNumberFormat="1" applyFont="1" applyFill="1" applyBorder="1" applyAlignment="1">
      <alignment horizontal="center"/>
    </xf>
    <xf numFmtId="0" fontId="15" fillId="12" borderId="0" xfId="0" applyFont="1" applyFill="1" applyBorder="1" applyAlignment="1">
      <alignment horizontal="center"/>
    </xf>
    <xf numFmtId="0" fontId="3" fillId="12" borderId="0" xfId="0" applyFont="1" applyFill="1" applyBorder="1" applyAlignment="1">
      <alignment horizontal="center"/>
    </xf>
    <xf numFmtId="0" fontId="5" fillId="12" borderId="0" xfId="0" applyNumberFormat="1" applyFont="1" applyFill="1" applyBorder="1" applyAlignment="1">
      <alignment horizontal="center"/>
    </xf>
    <xf numFmtId="2" fontId="0" fillId="8" borderId="0" xfId="0" applyNumberFormat="1" applyFill="1" applyAlignment="1"/>
    <xf numFmtId="0" fontId="3" fillId="0" borderId="33" xfId="0" applyNumberFormat="1" applyFont="1" applyBorder="1" applyAlignment="1">
      <alignment horizontal="center"/>
    </xf>
    <xf numFmtId="2" fontId="44" fillId="10" borderId="35" xfId="0" applyNumberFormat="1" applyFont="1" applyFill="1" applyBorder="1" applyAlignment="1">
      <alignment horizontal="center"/>
    </xf>
    <xf numFmtId="0" fontId="21" fillId="0" borderId="35" xfId="0" applyNumberFormat="1" applyFont="1" applyBorder="1" applyAlignment="1">
      <alignment horizontal="center"/>
    </xf>
    <xf numFmtId="0" fontId="55" fillId="0" borderId="13" xfId="0" applyFont="1" applyBorder="1" applyAlignment="1">
      <alignment horizontal="center"/>
    </xf>
    <xf numFmtId="164" fontId="73" fillId="0" borderId="14" xfId="2" applyNumberFormat="1" applyFont="1" applyFill="1" applyBorder="1" applyAlignment="1">
      <alignment horizontal="center"/>
    </xf>
    <xf numFmtId="0" fontId="77" fillId="0" borderId="12" xfId="0" applyFont="1" applyBorder="1"/>
    <xf numFmtId="2" fontId="3" fillId="0" borderId="0" xfId="0" applyNumberFormat="1" applyFont="1" applyFill="1" applyBorder="1" applyAlignment="1">
      <alignment horizontal="center"/>
    </xf>
    <xf numFmtId="1" fontId="81" fillId="0" borderId="0" xfId="0" applyNumberFormat="1" applyFont="1" applyFill="1" applyBorder="1" applyAlignment="1">
      <alignment horizontal="center"/>
    </xf>
    <xf numFmtId="6" fontId="27" fillId="0" borderId="0" xfId="0" applyNumberFormat="1" applyFont="1" applyFill="1" applyBorder="1" applyAlignment="1">
      <alignment horizontal="center"/>
    </xf>
    <xf numFmtId="6" fontId="80" fillId="0" borderId="0" xfId="0" applyNumberFormat="1" applyFont="1" applyFill="1" applyBorder="1" applyAlignment="1"/>
    <xf numFmtId="6" fontId="80" fillId="0" borderId="0" xfId="0" applyNumberFormat="1" applyFont="1" applyFill="1" applyBorder="1" applyAlignment="1">
      <alignment horizontal="center"/>
    </xf>
    <xf numFmtId="1" fontId="80" fillId="0" borderId="0" xfId="0" applyNumberFormat="1" applyFont="1" applyFill="1" applyBorder="1" applyAlignment="1">
      <alignment horizontal="center"/>
    </xf>
    <xf numFmtId="0" fontId="81" fillId="0" borderId="0" xfId="0" applyNumberFormat="1" applyFont="1" applyFill="1" applyBorder="1" applyAlignment="1"/>
    <xf numFmtId="0" fontId="8" fillId="0" borderId="17" xfId="0" applyFont="1" applyFill="1" applyBorder="1" applyAlignment="1">
      <alignment horizontal="center"/>
    </xf>
    <xf numFmtId="0" fontId="51" fillId="5" borderId="1" xfId="0" applyFont="1" applyFill="1" applyBorder="1"/>
    <xf numFmtId="0" fontId="55" fillId="5" borderId="2" xfId="0" applyFont="1" applyFill="1" applyBorder="1" applyAlignment="1">
      <alignment horizontal="center"/>
    </xf>
    <xf numFmtId="0" fontId="73" fillId="7" borderId="7" xfId="0" applyFont="1" applyFill="1" applyBorder="1" applyAlignment="1">
      <alignment horizontal="center"/>
    </xf>
    <xf numFmtId="1" fontId="28" fillId="0" borderId="5" xfId="0" applyNumberFormat="1" applyFont="1" applyBorder="1" applyAlignment="1">
      <alignment horizontal="center"/>
    </xf>
    <xf numFmtId="2" fontId="24" fillId="0" borderId="5" xfId="0" applyNumberFormat="1" applyFont="1" applyBorder="1" applyAlignment="1">
      <alignment horizontal="center"/>
    </xf>
    <xf numFmtId="1" fontId="28" fillId="0" borderId="4" xfId="0" applyNumberFormat="1" applyFont="1" applyBorder="1" applyAlignment="1">
      <alignment horizontal="center"/>
    </xf>
    <xf numFmtId="2" fontId="24" fillId="0" borderId="4" xfId="0" applyNumberFormat="1" applyFont="1" applyBorder="1" applyAlignment="1">
      <alignment horizontal="center"/>
    </xf>
    <xf numFmtId="164" fontId="82" fillId="3" borderId="6" xfId="2" applyNumberFormat="1" applyFont="1" applyFill="1" applyBorder="1" applyAlignment="1">
      <alignment horizontal="center" vertical="center" wrapText="1"/>
    </xf>
    <xf numFmtId="3" fontId="3" fillId="5" borderId="6" xfId="0" applyNumberFormat="1" applyFont="1" applyFill="1" applyBorder="1" applyAlignment="1">
      <alignment horizontal="left"/>
    </xf>
    <xf numFmtId="2" fontId="6" fillId="0" borderId="0" xfId="0" applyNumberFormat="1" applyFont="1" applyFill="1" applyBorder="1" applyAlignment="1">
      <alignment horizontal="center"/>
    </xf>
    <xf numFmtId="2" fontId="71" fillId="0" borderId="0" xfId="2" applyNumberFormat="1" applyFont="1" applyFill="1" applyBorder="1" applyAlignment="1">
      <alignment horizontal="right"/>
    </xf>
    <xf numFmtId="0" fontId="51" fillId="13" borderId="12" xfId="0" applyFont="1" applyFill="1" applyBorder="1" applyAlignment="1">
      <alignment wrapText="1"/>
    </xf>
    <xf numFmtId="0" fontId="55" fillId="13" borderId="14" xfId="0" applyFont="1" applyFill="1" applyBorder="1" applyAlignment="1">
      <alignment horizontal="center"/>
    </xf>
    <xf numFmtId="0" fontId="51" fillId="13" borderId="17" xfId="0" applyFont="1" applyFill="1" applyBorder="1" applyAlignment="1">
      <alignment wrapText="1"/>
    </xf>
    <xf numFmtId="0" fontId="55" fillId="13" borderId="0" xfId="0" applyFont="1" applyFill="1" applyBorder="1" applyAlignment="1">
      <alignment horizontal="center"/>
    </xf>
    <xf numFmtId="166" fontId="21" fillId="5" borderId="3" xfId="0" applyNumberFormat="1" applyFont="1" applyFill="1" applyBorder="1" applyAlignment="1">
      <alignment horizontal="center"/>
    </xf>
    <xf numFmtId="0" fontId="6" fillId="0" borderId="0" xfId="0" applyFont="1" applyFill="1" applyBorder="1"/>
    <xf numFmtId="0" fontId="3" fillId="0" borderId="0" xfId="0" applyFont="1" applyFill="1" applyBorder="1" applyAlignment="1">
      <alignment horizontal="center"/>
    </xf>
    <xf numFmtId="0" fontId="6" fillId="0" borderId="0" xfId="0" applyFont="1" applyFill="1" applyBorder="1"/>
    <xf numFmtId="0" fontId="3" fillId="0" borderId="0" xfId="0" applyFont="1" applyFill="1" applyBorder="1" applyAlignment="1">
      <alignment horizontal="center"/>
    </xf>
    <xf numFmtId="0" fontId="6" fillId="0" borderId="0" xfId="0" applyFont="1" applyFill="1" applyBorder="1"/>
    <xf numFmtId="0" fontId="3" fillId="0" borderId="0" xfId="0" applyFont="1" applyFill="1" applyBorder="1" applyAlignment="1">
      <alignment horizontal="center"/>
    </xf>
    <xf numFmtId="0" fontId="0" fillId="0" borderId="0" xfId="0"/>
    <xf numFmtId="0" fontId="3" fillId="0" borderId="0" xfId="0" applyFont="1" applyFill="1" applyBorder="1" applyAlignment="1">
      <alignment horizontal="center"/>
    </xf>
    <xf numFmtId="0" fontId="6" fillId="0" borderId="0" xfId="0" applyFont="1" applyFill="1" applyBorder="1"/>
    <xf numFmtId="0" fontId="3" fillId="0" borderId="0" xfId="0" applyFont="1" applyFill="1" applyBorder="1" applyAlignment="1">
      <alignment horizontal="center"/>
    </xf>
    <xf numFmtId="0" fontId="6" fillId="0" borderId="0" xfId="0" applyFont="1" applyFill="1" applyBorder="1"/>
    <xf numFmtId="0" fontId="6" fillId="0" borderId="0" xfId="0" applyFont="1" applyFill="1" applyBorder="1"/>
    <xf numFmtId="0" fontId="8" fillId="0" borderId="10" xfId="0" applyFont="1" applyFill="1" applyBorder="1" applyAlignment="1">
      <alignment horizontal="center"/>
    </xf>
    <xf numFmtId="0" fontId="8" fillId="0" borderId="24" xfId="0" applyFont="1" applyFill="1" applyBorder="1" applyAlignment="1">
      <alignment horizontal="center"/>
    </xf>
    <xf numFmtId="0" fontId="8" fillId="0" borderId="0" xfId="0" applyFont="1" applyFill="1" applyBorder="1" applyAlignment="1">
      <alignment horizontal="center"/>
    </xf>
    <xf numFmtId="0" fontId="6" fillId="0" borderId="25" xfId="0" applyFont="1" applyFill="1" applyBorder="1"/>
    <xf numFmtId="0" fontId="3" fillId="0" borderId="8" xfId="0" applyFont="1" applyFill="1" applyBorder="1" applyAlignment="1">
      <alignment horizontal="center"/>
    </xf>
    <xf numFmtId="1" fontId="24" fillId="0" borderId="0" xfId="0" applyNumberFormat="1" applyFont="1" applyFill="1" applyBorder="1" applyAlignment="1">
      <alignment horizontal="right"/>
    </xf>
    <xf numFmtId="3" fontId="6" fillId="0" borderId="0" xfId="0" applyNumberFormat="1" applyFont="1" applyFill="1" applyBorder="1" applyAlignment="1">
      <alignment horizontal="right"/>
    </xf>
    <xf numFmtId="0" fontId="3" fillId="5" borderId="1" xfId="0" applyNumberFormat="1" applyFont="1" applyFill="1" applyBorder="1" applyAlignment="1"/>
    <xf numFmtId="164" fontId="5" fillId="0" borderId="0" xfId="2" applyNumberFormat="1" applyFont="1" applyFill="1" applyBorder="1" applyAlignment="1">
      <alignment horizontal="center"/>
    </xf>
    <xf numFmtId="170" fontId="24" fillId="0" borderId="0" xfId="1" applyNumberFormat="1" applyFont="1" applyFill="1" applyBorder="1" applyAlignment="1">
      <alignment horizontal="right"/>
    </xf>
    <xf numFmtId="1" fontId="43" fillId="0" borderId="25" xfId="0" applyNumberFormat="1" applyFont="1" applyFill="1" applyBorder="1" applyAlignment="1">
      <alignment horizontal="left"/>
    </xf>
    <xf numFmtId="6" fontId="24" fillId="0" borderId="0" xfId="0" applyNumberFormat="1" applyFont="1" applyFill="1" applyBorder="1" applyAlignment="1">
      <alignment horizontal="right"/>
    </xf>
    <xf numFmtId="168" fontId="6" fillId="0" borderId="0" xfId="0" applyNumberFormat="1" applyFont="1" applyFill="1" applyBorder="1" applyAlignment="1">
      <alignment horizontal="right"/>
    </xf>
    <xf numFmtId="168" fontId="6" fillId="0" borderId="0" xfId="1" applyNumberFormat="1" applyFont="1" applyFill="1" applyBorder="1" applyAlignment="1">
      <alignment horizontal="right"/>
    </xf>
    <xf numFmtId="0" fontId="4" fillId="0" borderId="4" xfId="0" applyNumberFormat="1" applyFont="1" applyFill="1" applyBorder="1" applyAlignment="1">
      <alignment horizontal="center"/>
    </xf>
    <xf numFmtId="170" fontId="6" fillId="0" borderId="0" xfId="1" applyNumberFormat="1" applyFont="1" applyFill="1" applyBorder="1" applyAlignment="1">
      <alignment horizontal="right"/>
    </xf>
    <xf numFmtId="6" fontId="6" fillId="0" borderId="0" xfId="0" applyNumberFormat="1" applyFont="1" applyFill="1" applyBorder="1" applyAlignment="1">
      <alignment horizontal="right"/>
    </xf>
    <xf numFmtId="0" fontId="6" fillId="2" borderId="0" xfId="0" applyNumberFormat="1" applyFont="1" applyFill="1" applyBorder="1" applyAlignment="1"/>
    <xf numFmtId="0" fontId="6" fillId="0" borderId="0" xfId="0" applyFont="1" applyBorder="1"/>
    <xf numFmtId="169" fontId="4" fillId="0" borderId="0" xfId="0" applyNumberFormat="1" applyFont="1" applyFill="1" applyBorder="1" applyAlignment="1">
      <alignment horizontal="center"/>
    </xf>
    <xf numFmtId="170" fontId="24" fillId="0" borderId="0" xfId="0" applyNumberFormat="1" applyFont="1" applyFill="1" applyBorder="1" applyAlignment="1">
      <alignment horizontal="right"/>
    </xf>
    <xf numFmtId="2" fontId="24" fillId="0" borderId="0" xfId="0" applyNumberFormat="1" applyFont="1" applyFill="1" applyBorder="1" applyAlignment="1">
      <alignment horizontal="right"/>
    </xf>
    <xf numFmtId="168" fontId="24" fillId="0" borderId="0" xfId="0" applyNumberFormat="1" applyFont="1" applyFill="1" applyBorder="1" applyAlignment="1">
      <alignment horizontal="right"/>
    </xf>
    <xf numFmtId="0" fontId="6" fillId="5" borderId="2" xfId="0" applyFont="1" applyFill="1" applyBorder="1"/>
    <xf numFmtId="9" fontId="12" fillId="0" borderId="0" xfId="2" applyFont="1" applyFill="1" applyBorder="1" applyAlignment="1">
      <alignment horizontal="right"/>
    </xf>
    <xf numFmtId="9" fontId="24" fillId="0" borderId="0" xfId="2" applyNumberFormat="1" applyFont="1" applyFill="1" applyBorder="1" applyAlignment="1">
      <alignment horizontal="right"/>
    </xf>
    <xf numFmtId="10" fontId="24" fillId="0" borderId="0" xfId="2" applyNumberFormat="1" applyFont="1" applyFill="1" applyBorder="1" applyAlignment="1">
      <alignment horizontal="right"/>
    </xf>
    <xf numFmtId="2" fontId="24" fillId="0" borderId="0" xfId="2" applyNumberFormat="1" applyFont="1" applyFill="1" applyBorder="1" applyAlignment="1">
      <alignment horizontal="right"/>
    </xf>
    <xf numFmtId="175" fontId="4" fillId="0" borderId="4" xfId="0" applyNumberFormat="1" applyFont="1" applyFill="1" applyBorder="1" applyAlignment="1">
      <alignment horizontal="center"/>
    </xf>
    <xf numFmtId="2" fontId="6" fillId="0" borderId="0" xfId="2" applyNumberFormat="1" applyFont="1" applyFill="1" applyBorder="1" applyAlignment="1">
      <alignment horizontal="right"/>
    </xf>
    <xf numFmtId="9" fontId="6" fillId="0" borderId="0" xfId="2" applyNumberFormat="1" applyFont="1" applyFill="1" applyBorder="1" applyAlignment="1">
      <alignment horizontal="right"/>
    </xf>
    <xf numFmtId="0" fontId="4" fillId="2" borderId="0" xfId="0" applyNumberFormat="1" applyFont="1" applyFill="1" applyBorder="1" applyAlignment="1">
      <alignment horizontal="center"/>
    </xf>
    <xf numFmtId="0" fontId="60" fillId="5" borderId="1" xfId="0" applyFont="1" applyFill="1" applyBorder="1"/>
    <xf numFmtId="0" fontId="6" fillId="5" borderId="3" xfId="0" applyFont="1" applyFill="1" applyBorder="1"/>
    <xf numFmtId="0" fontId="6" fillId="0" borderId="8" xfId="0" applyFont="1" applyFill="1" applyBorder="1"/>
    <xf numFmtId="9" fontId="5" fillId="0" borderId="0" xfId="2" applyFont="1" applyFill="1" applyBorder="1" applyAlignment="1">
      <alignment horizontal="right"/>
    </xf>
    <xf numFmtId="9" fontId="24" fillId="0" borderId="0" xfId="2" applyFont="1" applyFill="1" applyBorder="1" applyAlignment="1">
      <alignment horizontal="center"/>
    </xf>
    <xf numFmtId="0" fontId="4" fillId="0" borderId="0" xfId="0" applyFont="1" applyFill="1" applyBorder="1" applyAlignment="1">
      <alignment horizontal="center"/>
    </xf>
    <xf numFmtId="10" fontId="4" fillId="0" borderId="0" xfId="2" applyNumberFormat="1" applyFont="1" applyFill="1" applyBorder="1" applyAlignment="1">
      <alignment horizontal="right"/>
    </xf>
    <xf numFmtId="2" fontId="24" fillId="14" borderId="0" xfId="0" applyNumberFormat="1" applyFont="1" applyFill="1" applyBorder="1" applyAlignment="1">
      <alignment horizontal="center"/>
    </xf>
    <xf numFmtId="0" fontId="6" fillId="0" borderId="18" xfId="0" applyFont="1" applyFill="1" applyBorder="1"/>
    <xf numFmtId="0" fontId="6" fillId="0" borderId="23" xfId="0" applyFont="1" applyFill="1" applyBorder="1"/>
    <xf numFmtId="0" fontId="70" fillId="5" borderId="4" xfId="0" applyNumberFormat="1" applyFont="1" applyFill="1" applyBorder="1" applyAlignment="1">
      <alignment horizontal="center"/>
    </xf>
    <xf numFmtId="0" fontId="16" fillId="5" borderId="4" xfId="0" applyFont="1" applyFill="1" applyBorder="1" applyAlignment="1">
      <alignment horizontal="center"/>
    </xf>
    <xf numFmtId="0" fontId="3" fillId="0" borderId="25" xfId="0" applyFont="1" applyFill="1" applyBorder="1" applyAlignment="1">
      <alignment horizontal="center"/>
    </xf>
    <xf numFmtId="168" fontId="6" fillId="12" borderId="0" xfId="0" applyNumberFormat="1" applyFont="1" applyFill="1" applyBorder="1" applyAlignment="1">
      <alignment horizontal="center"/>
    </xf>
    <xf numFmtId="0" fontId="0" fillId="0" borderId="0" xfId="0"/>
    <xf numFmtId="0" fontId="4" fillId="2" borderId="5" xfId="0" applyNumberFormat="1" applyFont="1" applyFill="1" applyBorder="1" applyAlignment="1">
      <alignment horizontal="center"/>
    </xf>
    <xf numFmtId="0" fontId="4" fillId="2" borderId="4" xfId="0" applyNumberFormat="1" applyFont="1" applyFill="1" applyBorder="1" applyAlignment="1">
      <alignment horizontal="center"/>
    </xf>
    <xf numFmtId="0" fontId="4" fillId="0" borderId="4" xfId="0" applyFont="1" applyBorder="1" applyAlignment="1">
      <alignment horizontal="center"/>
    </xf>
    <xf numFmtId="0" fontId="4" fillId="9" borderId="29" xfId="0" applyNumberFormat="1" applyFont="1" applyFill="1" applyBorder="1" applyAlignment="1">
      <alignment horizontal="center" vertical="center"/>
    </xf>
    <xf numFmtId="0" fontId="42" fillId="2" borderId="4" xfId="0" applyNumberFormat="1" applyFont="1" applyFill="1" applyBorder="1" applyAlignment="1">
      <alignment vertical="center"/>
    </xf>
    <xf numFmtId="0" fontId="6" fillId="2" borderId="5" xfId="0" applyNumberFormat="1" applyFont="1" applyFill="1" applyBorder="1" applyAlignment="1">
      <alignment vertical="center"/>
    </xf>
    <xf numFmtId="168" fontId="6" fillId="0" borderId="5" xfId="1" applyNumberFormat="1" applyFont="1" applyBorder="1" applyAlignment="1">
      <alignment horizontal="center" vertical="center"/>
    </xf>
    <xf numFmtId="0" fontId="0" fillId="0" borderId="0" xfId="0" applyBorder="1"/>
    <xf numFmtId="0" fontId="42" fillId="2" borderId="6" xfId="0" applyNumberFormat="1" applyFont="1" applyFill="1" applyBorder="1" applyAlignment="1">
      <alignment vertical="center"/>
    </xf>
    <xf numFmtId="0" fontId="6" fillId="0" borderId="0" xfId="0" applyFont="1" applyFill="1" applyBorder="1"/>
    <xf numFmtId="0" fontId="3" fillId="0" borderId="0" xfId="0" applyFont="1" applyFill="1" applyBorder="1" applyAlignment="1">
      <alignment horizontal="center"/>
    </xf>
    <xf numFmtId="0" fontId="6" fillId="0" borderId="25" xfId="0" applyFont="1" applyFill="1" applyBorder="1"/>
    <xf numFmtId="0" fontId="6" fillId="0" borderId="0" xfId="0" applyFont="1" applyFill="1" applyBorder="1" applyAlignment="1">
      <alignment horizontal="center"/>
    </xf>
    <xf numFmtId="0" fontId="15" fillId="0" borderId="4" xfId="0" applyFont="1" applyFill="1" applyBorder="1" applyAlignment="1">
      <alignment horizontal="center"/>
    </xf>
    <xf numFmtId="1" fontId="43" fillId="0" borderId="25" xfId="0" applyNumberFormat="1" applyFont="1" applyFill="1" applyBorder="1" applyAlignment="1">
      <alignment horizontal="center"/>
    </xf>
    <xf numFmtId="164" fontId="24" fillId="0" borderId="0" xfId="2" applyNumberFormat="1" applyFont="1" applyFill="1" applyBorder="1" applyAlignment="1">
      <alignment horizontal="right"/>
    </xf>
    <xf numFmtId="0" fontId="24" fillId="0" borderId="0" xfId="0" applyFont="1" applyFill="1" applyBorder="1" applyAlignment="1">
      <alignment horizontal="right"/>
    </xf>
    <xf numFmtId="0" fontId="15" fillId="0" borderId="0" xfId="0" applyFont="1" applyFill="1" applyBorder="1" applyAlignment="1">
      <alignment horizontal="center"/>
    </xf>
    <xf numFmtId="2" fontId="24" fillId="0" borderId="0" xfId="0" applyNumberFormat="1" applyFont="1" applyFill="1" applyBorder="1" applyAlignment="1">
      <alignment horizontal="center"/>
    </xf>
    <xf numFmtId="0" fontId="4" fillId="0" borderId="4" xfId="0" applyFont="1" applyFill="1" applyBorder="1" applyAlignment="1">
      <alignment horizontal="center"/>
    </xf>
    <xf numFmtId="0" fontId="3" fillId="3" borderId="0" xfId="0" applyFont="1" applyFill="1" applyBorder="1" applyAlignment="1">
      <alignment horizontal="center"/>
    </xf>
    <xf numFmtId="164" fontId="24" fillId="0" borderId="0" xfId="0" applyNumberFormat="1" applyFont="1" applyFill="1" applyBorder="1" applyAlignment="1">
      <alignment horizontal="right"/>
    </xf>
    <xf numFmtId="0" fontId="6" fillId="0" borderId="8" xfId="0" applyFont="1" applyFill="1" applyBorder="1"/>
    <xf numFmtId="0" fontId="6" fillId="0" borderId="26" xfId="0" applyFont="1" applyFill="1" applyBorder="1"/>
    <xf numFmtId="0" fontId="4" fillId="0" borderId="0" xfId="0" applyNumberFormat="1" applyFont="1" applyFill="1" applyBorder="1" applyAlignment="1">
      <alignment horizontal="center"/>
    </xf>
    <xf numFmtId="0" fontId="4" fillId="0" borderId="6" xfId="0" applyFont="1" applyBorder="1" applyAlignment="1">
      <alignment horizontal="center"/>
    </xf>
    <xf numFmtId="3" fontId="3" fillId="9" borderId="30" xfId="0" applyNumberFormat="1" applyFont="1" applyFill="1" applyBorder="1" applyAlignment="1">
      <alignment vertical="center"/>
    </xf>
    <xf numFmtId="0" fontId="6" fillId="4" borderId="10" xfId="0" applyFont="1" applyFill="1" applyBorder="1"/>
    <xf numFmtId="0" fontId="6" fillId="4" borderId="0" xfId="0" applyFont="1" applyFill="1" applyBorder="1"/>
    <xf numFmtId="0" fontId="3" fillId="4" borderId="0" xfId="0" applyFont="1" applyFill="1" applyBorder="1" applyAlignment="1">
      <alignment horizontal="center"/>
    </xf>
    <xf numFmtId="0" fontId="6" fillId="4" borderId="25" xfId="0" applyFont="1" applyFill="1" applyBorder="1"/>
    <xf numFmtId="0" fontId="6" fillId="4" borderId="22" xfId="0" applyFont="1" applyFill="1" applyBorder="1"/>
    <xf numFmtId="0" fontId="6" fillId="4" borderId="27" xfId="0" applyFont="1" applyFill="1" applyBorder="1"/>
    <xf numFmtId="0" fontId="6" fillId="14" borderId="0" xfId="0" applyFont="1" applyFill="1" applyBorder="1"/>
    <xf numFmtId="166" fontId="21" fillId="5" borderId="2" xfId="0" applyNumberFormat="1" applyFont="1" applyFill="1" applyBorder="1" applyAlignment="1">
      <alignment horizontal="center"/>
    </xf>
    <xf numFmtId="0" fontId="0" fillId="8" borderId="0" xfId="0" applyNumberFormat="1" applyFill="1" applyBorder="1" applyAlignment="1"/>
    <xf numFmtId="6" fontId="6" fillId="8" borderId="0" xfId="0" applyNumberFormat="1" applyFont="1" applyFill="1" applyBorder="1" applyAlignment="1">
      <alignment horizontal="right" wrapText="1"/>
    </xf>
    <xf numFmtId="0" fontId="38" fillId="0" borderId="0" xfId="0" applyFont="1" applyFill="1" applyBorder="1" applyAlignment="1">
      <alignment vertical="center" wrapText="1"/>
    </xf>
    <xf numFmtId="0" fontId="0" fillId="0" borderId="2" xfId="0" applyBorder="1"/>
    <xf numFmtId="0" fontId="0" fillId="0" borderId="3" xfId="0" applyBorder="1"/>
    <xf numFmtId="164" fontId="24" fillId="0" borderId="5" xfId="2" applyNumberFormat="1" applyFont="1" applyBorder="1" applyAlignment="1">
      <alignment horizontal="center"/>
    </xf>
    <xf numFmtId="0" fontId="0" fillId="0" borderId="0" xfId="0" applyNumberFormat="1" applyBorder="1" applyAlignment="1"/>
    <xf numFmtId="0" fontId="44" fillId="8" borderId="0" xfId="0" applyFont="1" applyFill="1"/>
    <xf numFmtId="164" fontId="28" fillId="8" borderId="0" xfId="2" applyNumberFormat="1" applyFont="1" applyFill="1" applyBorder="1"/>
    <xf numFmtId="0" fontId="28" fillId="8" borderId="0" xfId="0" applyFont="1" applyFill="1" applyBorder="1"/>
    <xf numFmtId="3" fontId="28" fillId="8" borderId="0" xfId="0" applyNumberFormat="1" applyFont="1" applyFill="1" applyBorder="1"/>
    <xf numFmtId="3" fontId="28" fillId="8" borderId="0" xfId="5" applyNumberFormat="1" applyFont="1" applyFill="1" applyBorder="1"/>
    <xf numFmtId="0" fontId="44" fillId="8" borderId="0" xfId="0" applyFont="1" applyFill="1" applyBorder="1"/>
    <xf numFmtId="9" fontId="6" fillId="8" borderId="0" xfId="2" applyFont="1" applyFill="1" applyBorder="1"/>
    <xf numFmtId="3" fontId="6" fillId="8" borderId="0" xfId="0" applyNumberFormat="1" applyFont="1" applyFill="1" applyBorder="1" applyAlignment="1"/>
    <xf numFmtId="0" fontId="0" fillId="0" borderId="0" xfId="0" applyNumberFormat="1" applyFill="1" applyBorder="1" applyAlignment="1"/>
    <xf numFmtId="0" fontId="0" fillId="0" borderId="22" xfId="0" applyNumberFormat="1" applyBorder="1" applyAlignment="1"/>
    <xf numFmtId="168" fontId="3" fillId="8" borderId="0" xfId="0" applyNumberFormat="1" applyFont="1" applyFill="1" applyAlignment="1">
      <alignment horizontal="center"/>
    </xf>
    <xf numFmtId="9" fontId="6" fillId="8" borderId="0" xfId="2" applyFont="1" applyFill="1" applyAlignment="1">
      <alignment horizontal="center"/>
    </xf>
    <xf numFmtId="168" fontId="4" fillId="8" borderId="0" xfId="0" applyNumberFormat="1" applyFont="1" applyFill="1" applyAlignment="1">
      <alignment horizontal="center"/>
    </xf>
    <xf numFmtId="0" fontId="3" fillId="0" borderId="39" xfId="0" applyFont="1" applyFill="1" applyBorder="1"/>
    <xf numFmtId="0" fontId="15" fillId="0" borderId="5" xfId="0" applyFont="1" applyFill="1" applyBorder="1" applyAlignment="1">
      <alignment horizontal="center"/>
    </xf>
    <xf numFmtId="0" fontId="6" fillId="0" borderId="41" xfId="0" applyFont="1" applyFill="1" applyBorder="1"/>
    <xf numFmtId="0" fontId="29" fillId="8" borderId="8" xfId="0" applyFont="1" applyFill="1" applyBorder="1" applyAlignment="1">
      <alignment vertical="center" wrapText="1"/>
    </xf>
    <xf numFmtId="0" fontId="84" fillId="8" borderId="25" xfId="0" applyFont="1" applyFill="1" applyBorder="1" applyAlignment="1">
      <alignment horizontal="center" wrapText="1"/>
    </xf>
    <xf numFmtId="0" fontId="45" fillId="8" borderId="25" xfId="0" applyFont="1" applyFill="1" applyBorder="1" applyAlignment="1">
      <alignment horizontal="center" wrapText="1"/>
    </xf>
    <xf numFmtId="0" fontId="45" fillId="12" borderId="25" xfId="0" applyFont="1" applyFill="1" applyBorder="1"/>
    <xf numFmtId="0" fontId="45" fillId="3" borderId="25" xfId="0" applyFont="1" applyFill="1" applyBorder="1"/>
    <xf numFmtId="0" fontId="85" fillId="6" borderId="25" xfId="0" applyFont="1" applyFill="1" applyBorder="1" applyAlignment="1">
      <alignment horizontal="center" wrapText="1"/>
    </xf>
    <xf numFmtId="0" fontId="64" fillId="0" borderId="25" xfId="0" applyFont="1" applyFill="1" applyBorder="1" applyAlignment="1">
      <alignment horizontal="center" vertical="center" wrapText="1"/>
    </xf>
    <xf numFmtId="0" fontId="6" fillId="0" borderId="43" xfId="0" applyFont="1" applyFill="1" applyBorder="1"/>
    <xf numFmtId="9" fontId="24" fillId="2" borderId="44" xfId="2" applyNumberFormat="1" applyFont="1" applyFill="1" applyBorder="1" applyAlignment="1">
      <alignment horizontal="right"/>
    </xf>
    <xf numFmtId="0" fontId="24" fillId="0" borderId="32" xfId="0" applyFont="1" applyFill="1" applyBorder="1" applyAlignment="1">
      <alignment horizontal="right"/>
    </xf>
    <xf numFmtId="10" fontId="24" fillId="2" borderId="44" xfId="2" applyNumberFormat="1" applyFont="1" applyFill="1" applyBorder="1" applyAlignment="1">
      <alignment horizontal="right"/>
    </xf>
    <xf numFmtId="0" fontId="6" fillId="2" borderId="41" xfId="0" applyNumberFormat="1" applyFont="1" applyFill="1" applyBorder="1" applyAlignment="1"/>
    <xf numFmtId="0" fontId="4" fillId="2" borderId="34" xfId="0" applyNumberFormat="1" applyFont="1" applyFill="1" applyBorder="1" applyAlignment="1">
      <alignment horizontal="center"/>
    </xf>
    <xf numFmtId="164" fontId="24" fillId="2" borderId="45" xfId="2" applyNumberFormat="1" applyFont="1" applyFill="1" applyBorder="1" applyAlignment="1">
      <alignment horizontal="right"/>
    </xf>
    <xf numFmtId="0" fontId="6" fillId="0" borderId="39" xfId="0" applyNumberFormat="1" applyFont="1" applyFill="1" applyBorder="1" applyAlignment="1"/>
    <xf numFmtId="0" fontId="4" fillId="0" borderId="46" xfId="0" applyNumberFormat="1" applyFont="1" applyFill="1" applyBorder="1" applyAlignment="1">
      <alignment horizontal="center"/>
    </xf>
    <xf numFmtId="2" fontId="24" fillId="0" borderId="40" xfId="2" applyNumberFormat="1" applyFont="1" applyFill="1" applyBorder="1" applyAlignment="1">
      <alignment horizontal="right"/>
    </xf>
    <xf numFmtId="0" fontId="6" fillId="0" borderId="43" xfId="0" applyNumberFormat="1" applyFont="1" applyFill="1" applyBorder="1" applyAlignment="1"/>
    <xf numFmtId="2" fontId="6" fillId="0" borderId="32" xfId="2" applyNumberFormat="1" applyFont="1" applyFill="1" applyBorder="1" applyAlignment="1">
      <alignment horizontal="right"/>
    </xf>
    <xf numFmtId="2" fontId="3" fillId="12" borderId="32" xfId="2" applyNumberFormat="1" applyFont="1" applyFill="1" applyBorder="1" applyAlignment="1">
      <alignment horizontal="right"/>
    </xf>
    <xf numFmtId="2" fontId="24" fillId="0" borderId="32" xfId="2" applyNumberFormat="1" applyFont="1" applyFill="1" applyBorder="1" applyAlignment="1">
      <alignment horizontal="right"/>
    </xf>
    <xf numFmtId="0" fontId="6" fillId="0" borderId="41" xfId="0" applyNumberFormat="1" applyFont="1" applyFill="1" applyBorder="1" applyAlignment="1"/>
    <xf numFmtId="0" fontId="4" fillId="0" borderId="34" xfId="0" applyNumberFormat="1" applyFont="1" applyFill="1" applyBorder="1" applyAlignment="1">
      <alignment horizontal="center"/>
    </xf>
    <xf numFmtId="2" fontId="3" fillId="12" borderId="42" xfId="2" applyNumberFormat="1" applyFont="1" applyFill="1" applyBorder="1" applyAlignment="1">
      <alignment horizontal="right"/>
    </xf>
    <xf numFmtId="0" fontId="6" fillId="0" borderId="39" xfId="0" applyFont="1" applyBorder="1"/>
    <xf numFmtId="0" fontId="4" fillId="2" borderId="46" xfId="0" applyNumberFormat="1" applyFont="1" applyFill="1" applyBorder="1" applyAlignment="1">
      <alignment horizontal="center"/>
    </xf>
    <xf numFmtId="9" fontId="6" fillId="2" borderId="40" xfId="2" applyNumberFormat="1" applyFont="1" applyFill="1" applyBorder="1" applyAlignment="1">
      <alignment horizontal="right"/>
    </xf>
    <xf numFmtId="0" fontId="6" fillId="0" borderId="47" xfId="0" applyFont="1" applyFill="1" applyBorder="1"/>
    <xf numFmtId="10" fontId="24" fillId="2" borderId="45" xfId="2" applyNumberFormat="1" applyFont="1" applyFill="1" applyBorder="1" applyAlignment="1">
      <alignment horizontal="right"/>
    </xf>
    <xf numFmtId="0" fontId="6" fillId="0" borderId="39" xfId="0" applyFont="1" applyFill="1" applyBorder="1"/>
    <xf numFmtId="10" fontId="6" fillId="2" borderId="40" xfId="2" applyNumberFormat="1" applyFont="1" applyFill="1" applyBorder="1" applyAlignment="1">
      <alignment horizontal="right"/>
    </xf>
    <xf numFmtId="168" fontId="24" fillId="2" borderId="42" xfId="0" applyNumberFormat="1" applyFont="1" applyFill="1" applyBorder="1" applyAlignment="1">
      <alignment horizontal="right"/>
    </xf>
    <xf numFmtId="1" fontId="43" fillId="0" borderId="0" xfId="0" applyNumberFormat="1" applyFont="1" applyFill="1" applyBorder="1" applyAlignment="1">
      <alignment horizontal="left"/>
    </xf>
    <xf numFmtId="0" fontId="6" fillId="2" borderId="39" xfId="0" applyNumberFormat="1" applyFont="1" applyFill="1" applyBorder="1" applyAlignment="1"/>
    <xf numFmtId="173" fontId="24" fillId="0" borderId="40" xfId="5" applyNumberFormat="1" applyFont="1" applyFill="1" applyBorder="1" applyAlignment="1">
      <alignment horizontal="right"/>
    </xf>
    <xf numFmtId="0" fontId="6" fillId="0" borderId="43" xfId="0" applyFont="1" applyBorder="1"/>
    <xf numFmtId="164" fontId="24" fillId="0" borderId="32" xfId="2" applyNumberFormat="1" applyFont="1" applyFill="1" applyBorder="1" applyAlignment="1">
      <alignment horizontal="right"/>
    </xf>
    <xf numFmtId="0" fontId="6" fillId="0" borderId="41" xfId="0" applyFont="1" applyBorder="1"/>
    <xf numFmtId="0" fontId="4" fillId="0" borderId="34" xfId="0" applyFont="1" applyBorder="1" applyAlignment="1">
      <alignment horizontal="center"/>
    </xf>
    <xf numFmtId="178" fontId="6" fillId="0" borderId="42" xfId="0" applyNumberFormat="1" applyFont="1" applyFill="1" applyBorder="1" applyAlignment="1">
      <alignment horizontal="right"/>
    </xf>
    <xf numFmtId="0" fontId="6" fillId="0" borderId="48" xfId="0" applyFont="1" applyBorder="1" applyAlignment="1"/>
    <xf numFmtId="3" fontId="24" fillId="6" borderId="40" xfId="0" applyNumberFormat="1" applyFont="1" applyFill="1" applyBorder="1" applyAlignment="1">
      <alignment horizontal="center"/>
    </xf>
    <xf numFmtId="0" fontId="6" fillId="2" borderId="43" xfId="0" applyNumberFormat="1" applyFont="1" applyFill="1" applyBorder="1" applyAlignment="1"/>
    <xf numFmtId="164" fontId="24" fillId="0" borderId="42" xfId="2" applyNumberFormat="1" applyFont="1" applyFill="1" applyBorder="1" applyAlignment="1">
      <alignment horizontal="right"/>
    </xf>
    <xf numFmtId="0" fontId="4" fillId="0" borderId="46" xfId="0" applyFont="1" applyBorder="1" applyAlignment="1">
      <alignment horizontal="center"/>
    </xf>
    <xf numFmtId="43" fontId="24" fillId="0" borderId="40" xfId="5" applyNumberFormat="1" applyFont="1" applyFill="1" applyBorder="1" applyAlignment="1">
      <alignment horizontal="right"/>
    </xf>
    <xf numFmtId="177" fontId="6" fillId="0" borderId="32" xfId="5" applyNumberFormat="1" applyFont="1" applyFill="1" applyBorder="1" applyAlignment="1">
      <alignment horizontal="right"/>
    </xf>
    <xf numFmtId="0" fontId="6" fillId="0" borderId="50" xfId="0" applyFont="1" applyBorder="1" applyAlignment="1">
      <alignment horizontal="left"/>
    </xf>
    <xf numFmtId="3" fontId="24" fillId="6" borderId="32" xfId="0" applyNumberFormat="1" applyFont="1" applyFill="1" applyBorder="1" applyAlignment="1">
      <alignment horizontal="center"/>
    </xf>
    <xf numFmtId="0" fontId="6" fillId="0" borderId="51" xfId="0" applyFont="1" applyBorder="1"/>
    <xf numFmtId="164" fontId="24" fillId="0" borderId="52" xfId="2" applyNumberFormat="1" applyFont="1" applyFill="1" applyBorder="1" applyAlignment="1">
      <alignment horizontal="right"/>
    </xf>
    <xf numFmtId="0" fontId="4" fillId="2" borderId="53" xfId="0" applyNumberFormat="1" applyFont="1" applyFill="1" applyBorder="1" applyAlignment="1">
      <alignment horizontal="center"/>
    </xf>
    <xf numFmtId="164" fontId="24" fillId="0" borderId="54" xfId="2" applyNumberFormat="1" applyFont="1" applyFill="1" applyBorder="1" applyAlignment="1">
      <alignment horizontal="right"/>
    </xf>
    <xf numFmtId="0" fontId="6" fillId="2" borderId="55" xfId="0" applyNumberFormat="1" applyFont="1" applyFill="1" applyBorder="1" applyAlignment="1"/>
    <xf numFmtId="6" fontId="24" fillId="0" borderId="32" xfId="0" applyNumberFormat="1" applyFont="1" applyFill="1" applyBorder="1" applyAlignment="1">
      <alignment horizontal="right"/>
    </xf>
    <xf numFmtId="2" fontId="24" fillId="6" borderId="40" xfId="0" applyNumberFormat="1" applyFont="1" applyFill="1" applyBorder="1" applyAlignment="1">
      <alignment horizontal="center"/>
    </xf>
    <xf numFmtId="0" fontId="69" fillId="5" borderId="41" xfId="0" applyFont="1" applyFill="1" applyBorder="1" applyAlignment="1">
      <alignment horizontal="left" indent="1"/>
    </xf>
    <xf numFmtId="0" fontId="70" fillId="5" borderId="34" xfId="0" applyFont="1" applyFill="1" applyBorder="1" applyAlignment="1">
      <alignment horizontal="center"/>
    </xf>
    <xf numFmtId="168" fontId="16" fillId="5" borderId="45" xfId="0" applyNumberFormat="1" applyFont="1" applyFill="1" applyBorder="1" applyAlignment="1">
      <alignment horizontal="right"/>
    </xf>
    <xf numFmtId="168" fontId="3" fillId="14" borderId="45" xfId="1" applyNumberFormat="1" applyFont="1" applyFill="1" applyBorder="1" applyAlignment="1">
      <alignment horizontal="right"/>
    </xf>
    <xf numFmtId="176" fontId="24" fillId="0" borderId="32" xfId="0" applyNumberFormat="1" applyFont="1" applyFill="1" applyBorder="1" applyAlignment="1">
      <alignment horizontal="right"/>
    </xf>
    <xf numFmtId="0" fontId="4" fillId="2" borderId="56" xfId="0" applyNumberFormat="1" applyFont="1" applyFill="1" applyBorder="1" applyAlignment="1">
      <alignment horizontal="center"/>
    </xf>
    <xf numFmtId="0" fontId="4" fillId="2" borderId="29" xfId="0" applyNumberFormat="1" applyFont="1" applyFill="1" applyBorder="1" applyAlignment="1">
      <alignment horizontal="center"/>
    </xf>
    <xf numFmtId="0" fontId="6" fillId="0" borderId="30" xfId="0" applyFont="1" applyFill="1" applyBorder="1"/>
    <xf numFmtId="0" fontId="24" fillId="0" borderId="31" xfId="0" applyFont="1" applyFill="1" applyBorder="1" applyAlignment="1">
      <alignment horizontal="right"/>
    </xf>
    <xf numFmtId="0" fontId="69" fillId="5" borderId="43" xfId="0" applyNumberFormat="1" applyFont="1" applyFill="1" applyBorder="1" applyAlignment="1">
      <alignment horizontal="left" indent="1"/>
    </xf>
    <xf numFmtId="6" fontId="24" fillId="0" borderId="32" xfId="0" applyNumberFormat="1" applyFont="1" applyFill="1" applyBorder="1" applyAlignment="1">
      <alignment horizontal="right" vertical="center"/>
    </xf>
    <xf numFmtId="168" fontId="6" fillId="5" borderId="32" xfId="1" applyNumberFormat="1" applyFont="1" applyFill="1" applyBorder="1" applyAlignment="1">
      <alignment horizontal="right"/>
    </xf>
    <xf numFmtId="168" fontId="6" fillId="0" borderId="40" xfId="1" applyNumberFormat="1" applyFont="1" applyFill="1" applyBorder="1" applyAlignment="1">
      <alignment horizontal="right"/>
    </xf>
    <xf numFmtId="6" fontId="6" fillId="0" borderId="32" xfId="0" applyNumberFormat="1" applyFont="1" applyFill="1" applyBorder="1" applyAlignment="1">
      <alignment horizontal="right"/>
    </xf>
    <xf numFmtId="168" fontId="6" fillId="0" borderId="42" xfId="1" applyNumberFormat="1" applyFont="1" applyBorder="1" applyAlignment="1">
      <alignment horizontal="right"/>
    </xf>
    <xf numFmtId="0" fontId="6" fillId="0" borderId="39" xfId="0" applyFont="1" applyFill="1" applyBorder="1" applyAlignment="1">
      <alignment horizontal="left"/>
    </xf>
    <xf numFmtId="0" fontId="24" fillId="0" borderId="40" xfId="0" applyFont="1" applyFill="1" applyBorder="1" applyAlignment="1">
      <alignment horizontal="right"/>
    </xf>
    <xf numFmtId="0" fontId="6" fillId="0" borderId="43" xfId="0" applyFont="1" applyFill="1" applyBorder="1" applyAlignment="1">
      <alignment horizontal="left"/>
    </xf>
    <xf numFmtId="164" fontId="24" fillId="2" borderId="32" xfId="2" applyNumberFormat="1" applyFont="1" applyFill="1" applyBorder="1" applyAlignment="1">
      <alignment horizontal="right"/>
    </xf>
    <xf numFmtId="0" fontId="6" fillId="0" borderId="41" xfId="0" applyFont="1" applyFill="1" applyBorder="1" applyAlignment="1">
      <alignment horizontal="left"/>
    </xf>
    <xf numFmtId="168" fontId="6" fillId="0" borderId="42" xfId="0" applyNumberFormat="1" applyFont="1" applyFill="1" applyBorder="1" applyAlignment="1">
      <alignment horizontal="right"/>
    </xf>
    <xf numFmtId="0" fontId="21" fillId="0" borderId="48" xfId="0" applyFont="1" applyFill="1" applyBorder="1"/>
    <xf numFmtId="0" fontId="6" fillId="0" borderId="57" xfId="0" applyFont="1" applyFill="1" applyBorder="1"/>
    <xf numFmtId="6" fontId="6" fillId="0" borderId="42" xfId="0" applyNumberFormat="1" applyFont="1" applyFill="1" applyBorder="1" applyAlignment="1">
      <alignment horizontal="right"/>
    </xf>
    <xf numFmtId="0" fontId="6" fillId="0" borderId="57" xfId="0" applyFont="1" applyFill="1" applyBorder="1" applyAlignment="1">
      <alignment horizontal="right"/>
    </xf>
    <xf numFmtId="164" fontId="24" fillId="0" borderId="42" xfId="0" applyNumberFormat="1" applyFont="1" applyFill="1" applyBorder="1" applyAlignment="1">
      <alignment horizontal="right"/>
    </xf>
    <xf numFmtId="0" fontId="6" fillId="0" borderId="30" xfId="0" applyFont="1" applyBorder="1"/>
    <xf numFmtId="9" fontId="24" fillId="6" borderId="31" xfId="2" applyFont="1" applyFill="1" applyBorder="1" applyAlignment="1">
      <alignment horizontal="center"/>
    </xf>
    <xf numFmtId="164" fontId="24" fillId="0" borderId="40" xfId="2" applyNumberFormat="1" applyFont="1" applyFill="1" applyBorder="1" applyAlignment="1">
      <alignment horizontal="right"/>
    </xf>
    <xf numFmtId="0" fontId="6" fillId="0" borderId="49" xfId="0" applyFont="1" applyFill="1" applyBorder="1"/>
    <xf numFmtId="9" fontId="24" fillId="6" borderId="45" xfId="2" applyFont="1" applyFill="1" applyBorder="1" applyAlignment="1">
      <alignment horizontal="center"/>
    </xf>
    <xf numFmtId="0" fontId="6" fillId="0" borderId="59" xfId="0" applyFont="1" applyFill="1" applyBorder="1"/>
    <xf numFmtId="0" fontId="4" fillId="2" borderId="60" xfId="0" applyNumberFormat="1" applyFont="1" applyFill="1" applyBorder="1" applyAlignment="1">
      <alignment horizontal="center"/>
    </xf>
    <xf numFmtId="10" fontId="4" fillId="0" borderId="61" xfId="2" applyNumberFormat="1" applyFont="1" applyFill="1" applyBorder="1" applyAlignment="1">
      <alignment horizontal="right"/>
    </xf>
    <xf numFmtId="0" fontId="4" fillId="0" borderId="42" xfId="0" applyFont="1" applyFill="1" applyBorder="1" applyAlignment="1">
      <alignment horizontal="center"/>
    </xf>
    <xf numFmtId="0" fontId="6" fillId="2" borderId="47" xfId="0" applyNumberFormat="1" applyFont="1" applyFill="1" applyBorder="1" applyAlignment="1"/>
    <xf numFmtId="0" fontId="69" fillId="5" borderId="39" xfId="0" applyFont="1" applyFill="1" applyBorder="1"/>
    <xf numFmtId="2" fontId="16" fillId="5" borderId="40" xfId="0" applyNumberFormat="1" applyFont="1" applyFill="1" applyBorder="1" applyAlignment="1">
      <alignment horizontal="center"/>
    </xf>
    <xf numFmtId="0" fontId="69" fillId="5" borderId="43" xfId="0" applyFont="1" applyFill="1" applyBorder="1"/>
    <xf numFmtId="2" fontId="16" fillId="5" borderId="44" xfId="0" applyNumberFormat="1" applyFont="1" applyFill="1" applyBorder="1" applyAlignment="1">
      <alignment horizontal="right"/>
    </xf>
    <xf numFmtId="0" fontId="69" fillId="5" borderId="51" xfId="0" applyFont="1" applyFill="1" applyBorder="1"/>
    <xf numFmtId="164" fontId="16" fillId="5" borderId="52" xfId="2" applyNumberFormat="1" applyFont="1" applyFill="1" applyBorder="1" applyAlignment="1">
      <alignment horizontal="right"/>
    </xf>
    <xf numFmtId="0" fontId="74" fillId="5" borderId="49" xfId="3" applyFont="1" applyFill="1" applyBorder="1" applyAlignment="1" applyProtection="1"/>
    <xf numFmtId="0" fontId="6" fillId="5" borderId="54" xfId="0" applyFont="1" applyFill="1" applyBorder="1"/>
    <xf numFmtId="2" fontId="24" fillId="6" borderId="31" xfId="0" applyNumberFormat="1" applyFont="1" applyFill="1" applyBorder="1" applyAlignment="1">
      <alignment horizontal="center"/>
    </xf>
    <xf numFmtId="164" fontId="24" fillId="2" borderId="40" xfId="2" applyNumberFormat="1" applyFont="1" applyFill="1" applyBorder="1" applyAlignment="1">
      <alignment horizontal="right"/>
    </xf>
    <xf numFmtId="0" fontId="37" fillId="2" borderId="39" xfId="0" applyNumberFormat="1" applyFont="1" applyFill="1" applyBorder="1" applyAlignment="1"/>
    <xf numFmtId="168" fontId="24" fillId="14" borderId="40" xfId="1" applyNumberFormat="1" applyFont="1" applyFill="1" applyBorder="1" applyAlignment="1">
      <alignment horizontal="right"/>
    </xf>
    <xf numFmtId="170" fontId="24" fillId="2" borderId="44" xfId="0" applyNumberFormat="1" applyFont="1" applyFill="1" applyBorder="1" applyAlignment="1">
      <alignment horizontal="right"/>
    </xf>
    <xf numFmtId="2" fontId="24" fillId="2" borderId="45" xfId="0" applyNumberFormat="1" applyFont="1" applyFill="1" applyBorder="1" applyAlignment="1">
      <alignment horizontal="right"/>
    </xf>
    <xf numFmtId="164" fontId="24" fillId="2" borderId="44" xfId="2" applyNumberFormat="1" applyFont="1" applyFill="1" applyBorder="1" applyAlignment="1">
      <alignment horizontal="right"/>
    </xf>
    <xf numFmtId="168" fontId="6" fillId="0" borderId="32" xfId="0" applyNumberFormat="1" applyFont="1" applyFill="1" applyBorder="1" applyAlignment="1">
      <alignment horizontal="right"/>
    </xf>
    <xf numFmtId="168" fontId="24" fillId="2" borderId="44" xfId="0" applyNumberFormat="1" applyFont="1" applyFill="1" applyBorder="1" applyAlignment="1">
      <alignment horizontal="right"/>
    </xf>
    <xf numFmtId="0" fontId="6" fillId="0" borderId="55" xfId="0" applyFont="1" applyFill="1" applyBorder="1"/>
    <xf numFmtId="0" fontId="4" fillId="0" borderId="46" xfId="0" applyFont="1" applyFill="1" applyBorder="1" applyAlignment="1">
      <alignment horizontal="center"/>
    </xf>
    <xf numFmtId="1" fontId="24" fillId="0" borderId="40" xfId="0" applyNumberFormat="1" applyFont="1" applyFill="1" applyBorder="1" applyAlignment="1">
      <alignment horizontal="right"/>
    </xf>
    <xf numFmtId="9" fontId="24" fillId="0" borderId="42" xfId="2" applyNumberFormat="1" applyFont="1" applyFill="1" applyBorder="1" applyAlignment="1">
      <alignment horizontal="right"/>
    </xf>
    <xf numFmtId="0" fontId="6" fillId="0" borderId="50" xfId="0" applyFont="1" applyFill="1" applyBorder="1" applyAlignment="1">
      <alignment horizontal="left"/>
    </xf>
    <xf numFmtId="0" fontId="4" fillId="0" borderId="4" xfId="0" applyFont="1" applyFill="1" applyBorder="1" applyAlignment="1">
      <alignment horizontal="center" vertical="center"/>
    </xf>
    <xf numFmtId="0" fontId="3" fillId="5" borderId="23" xfId="0" applyNumberFormat="1" applyFont="1" applyFill="1" applyBorder="1" applyAlignment="1"/>
    <xf numFmtId="0" fontId="6" fillId="5" borderId="10" xfId="0" applyFont="1" applyFill="1" applyBorder="1"/>
    <xf numFmtId="166" fontId="21" fillId="5" borderId="24" xfId="0" applyNumberFormat="1" applyFont="1" applyFill="1" applyBorder="1" applyAlignment="1">
      <alignment horizontal="center"/>
    </xf>
    <xf numFmtId="1" fontId="24" fillId="0" borderId="32" xfId="0" applyNumberFormat="1" applyFont="1" applyFill="1" applyBorder="1" applyAlignment="1">
      <alignment horizontal="right"/>
    </xf>
    <xf numFmtId="168" fontId="24" fillId="2" borderId="32" xfId="0" applyNumberFormat="1" applyFont="1" applyFill="1" applyBorder="1" applyAlignment="1">
      <alignment horizontal="right"/>
    </xf>
    <xf numFmtId="9" fontId="24" fillId="0" borderId="52" xfId="2" applyNumberFormat="1" applyFont="1" applyFill="1" applyBorder="1" applyAlignment="1">
      <alignment horizontal="right"/>
    </xf>
    <xf numFmtId="0" fontId="21" fillId="0" borderId="48" xfId="0" applyFont="1" applyFill="1" applyBorder="1" applyAlignment="1">
      <alignment horizontal="left"/>
    </xf>
    <xf numFmtId="0" fontId="3" fillId="0" borderId="57" xfId="0" applyFont="1" applyFill="1" applyBorder="1" applyAlignment="1">
      <alignment horizontal="center"/>
    </xf>
    <xf numFmtId="0" fontId="24" fillId="6" borderId="32" xfId="0" applyFont="1" applyFill="1" applyBorder="1" applyAlignment="1">
      <alignment horizontal="center"/>
    </xf>
    <xf numFmtId="0" fontId="4" fillId="0" borderId="34" xfId="0" applyFont="1" applyFill="1" applyBorder="1" applyAlignment="1">
      <alignment horizontal="center"/>
    </xf>
    <xf numFmtId="9" fontId="24" fillId="0" borderId="44" xfId="2" applyFont="1" applyFill="1" applyBorder="1" applyAlignment="1">
      <alignment horizontal="right"/>
    </xf>
    <xf numFmtId="168" fontId="6" fillId="0" borderId="45" xfId="2" applyNumberFormat="1" applyFont="1" applyFill="1" applyBorder="1" applyAlignment="1">
      <alignment horizontal="right"/>
    </xf>
    <xf numFmtId="0" fontId="24" fillId="6" borderId="40" xfId="0" applyFont="1" applyFill="1" applyBorder="1" applyAlignment="1">
      <alignment horizontal="center"/>
    </xf>
    <xf numFmtId="2" fontId="24" fillId="2" borderId="32" xfId="0" applyNumberFormat="1" applyFont="1" applyFill="1" applyBorder="1" applyAlignment="1">
      <alignment horizontal="right"/>
    </xf>
    <xf numFmtId="164" fontId="24" fillId="0" borderId="44" xfId="2" applyNumberFormat="1" applyFont="1" applyFill="1" applyBorder="1" applyAlignment="1">
      <alignment horizontal="right"/>
    </xf>
    <xf numFmtId="6" fontId="24" fillId="0" borderId="40" xfId="0" applyNumberFormat="1" applyFont="1" applyFill="1" applyBorder="1" applyAlignment="1">
      <alignment horizontal="right"/>
    </xf>
    <xf numFmtId="9" fontId="24" fillId="0" borderId="32" xfId="2" applyFont="1" applyFill="1" applyBorder="1" applyAlignment="1">
      <alignment horizontal="right"/>
    </xf>
    <xf numFmtId="168" fontId="6" fillId="0" borderId="40" xfId="0" applyNumberFormat="1" applyFont="1" applyFill="1" applyBorder="1" applyAlignment="1">
      <alignment horizontal="right"/>
    </xf>
    <xf numFmtId="0" fontId="6" fillId="2" borderId="62" xfId="0" applyNumberFormat="1" applyFont="1" applyFill="1" applyBorder="1" applyAlignment="1"/>
    <xf numFmtId="0" fontId="3" fillId="0" borderId="47" xfId="0" applyFont="1" applyFill="1" applyBorder="1"/>
    <xf numFmtId="168" fontId="3" fillId="0" borderId="45" xfId="0" applyNumberFormat="1" applyFont="1" applyFill="1" applyBorder="1"/>
    <xf numFmtId="3" fontId="3" fillId="5" borderId="6" xfId="0" applyNumberFormat="1" applyFont="1" applyFill="1" applyBorder="1" applyAlignment="1">
      <alignment horizontal="center"/>
    </xf>
    <xf numFmtId="166" fontId="11" fillId="0" borderId="10" xfId="0" applyNumberFormat="1" applyFont="1" applyFill="1" applyBorder="1" applyAlignment="1">
      <alignment horizontal="center"/>
    </xf>
    <xf numFmtId="0" fontId="6" fillId="0" borderId="10" xfId="0" applyFont="1" applyFill="1" applyBorder="1" applyAlignment="1">
      <alignment horizontal="center"/>
    </xf>
    <xf numFmtId="166" fontId="11" fillId="0" borderId="24" xfId="0" applyNumberFormat="1" applyFont="1" applyFill="1" applyBorder="1" applyAlignment="1">
      <alignment horizontal="center"/>
    </xf>
    <xf numFmtId="0" fontId="27" fillId="0" borderId="0" xfId="0" applyFont="1" applyFill="1" applyBorder="1" applyAlignment="1"/>
    <xf numFmtId="2" fontId="3" fillId="4" borderId="0" xfId="0" applyNumberFormat="1" applyFont="1" applyFill="1" applyBorder="1" applyAlignment="1">
      <alignment horizontal="center"/>
    </xf>
    <xf numFmtId="6" fontId="3" fillId="4" borderId="0" xfId="0" applyNumberFormat="1" applyFont="1" applyFill="1" applyBorder="1" applyAlignment="1">
      <alignment horizontal="center"/>
    </xf>
    <xf numFmtId="0" fontId="6" fillId="4" borderId="24" xfId="0" applyFont="1" applyFill="1" applyBorder="1"/>
    <xf numFmtId="0" fontId="85" fillId="8" borderId="25" xfId="0" applyFont="1" applyFill="1" applyBorder="1" applyAlignment="1">
      <alignment horizontal="center" vertical="center"/>
    </xf>
    <xf numFmtId="170" fontId="5" fillId="12" borderId="0" xfId="1" applyNumberFormat="1" applyFont="1" applyFill="1" applyBorder="1" applyAlignment="1">
      <alignment horizontal="center"/>
    </xf>
    <xf numFmtId="167" fontId="5" fillId="12" borderId="0" xfId="0" applyNumberFormat="1" applyFont="1" applyFill="1" applyBorder="1" applyAlignment="1">
      <alignment horizontal="center"/>
    </xf>
    <xf numFmtId="0" fontId="16" fillId="0" borderId="9" xfId="0" applyFont="1" applyFill="1" applyBorder="1" applyAlignment="1">
      <alignment horizontal="center"/>
    </xf>
    <xf numFmtId="0" fontId="15" fillId="0" borderId="9" xfId="0" applyFont="1" applyFill="1" applyBorder="1" applyAlignment="1">
      <alignment horizontal="center"/>
    </xf>
    <xf numFmtId="0" fontId="54" fillId="0" borderId="13" xfId="0" applyFont="1" applyBorder="1" applyAlignment="1">
      <alignment vertical="center" wrapText="1"/>
    </xf>
    <xf numFmtId="168" fontId="37" fillId="8" borderId="0" xfId="0" applyNumberFormat="1" applyFont="1" applyFill="1" applyAlignment="1"/>
    <xf numFmtId="0" fontId="3" fillId="14" borderId="0" xfId="0" applyFont="1" applyFill="1" applyBorder="1"/>
    <xf numFmtId="0" fontId="62" fillId="5" borderId="23" xfId="0" applyFont="1" applyFill="1" applyBorder="1" applyAlignment="1">
      <alignment vertical="center"/>
    </xf>
    <xf numFmtId="0" fontId="29" fillId="8" borderId="8" xfId="0" applyFont="1" applyFill="1" applyBorder="1" applyAlignment="1">
      <alignment horizontal="left" vertical="center" wrapText="1"/>
    </xf>
    <xf numFmtId="0" fontId="86" fillId="8" borderId="0" xfId="3" applyFont="1" applyFill="1" applyBorder="1" applyAlignment="1" applyProtection="1"/>
    <xf numFmtId="0" fontId="21" fillId="5" borderId="10" xfId="0" applyNumberFormat="1" applyFont="1" applyFill="1" applyBorder="1" applyAlignment="1">
      <alignment horizontal="center"/>
    </xf>
    <xf numFmtId="0" fontId="24" fillId="6" borderId="44" xfId="0" applyFont="1" applyFill="1" applyBorder="1" applyAlignment="1">
      <alignment horizontal="center"/>
    </xf>
    <xf numFmtId="6" fontId="6" fillId="0" borderId="42" xfId="0" applyNumberFormat="1" applyFont="1" applyFill="1" applyBorder="1"/>
    <xf numFmtId="166" fontId="21" fillId="5" borderId="2" xfId="0" applyNumberFormat="1" applyFont="1" applyFill="1" applyBorder="1" applyAlignment="1"/>
    <xf numFmtId="168" fontId="6" fillId="8" borderId="0" xfId="0" applyNumberFormat="1" applyFont="1" applyFill="1" applyBorder="1" applyAlignment="1">
      <alignment horizontal="center"/>
    </xf>
    <xf numFmtId="9" fontId="6" fillId="8" borderId="0" xfId="2" applyFont="1" applyFill="1" applyBorder="1" applyAlignment="1">
      <alignment horizontal="center"/>
    </xf>
    <xf numFmtId="0" fontId="87" fillId="0" borderId="1" xfId="0" applyFont="1" applyBorder="1" applyAlignment="1">
      <alignment vertical="center"/>
    </xf>
    <xf numFmtId="168" fontId="22" fillId="8" borderId="0" xfId="0" applyNumberFormat="1" applyFont="1" applyFill="1" applyBorder="1" applyAlignment="1">
      <alignment horizontal="center"/>
    </xf>
    <xf numFmtId="9" fontId="22" fillId="8" borderId="0" xfId="2" applyFont="1" applyFill="1" applyBorder="1" applyAlignment="1">
      <alignment horizontal="center"/>
    </xf>
    <xf numFmtId="0" fontId="3" fillId="0" borderId="22" xfId="0" applyFont="1" applyFill="1" applyBorder="1" applyAlignment="1">
      <alignment horizontal="right"/>
    </xf>
    <xf numFmtId="0" fontId="21" fillId="5" borderId="23" xfId="0" applyFont="1" applyFill="1" applyBorder="1" applyAlignment="1">
      <alignment horizontal="right"/>
    </xf>
    <xf numFmtId="0" fontId="21" fillId="5" borderId="10" xfId="0" applyFont="1" applyFill="1" applyBorder="1" applyAlignment="1">
      <alignment horizontal="right"/>
    </xf>
    <xf numFmtId="0" fontId="22" fillId="0" borderId="64" xfId="0" applyFont="1" applyFill="1" applyBorder="1" applyAlignment="1">
      <alignment horizontal="center"/>
    </xf>
    <xf numFmtId="164" fontId="24" fillId="0" borderId="65" xfId="2" applyNumberFormat="1" applyFont="1" applyFill="1" applyBorder="1" applyAlignment="1">
      <alignment horizontal="center"/>
    </xf>
    <xf numFmtId="164" fontId="3" fillId="0" borderId="65" xfId="2" applyNumberFormat="1" applyFont="1" applyFill="1" applyBorder="1" applyAlignment="1">
      <alignment horizontal="center"/>
    </xf>
    <xf numFmtId="168" fontId="6" fillId="5" borderId="4" xfId="0" applyNumberFormat="1" applyFont="1" applyFill="1" applyBorder="1" applyAlignment="1">
      <alignment vertical="center"/>
    </xf>
    <xf numFmtId="168" fontId="6" fillId="5" borderId="28" xfId="0" applyNumberFormat="1" applyFont="1" applyFill="1" applyBorder="1" applyAlignment="1">
      <alignment vertical="center"/>
    </xf>
    <xf numFmtId="0" fontId="4" fillId="9" borderId="56" xfId="0" applyNumberFormat="1" applyFont="1" applyFill="1" applyBorder="1" applyAlignment="1">
      <alignment horizontal="center" vertical="center" wrapText="1"/>
    </xf>
    <xf numFmtId="0" fontId="4" fillId="9" borderId="45" xfId="0" applyNumberFormat="1" applyFont="1" applyFill="1" applyBorder="1" applyAlignment="1">
      <alignment horizontal="center" vertical="center" wrapText="1"/>
    </xf>
    <xf numFmtId="0" fontId="0" fillId="5" borderId="3" xfId="0" applyFill="1" applyBorder="1"/>
    <xf numFmtId="0" fontId="3" fillId="8" borderId="0" xfId="0" applyNumberFormat="1" applyFont="1" applyFill="1" applyBorder="1" applyAlignment="1"/>
    <xf numFmtId="0" fontId="6" fillId="5" borderId="24" xfId="0" applyFont="1" applyFill="1" applyBorder="1"/>
    <xf numFmtId="0" fontId="3" fillId="0" borderId="39" xfId="0" applyFont="1" applyFill="1" applyBorder="1" applyAlignment="1">
      <alignment horizontal="right"/>
    </xf>
    <xf numFmtId="0" fontId="3" fillId="0" borderId="10" xfId="0" applyFont="1" applyFill="1" applyBorder="1" applyAlignment="1">
      <alignment horizontal="right"/>
    </xf>
    <xf numFmtId="0" fontId="3" fillId="0" borderId="41" xfId="0" applyFont="1" applyFill="1" applyBorder="1" applyAlignment="1">
      <alignment horizontal="right"/>
    </xf>
    <xf numFmtId="6" fontId="6" fillId="8" borderId="9" xfId="0" applyNumberFormat="1" applyFont="1" applyFill="1" applyBorder="1" applyAlignment="1"/>
    <xf numFmtId="9" fontId="6" fillId="8" borderId="9" xfId="2" applyFont="1" applyFill="1" applyBorder="1" applyAlignment="1">
      <alignment horizontal="center"/>
    </xf>
    <xf numFmtId="168" fontId="6" fillId="8" borderId="9" xfId="2" applyNumberFormat="1" applyFont="1" applyFill="1" applyBorder="1"/>
    <xf numFmtId="0" fontId="7" fillId="8" borderId="9" xfId="0" applyNumberFormat="1" applyFont="1" applyFill="1" applyBorder="1" applyAlignment="1"/>
    <xf numFmtId="0" fontId="24" fillId="6" borderId="34" xfId="0" applyFont="1" applyFill="1" applyBorder="1" applyAlignment="1">
      <alignment horizontal="center"/>
    </xf>
    <xf numFmtId="0" fontId="4" fillId="8" borderId="0" xfId="0" applyNumberFormat="1" applyFont="1" applyFill="1" applyBorder="1" applyAlignment="1">
      <alignment horizontal="right"/>
    </xf>
    <xf numFmtId="0" fontId="17" fillId="8" borderId="0" xfId="3" applyNumberFormat="1" applyFill="1" applyAlignment="1" applyProtection="1"/>
    <xf numFmtId="168" fontId="7" fillId="8" borderId="0" xfId="2" applyNumberFormat="1" applyFont="1" applyFill="1"/>
    <xf numFmtId="9" fontId="24" fillId="6" borderId="46" xfId="2" applyFont="1" applyFill="1" applyBorder="1" applyAlignment="1">
      <alignment horizontal="center"/>
    </xf>
    <xf numFmtId="0" fontId="7" fillId="0" borderId="9" xfId="0" applyNumberFormat="1" applyFont="1" applyFill="1" applyBorder="1" applyAlignment="1">
      <alignment wrapText="1"/>
    </xf>
    <xf numFmtId="0" fontId="7" fillId="0" borderId="9" xfId="0" applyNumberFormat="1" applyFont="1" applyFill="1" applyBorder="1" applyAlignment="1">
      <alignment horizontal="right"/>
    </xf>
    <xf numFmtId="0" fontId="6" fillId="0" borderId="9" xfId="0" applyNumberFormat="1" applyFont="1" applyFill="1" applyBorder="1" applyAlignment="1">
      <alignment wrapText="1"/>
    </xf>
    <xf numFmtId="6" fontId="6" fillId="8" borderId="0" xfId="2" applyNumberFormat="1" applyFont="1" applyFill="1"/>
    <xf numFmtId="0" fontId="6" fillId="0" borderId="39" xfId="0" applyFont="1" applyFill="1" applyBorder="1" applyAlignment="1">
      <alignment horizontal="center"/>
    </xf>
    <xf numFmtId="0" fontId="22" fillId="0" borderId="57" xfId="0" applyFont="1" applyFill="1" applyBorder="1" applyAlignment="1">
      <alignment horizontal="center"/>
    </xf>
    <xf numFmtId="0" fontId="6" fillId="0" borderId="43" xfId="0" applyFont="1" applyFill="1" applyBorder="1" applyAlignment="1">
      <alignment horizontal="left" indent="1"/>
    </xf>
    <xf numFmtId="164" fontId="24" fillId="0" borderId="67" xfId="2" applyNumberFormat="1" applyFont="1" applyFill="1" applyBorder="1" applyAlignment="1">
      <alignment horizontal="center"/>
    </xf>
    <xf numFmtId="164" fontId="3" fillId="0" borderId="67" xfId="2" applyNumberFormat="1" applyFont="1" applyFill="1" applyBorder="1" applyAlignment="1">
      <alignment horizontal="center"/>
    </xf>
    <xf numFmtId="0" fontId="75" fillId="0" borderId="41" xfId="3" applyFont="1" applyFill="1" applyBorder="1" applyAlignment="1" applyProtection="1"/>
    <xf numFmtId="0" fontId="3" fillId="0" borderId="68" xfId="0" applyFont="1" applyFill="1" applyBorder="1"/>
    <xf numFmtId="0" fontId="3" fillId="0" borderId="66" xfId="0" applyFont="1" applyFill="1" applyBorder="1"/>
    <xf numFmtId="0" fontId="3" fillId="0" borderId="54" xfId="0" applyFont="1" applyFill="1" applyBorder="1"/>
    <xf numFmtId="9" fontId="4" fillId="2" borderId="4" xfId="2" applyFont="1" applyFill="1" applyBorder="1" applyAlignment="1">
      <alignment horizontal="center"/>
    </xf>
    <xf numFmtId="9" fontId="4" fillId="2" borderId="60" xfId="2" applyFont="1" applyFill="1" applyBorder="1" applyAlignment="1">
      <alignment horizontal="center"/>
    </xf>
    <xf numFmtId="9" fontId="4" fillId="2" borderId="28" xfId="2" applyFont="1" applyFill="1" applyBorder="1" applyAlignment="1">
      <alignment horizontal="center"/>
    </xf>
    <xf numFmtId="0" fontId="86" fillId="8" borderId="0" xfId="3" applyFont="1" applyFill="1" applyBorder="1" applyAlignment="1" applyProtection="1">
      <alignment vertical="center" wrapText="1"/>
    </xf>
    <xf numFmtId="0" fontId="88" fillId="8" borderId="0" xfId="0" applyFont="1" applyFill="1" applyBorder="1" applyAlignment="1">
      <alignment wrapText="1"/>
    </xf>
    <xf numFmtId="0" fontId="69" fillId="5" borderId="43" xfId="0" applyFont="1" applyFill="1" applyBorder="1" applyAlignment="1">
      <alignment horizontal="left" indent="1"/>
    </xf>
    <xf numFmtId="168" fontId="6" fillId="8" borderId="9" xfId="0" applyNumberFormat="1" applyFont="1" applyFill="1" applyBorder="1" applyAlignment="1">
      <alignment horizontal="center"/>
    </xf>
    <xf numFmtId="3" fontId="6" fillId="14" borderId="55" xfId="0" applyNumberFormat="1" applyFont="1" applyFill="1" applyBorder="1" applyAlignment="1">
      <alignment horizontal="left"/>
    </xf>
    <xf numFmtId="3" fontId="4" fillId="14" borderId="5" xfId="0" applyNumberFormat="1" applyFont="1" applyFill="1" applyBorder="1" applyAlignment="1">
      <alignment horizontal="center"/>
    </xf>
    <xf numFmtId="0" fontId="4" fillId="0" borderId="5" xfId="0" applyFont="1" applyFill="1" applyBorder="1" applyAlignment="1">
      <alignment horizontal="center"/>
    </xf>
    <xf numFmtId="0" fontId="24" fillId="0" borderId="44" xfId="0" applyFont="1" applyFill="1" applyBorder="1" applyAlignment="1">
      <alignment horizontal="right"/>
    </xf>
    <xf numFmtId="0" fontId="45" fillId="8" borderId="8" xfId="0" applyFont="1" applyFill="1" applyBorder="1" applyAlignment="1">
      <alignment horizontal="left" vertical="center" wrapText="1"/>
    </xf>
    <xf numFmtId="0" fontId="89" fillId="0" borderId="49" xfId="3" applyFont="1" applyBorder="1" applyAlignment="1" applyProtection="1"/>
    <xf numFmtId="0" fontId="49" fillId="0" borderId="4" xfId="0" applyFont="1" applyBorder="1" applyAlignment="1">
      <alignment vertical="top"/>
    </xf>
    <xf numFmtId="0" fontId="90" fillId="8" borderId="0" xfId="0" applyNumberFormat="1" applyFont="1" applyFill="1" applyBorder="1" applyAlignment="1">
      <alignment horizontal="center"/>
    </xf>
    <xf numFmtId="0" fontId="29" fillId="8" borderId="23" xfId="0" applyFont="1" applyFill="1" applyBorder="1" applyAlignment="1">
      <alignment vertical="center" wrapText="1"/>
    </xf>
    <xf numFmtId="0" fontId="45" fillId="8" borderId="10" xfId="0" applyFont="1" applyFill="1" applyBorder="1" applyAlignment="1">
      <alignment vertical="center" wrapText="1"/>
    </xf>
    <xf numFmtId="0" fontId="3" fillId="0" borderId="23" xfId="0" applyFont="1" applyFill="1" applyBorder="1"/>
    <xf numFmtId="6" fontId="6" fillId="0" borderId="63" xfId="0" applyNumberFormat="1" applyFont="1" applyFill="1" applyBorder="1" applyAlignment="1">
      <alignment horizontal="right"/>
    </xf>
    <xf numFmtId="0" fontId="6" fillId="0" borderId="41" xfId="0" applyFont="1" applyBorder="1" applyAlignment="1">
      <alignment vertical="center"/>
    </xf>
    <xf numFmtId="0" fontId="49" fillId="0" borderId="0" xfId="0" applyFont="1" applyBorder="1" applyAlignment="1">
      <alignment horizontal="center"/>
    </xf>
    <xf numFmtId="40" fontId="4" fillId="0" borderId="0" xfId="0" applyNumberFormat="1" applyFont="1" applyAlignment="1">
      <alignment horizontal="center"/>
    </xf>
    <xf numFmtId="0" fontId="55" fillId="0" borderId="0" xfId="0" applyFont="1" applyBorder="1" applyAlignment="1">
      <alignment horizontal="right"/>
    </xf>
    <xf numFmtId="3" fontId="49" fillId="0" borderId="21" xfId="0" applyNumberFormat="1" applyFont="1" applyBorder="1" applyAlignment="1">
      <alignment horizontal="center"/>
    </xf>
    <xf numFmtId="9" fontId="49" fillId="0" borderId="21" xfId="2" applyFont="1" applyBorder="1" applyAlignment="1">
      <alignment horizontal="center"/>
    </xf>
    <xf numFmtId="40" fontId="49" fillId="0" borderId="21" xfId="0" applyNumberFormat="1" applyFont="1" applyBorder="1" applyAlignment="1">
      <alignment horizontal="center"/>
    </xf>
    <xf numFmtId="0" fontId="49" fillId="0" borderId="15" xfId="0" applyFont="1" applyBorder="1" applyAlignment="1">
      <alignment horizontal="center"/>
    </xf>
    <xf numFmtId="0" fontId="59" fillId="0" borderId="0" xfId="0" applyFont="1" applyFill="1" applyBorder="1" applyAlignment="1">
      <alignment horizontal="center"/>
    </xf>
    <xf numFmtId="0" fontId="3" fillId="0" borderId="59" xfId="0" applyFont="1" applyFill="1" applyBorder="1"/>
    <xf numFmtId="6" fontId="24" fillId="0" borderId="61" xfId="0" applyNumberFormat="1" applyFont="1" applyFill="1" applyBorder="1" applyAlignment="1">
      <alignment horizontal="right"/>
    </xf>
    <xf numFmtId="0" fontId="24" fillId="6" borderId="61" xfId="0" applyFont="1" applyFill="1" applyBorder="1" applyAlignment="1">
      <alignment horizontal="center"/>
    </xf>
    <xf numFmtId="9" fontId="24" fillId="6" borderId="32" xfId="2" applyFont="1" applyFill="1" applyBorder="1" applyAlignment="1">
      <alignment horizontal="center"/>
    </xf>
    <xf numFmtId="0" fontId="93" fillId="0" borderId="0" xfId="0" applyFont="1" applyBorder="1" applyAlignment="1">
      <alignment horizontal="center" vertical="center"/>
    </xf>
    <xf numFmtId="2" fontId="50" fillId="0" borderId="17" xfId="0" applyNumberFormat="1" applyFont="1" applyFill="1" applyBorder="1" applyAlignment="1">
      <alignment horizontal="center" vertical="center"/>
    </xf>
    <xf numFmtId="0" fontId="50" fillId="0" borderId="17" xfId="0" applyFont="1" applyBorder="1" applyAlignment="1">
      <alignment horizontal="center" vertical="center"/>
    </xf>
    <xf numFmtId="0" fontId="94" fillId="0" borderId="17" xfId="0" applyFont="1" applyFill="1" applyBorder="1" applyAlignment="1">
      <alignment horizontal="center" vertical="center"/>
    </xf>
    <xf numFmtId="0" fontId="94" fillId="0" borderId="0" xfId="0" applyFont="1" applyAlignment="1">
      <alignment horizontal="center" vertical="center"/>
    </xf>
    <xf numFmtId="0" fontId="50" fillId="0" borderId="12" xfId="0" applyFont="1" applyBorder="1" applyAlignment="1">
      <alignment horizontal="center" vertical="center"/>
    </xf>
    <xf numFmtId="0" fontId="93" fillId="0" borderId="14" xfId="0" applyFont="1" applyBorder="1" applyAlignment="1">
      <alignment horizontal="center" vertical="center"/>
    </xf>
    <xf numFmtId="2" fontId="50" fillId="0" borderId="4" xfId="0" applyNumberFormat="1" applyFont="1" applyFill="1" applyBorder="1" applyAlignment="1">
      <alignment horizontal="center" vertical="center"/>
    </xf>
    <xf numFmtId="0" fontId="94" fillId="0" borderId="0" xfId="0" applyFont="1" applyFill="1" applyBorder="1" applyAlignment="1">
      <alignment horizontal="center" vertical="center"/>
    </xf>
    <xf numFmtId="0" fontId="21" fillId="0" borderId="4" xfId="3" applyFont="1" applyBorder="1" applyAlignment="1" applyProtection="1">
      <alignment horizontal="center"/>
    </xf>
    <xf numFmtId="6" fontId="3" fillId="0" borderId="32" xfId="0" applyNumberFormat="1" applyFont="1" applyFill="1" applyBorder="1" applyAlignment="1">
      <alignment horizontal="right" vertical="center"/>
    </xf>
    <xf numFmtId="0" fontId="75" fillId="0" borderId="43" xfId="3" applyFont="1" applyBorder="1" applyAlignment="1" applyProtection="1"/>
    <xf numFmtId="0" fontId="75" fillId="0" borderId="32" xfId="3" applyFont="1" applyBorder="1" applyAlignment="1" applyProtection="1"/>
    <xf numFmtId="0" fontId="3" fillId="0" borderId="43" xfId="3" applyFont="1" applyBorder="1" applyAlignment="1" applyProtection="1"/>
    <xf numFmtId="168" fontId="3" fillId="0" borderId="32" xfId="3" applyNumberFormat="1" applyFont="1" applyBorder="1" applyAlignment="1" applyProtection="1"/>
    <xf numFmtId="0" fontId="75" fillId="5" borderId="43" xfId="3" applyFont="1" applyFill="1" applyBorder="1" applyAlignment="1" applyProtection="1"/>
    <xf numFmtId="0" fontId="6" fillId="0" borderId="32" xfId="0" applyFont="1" applyFill="1" applyBorder="1"/>
    <xf numFmtId="6" fontId="24" fillId="0" borderId="52" xfId="0" applyNumberFormat="1" applyFont="1" applyFill="1" applyBorder="1" applyAlignment="1">
      <alignment horizontal="right"/>
    </xf>
    <xf numFmtId="3" fontId="3" fillId="5" borderId="59" xfId="0" applyNumberFormat="1" applyFont="1" applyFill="1" applyBorder="1" applyAlignment="1">
      <alignment horizontal="left"/>
    </xf>
    <xf numFmtId="0" fontId="21" fillId="5" borderId="60" xfId="0" applyNumberFormat="1" applyFont="1" applyFill="1" applyBorder="1" applyAlignment="1">
      <alignment horizontal="center"/>
    </xf>
    <xf numFmtId="166" fontId="21" fillId="5" borderId="61" xfId="0" applyNumberFormat="1" applyFont="1" applyFill="1" applyBorder="1" applyAlignment="1">
      <alignment horizontal="center"/>
    </xf>
    <xf numFmtId="176" fontId="24" fillId="0" borderId="44" xfId="0" applyNumberFormat="1" applyFont="1" applyFill="1" applyBorder="1" applyAlignment="1">
      <alignment horizontal="right"/>
    </xf>
    <xf numFmtId="168" fontId="15" fillId="0" borderId="32" xfId="3" applyNumberFormat="1" applyFont="1" applyBorder="1" applyAlignment="1" applyProtection="1">
      <alignment horizontal="center"/>
    </xf>
    <xf numFmtId="3" fontId="6" fillId="0" borderId="4" xfId="0" applyNumberFormat="1" applyFont="1" applyFill="1" applyBorder="1" applyAlignment="1">
      <alignment vertical="center"/>
    </xf>
    <xf numFmtId="3" fontId="6" fillId="0" borderId="28" xfId="0" applyNumberFormat="1" applyFont="1" applyFill="1" applyBorder="1" applyAlignment="1">
      <alignment vertical="center"/>
    </xf>
    <xf numFmtId="168" fontId="3" fillId="0" borderId="32" xfId="1" applyNumberFormat="1" applyFont="1" applyFill="1" applyBorder="1" applyAlignment="1">
      <alignment horizontal="right"/>
    </xf>
    <xf numFmtId="0" fontId="16" fillId="5" borderId="43" xfId="0" applyFont="1" applyFill="1" applyBorder="1" applyAlignment="1">
      <alignment horizontal="left"/>
    </xf>
    <xf numFmtId="3" fontId="4" fillId="14" borderId="4" xfId="0" applyNumberFormat="1" applyFont="1" applyFill="1" applyBorder="1" applyAlignment="1">
      <alignment horizontal="center"/>
    </xf>
    <xf numFmtId="165" fontId="6" fillId="0" borderId="0" xfId="1" applyNumberFormat="1" applyFont="1" applyFill="1" applyBorder="1"/>
    <xf numFmtId="0" fontId="15" fillId="0" borderId="6" xfId="0" applyFont="1" applyFill="1" applyBorder="1" applyAlignment="1">
      <alignment horizontal="center"/>
    </xf>
    <xf numFmtId="0" fontId="15" fillId="0" borderId="11" xfId="0" applyFont="1" applyFill="1" applyBorder="1" applyAlignment="1">
      <alignment horizontal="center"/>
    </xf>
    <xf numFmtId="3" fontId="4" fillId="14" borderId="21" xfId="0" applyNumberFormat="1" applyFont="1" applyFill="1" applyBorder="1" applyAlignment="1">
      <alignment horizontal="center"/>
    </xf>
    <xf numFmtId="0" fontId="6" fillId="0" borderId="43" xfId="3" applyFont="1" applyBorder="1" applyAlignment="1" applyProtection="1"/>
    <xf numFmtId="0" fontId="4" fillId="0" borderId="4" xfId="3" applyFont="1" applyBorder="1" applyAlignment="1" applyProtection="1">
      <alignment horizontal="center"/>
    </xf>
    <xf numFmtId="168" fontId="6" fillId="0" borderId="32" xfId="3" applyNumberFormat="1" applyFont="1" applyBorder="1" applyAlignment="1" applyProtection="1"/>
    <xf numFmtId="173" fontId="96" fillId="14" borderId="44" xfId="5" applyNumberFormat="1" applyFont="1" applyFill="1" applyBorder="1" applyAlignment="1">
      <alignment horizontal="right"/>
    </xf>
    <xf numFmtId="168" fontId="6" fillId="0" borderId="45" xfId="1" applyNumberFormat="1" applyFont="1" applyFill="1" applyBorder="1" applyAlignment="1">
      <alignment horizontal="right"/>
    </xf>
    <xf numFmtId="0" fontId="4" fillId="0" borderId="56" xfId="0" applyNumberFormat="1" applyFont="1" applyFill="1" applyBorder="1" applyAlignment="1">
      <alignment horizontal="center"/>
    </xf>
    <xf numFmtId="0" fontId="21" fillId="0" borderId="4" xfId="0" applyNumberFormat="1" applyFont="1" applyFill="1" applyBorder="1" applyAlignment="1">
      <alignment horizontal="center"/>
    </xf>
    <xf numFmtId="9" fontId="24" fillId="0" borderId="40" xfId="2" applyNumberFormat="1" applyFont="1" applyFill="1" applyBorder="1" applyAlignment="1">
      <alignment horizontal="center" vertical="center"/>
    </xf>
    <xf numFmtId="9" fontId="6" fillId="2" borderId="4" xfId="2" applyFont="1" applyFill="1" applyBorder="1" applyAlignment="1">
      <alignment horizontal="center" vertical="center"/>
    </xf>
    <xf numFmtId="9" fontId="24" fillId="0" borderId="32" xfId="0" applyNumberFormat="1" applyFont="1" applyFill="1" applyBorder="1"/>
    <xf numFmtId="9" fontId="6" fillId="0" borderId="32" xfId="0" applyNumberFormat="1" applyFont="1" applyFill="1" applyBorder="1"/>
    <xf numFmtId="10" fontId="6" fillId="0" borderId="32" xfId="2" applyNumberFormat="1" applyFont="1" applyFill="1" applyBorder="1"/>
    <xf numFmtId="168" fontId="3" fillId="0" borderId="42" xfId="0" applyNumberFormat="1" applyFont="1" applyFill="1" applyBorder="1"/>
    <xf numFmtId="0" fontId="6" fillId="0" borderId="51" xfId="0" applyFont="1" applyFill="1" applyBorder="1"/>
    <xf numFmtId="0" fontId="3" fillId="0" borderId="43" xfId="0" applyFont="1" applyFill="1" applyBorder="1"/>
    <xf numFmtId="0" fontId="6" fillId="0" borderId="39" xfId="0" applyFont="1" applyFill="1" applyBorder="1" applyAlignment="1">
      <alignment vertical="center"/>
    </xf>
    <xf numFmtId="3" fontId="3" fillId="5" borderId="23" xfId="0" applyNumberFormat="1" applyFont="1" applyFill="1" applyBorder="1" applyAlignment="1">
      <alignment horizontal="left"/>
    </xf>
    <xf numFmtId="3" fontId="4" fillId="5" borderId="10" xfId="0" applyNumberFormat="1" applyFont="1" applyFill="1" applyBorder="1" applyAlignment="1">
      <alignment horizontal="center"/>
    </xf>
    <xf numFmtId="164" fontId="5" fillId="5" borderId="24" xfId="2" applyNumberFormat="1" applyFont="1" applyFill="1" applyBorder="1" applyAlignment="1">
      <alignment horizontal="center"/>
    </xf>
    <xf numFmtId="9" fontId="24" fillId="6" borderId="44" xfId="2" applyNumberFormat="1" applyFont="1" applyFill="1" applyBorder="1" applyAlignment="1">
      <alignment horizontal="center" vertical="center"/>
    </xf>
    <xf numFmtId="0" fontId="4" fillId="0" borderId="0" xfId="0" applyFont="1" applyFill="1" applyBorder="1"/>
    <xf numFmtId="0" fontId="97" fillId="0" borderId="10" xfId="0" applyFont="1" applyFill="1" applyBorder="1" applyAlignment="1">
      <alignment horizontal="center"/>
    </xf>
    <xf numFmtId="0" fontId="21" fillId="0" borderId="0" xfId="0" applyFont="1" applyFill="1" applyBorder="1" applyAlignment="1">
      <alignment horizontal="center"/>
    </xf>
    <xf numFmtId="0" fontId="4" fillId="0" borderId="46" xfId="0" applyFont="1" applyBorder="1" applyAlignment="1"/>
    <xf numFmtId="0" fontId="4" fillId="0" borderId="14" xfId="0" applyFont="1" applyBorder="1" applyAlignment="1">
      <alignment horizontal="left"/>
    </xf>
    <xf numFmtId="2" fontId="72" fillId="14" borderId="5" xfId="0" applyNumberFormat="1" applyFont="1" applyFill="1" applyBorder="1" applyAlignment="1">
      <alignment horizontal="center"/>
    </xf>
    <xf numFmtId="2" fontId="72" fillId="14" borderId="4" xfId="0" applyNumberFormat="1" applyFont="1" applyFill="1" applyBorder="1" applyAlignment="1">
      <alignment horizontal="center"/>
    </xf>
    <xf numFmtId="2" fontId="21" fillId="14" borderId="46" xfId="0" applyNumberFormat="1" applyFont="1" applyFill="1" applyBorder="1" applyAlignment="1">
      <alignment horizontal="center"/>
    </xf>
    <xf numFmtId="2" fontId="4" fillId="14" borderId="5" xfId="0" applyNumberFormat="1" applyFont="1" applyFill="1" applyBorder="1" applyAlignment="1">
      <alignment horizontal="center"/>
    </xf>
    <xf numFmtId="2" fontId="4" fillId="14" borderId="56" xfId="0" applyNumberFormat="1" applyFont="1" applyFill="1" applyBorder="1" applyAlignment="1">
      <alignment horizontal="center"/>
    </xf>
    <xf numFmtId="0" fontId="98" fillId="0" borderId="4" xfId="3" applyFont="1" applyBorder="1" applyAlignment="1" applyProtection="1"/>
    <xf numFmtId="2" fontId="72" fillId="14" borderId="56" xfId="0" applyNumberFormat="1" applyFont="1" applyFill="1" applyBorder="1" applyAlignment="1">
      <alignment horizontal="center"/>
    </xf>
    <xf numFmtId="0" fontId="21" fillId="0" borderId="13" xfId="0" applyFont="1" applyFill="1" applyBorder="1"/>
    <xf numFmtId="2" fontId="4" fillId="14" borderId="4" xfId="0" applyNumberFormat="1" applyFont="1" applyFill="1" applyBorder="1" applyAlignment="1">
      <alignment horizontal="center"/>
    </xf>
    <xf numFmtId="0" fontId="4" fillId="0" borderId="4" xfId="0" applyFont="1" applyFill="1" applyBorder="1"/>
    <xf numFmtId="0" fontId="4" fillId="0" borderId="0" xfId="0" applyFont="1" applyBorder="1"/>
    <xf numFmtId="0" fontId="4" fillId="0" borderId="37" xfId="0" applyFont="1" applyFill="1" applyBorder="1"/>
    <xf numFmtId="0" fontId="4" fillId="5" borderId="2" xfId="0" applyFont="1" applyFill="1" applyBorder="1"/>
    <xf numFmtId="0" fontId="4" fillId="0" borderId="29" xfId="0" applyFont="1" applyBorder="1"/>
    <xf numFmtId="0" fontId="4" fillId="0" borderId="58" xfId="0" applyFont="1" applyFill="1" applyBorder="1"/>
    <xf numFmtId="0" fontId="4" fillId="0" borderId="34" xfId="0" applyFont="1" applyFill="1" applyBorder="1"/>
    <xf numFmtId="0" fontId="4" fillId="0" borderId="22" xfId="0" applyFont="1" applyFill="1" applyBorder="1"/>
    <xf numFmtId="0" fontId="4" fillId="4" borderId="10" xfId="0" applyFont="1" applyFill="1" applyBorder="1"/>
    <xf numFmtId="0" fontId="4" fillId="4" borderId="0" xfId="0" applyFont="1" applyFill="1" applyBorder="1"/>
    <xf numFmtId="0" fontId="4" fillId="4" borderId="22" xfId="0" applyFont="1" applyFill="1" applyBorder="1"/>
    <xf numFmtId="0" fontId="4" fillId="14" borderId="0" xfId="0" applyFont="1" applyFill="1" applyBorder="1"/>
    <xf numFmtId="0" fontId="70" fillId="5" borderId="46" xfId="0" applyFont="1" applyFill="1" applyBorder="1"/>
    <xf numFmtId="0" fontId="4" fillId="5" borderId="53" xfId="0" applyFont="1" applyFill="1" applyBorder="1"/>
    <xf numFmtId="2" fontId="4" fillId="14" borderId="46" xfId="0" applyNumberFormat="1" applyFont="1" applyFill="1" applyBorder="1" applyAlignment="1">
      <alignment horizontal="center"/>
    </xf>
    <xf numFmtId="0" fontId="4" fillId="5" borderId="10" xfId="0" applyFont="1" applyFill="1" applyBorder="1"/>
    <xf numFmtId="0" fontId="21" fillId="0" borderId="37" xfId="0" applyFont="1" applyFill="1" applyBorder="1" applyAlignment="1">
      <alignment horizontal="center"/>
    </xf>
    <xf numFmtId="0" fontId="21" fillId="0" borderId="14" xfId="0" applyFont="1" applyFill="1" applyBorder="1" applyAlignment="1">
      <alignment horizontal="center"/>
    </xf>
    <xf numFmtId="0" fontId="4" fillId="0" borderId="69" xfId="0" applyFont="1" applyFill="1" applyBorder="1"/>
    <xf numFmtId="0" fontId="4" fillId="0" borderId="46" xfId="0" applyFont="1" applyFill="1" applyBorder="1"/>
    <xf numFmtId="9" fontId="42" fillId="6" borderId="40" xfId="2" applyFont="1" applyFill="1" applyBorder="1" applyAlignment="1">
      <alignment horizontal="center"/>
    </xf>
    <xf numFmtId="9" fontId="42" fillId="0" borderId="42" xfId="0" applyNumberFormat="1" applyFont="1" applyFill="1" applyBorder="1" applyAlignment="1">
      <alignment horizontal="right"/>
    </xf>
    <xf numFmtId="0" fontId="36" fillId="0" borderId="46" xfId="0" applyFont="1" applyFill="1" applyBorder="1" applyAlignment="1">
      <alignment horizontal="center"/>
    </xf>
    <xf numFmtId="164" fontId="42" fillId="0" borderId="4" xfId="2" applyNumberFormat="1" applyFont="1" applyFill="1" applyBorder="1" applyAlignment="1">
      <alignment horizontal="center"/>
    </xf>
    <xf numFmtId="164" fontId="21" fillId="0" borderId="12" xfId="2" applyNumberFormat="1" applyFont="1" applyFill="1" applyBorder="1" applyAlignment="1">
      <alignment horizontal="center"/>
    </xf>
    <xf numFmtId="164" fontId="42" fillId="0" borderId="12" xfId="2" applyNumberFormat="1" applyFont="1" applyFill="1" applyBorder="1" applyAlignment="1">
      <alignment horizontal="center"/>
    </xf>
    <xf numFmtId="0" fontId="21" fillId="0" borderId="34" xfId="0" applyFont="1" applyFill="1" applyBorder="1"/>
    <xf numFmtId="9" fontId="99" fillId="0" borderId="46" xfId="0" applyNumberFormat="1" applyFont="1" applyFill="1" applyBorder="1" applyAlignment="1">
      <alignment horizontal="center"/>
    </xf>
    <xf numFmtId="9" fontId="99" fillId="0" borderId="34" xfId="0" applyNumberFormat="1" applyFont="1" applyFill="1" applyBorder="1" applyAlignment="1">
      <alignment horizontal="center"/>
    </xf>
    <xf numFmtId="0" fontId="3" fillId="0" borderId="41" xfId="0" applyNumberFormat="1" applyFont="1" applyFill="1" applyBorder="1" applyAlignment="1"/>
    <xf numFmtId="168" fontId="4" fillId="0" borderId="46" xfId="0" applyNumberFormat="1" applyFont="1" applyFill="1" applyBorder="1" applyAlignment="1">
      <alignment horizontal="center" vertical="center"/>
    </xf>
    <xf numFmtId="168" fontId="4" fillId="0" borderId="46" xfId="0" applyNumberFormat="1" applyFont="1" applyFill="1" applyBorder="1" applyAlignment="1">
      <alignment horizontal="center" vertical="center" wrapText="1"/>
    </xf>
    <xf numFmtId="0" fontId="4" fillId="0" borderId="46" xfId="0" applyNumberFormat="1" applyFont="1" applyFill="1" applyBorder="1" applyAlignment="1">
      <alignment horizontal="right" vertical="center" wrapText="1"/>
    </xf>
    <xf numFmtId="0" fontId="3" fillId="0" borderId="43" xfId="0" applyFont="1" applyFill="1" applyBorder="1" applyAlignment="1">
      <alignment horizontal="left" indent="2"/>
    </xf>
    <xf numFmtId="0" fontId="3" fillId="0" borderId="0" xfId="0" applyFont="1" applyFill="1" applyBorder="1"/>
    <xf numFmtId="168" fontId="3" fillId="0" borderId="0" xfId="0" applyNumberFormat="1" applyFont="1" applyFill="1" applyBorder="1"/>
    <xf numFmtId="0" fontId="3" fillId="0" borderId="26" xfId="0" applyFont="1" applyFill="1" applyBorder="1" applyAlignment="1">
      <alignment horizontal="center"/>
    </xf>
    <xf numFmtId="0" fontId="15" fillId="0" borderId="34" xfId="0" applyFont="1" applyFill="1" applyBorder="1" applyAlignment="1">
      <alignment horizontal="center"/>
    </xf>
    <xf numFmtId="2" fontId="72" fillId="0" borderId="0" xfId="0" applyNumberFormat="1" applyFont="1" applyFill="1" applyBorder="1" applyAlignment="1">
      <alignment horizontal="center"/>
    </xf>
    <xf numFmtId="173" fontId="6" fillId="0" borderId="32" xfId="0" applyNumberFormat="1" applyFont="1" applyFill="1" applyBorder="1"/>
    <xf numFmtId="168" fontId="3" fillId="0" borderId="32" xfId="0" applyNumberFormat="1" applyFont="1" applyFill="1" applyBorder="1"/>
    <xf numFmtId="2" fontId="72" fillId="14" borderId="34" xfId="0" applyNumberFormat="1" applyFont="1" applyFill="1" applyBorder="1" applyAlignment="1">
      <alignment horizontal="center"/>
    </xf>
    <xf numFmtId="168" fontId="44" fillId="14" borderId="45" xfId="5" applyNumberFormat="1" applyFont="1" applyFill="1" applyBorder="1" applyAlignment="1">
      <alignment horizontal="right"/>
    </xf>
    <xf numFmtId="10" fontId="6" fillId="0" borderId="52" xfId="2" applyNumberFormat="1" applyFont="1" applyFill="1" applyBorder="1"/>
    <xf numFmtId="0" fontId="3" fillId="0" borderId="50" xfId="0" applyFont="1" applyFill="1" applyBorder="1"/>
    <xf numFmtId="0" fontId="3" fillId="0" borderId="67" xfId="0" applyFont="1" applyFill="1" applyBorder="1"/>
    <xf numFmtId="10" fontId="15" fillId="0" borderId="4" xfId="2" applyNumberFormat="1" applyFont="1" applyFill="1" applyBorder="1" applyAlignment="1">
      <alignment horizontal="center"/>
    </xf>
    <xf numFmtId="164" fontId="82" fillId="0" borderId="6" xfId="2" applyNumberFormat="1" applyFont="1" applyFill="1" applyBorder="1" applyAlignment="1">
      <alignment horizontal="center" vertical="center" wrapText="1"/>
    </xf>
    <xf numFmtId="0" fontId="3" fillId="0" borderId="68" xfId="0" applyFont="1" applyFill="1" applyBorder="1" applyAlignment="1">
      <alignment horizontal="center"/>
    </xf>
    <xf numFmtId="164" fontId="24" fillId="0" borderId="12" xfId="2" applyNumberFormat="1" applyFont="1" applyFill="1" applyBorder="1" applyAlignment="1">
      <alignment horizontal="center"/>
    </xf>
    <xf numFmtId="0" fontId="22" fillId="0" borderId="36" xfId="0" applyFont="1" applyFill="1" applyBorder="1" applyAlignment="1">
      <alignment horizontal="center"/>
    </xf>
    <xf numFmtId="164" fontId="3" fillId="0" borderId="12" xfId="2" applyNumberFormat="1" applyFont="1" applyFill="1" applyBorder="1" applyAlignment="1">
      <alignment horizontal="center"/>
    </xf>
    <xf numFmtId="0" fontId="64" fillId="5" borderId="8" xfId="0" applyFont="1" applyFill="1" applyBorder="1" applyAlignment="1">
      <alignment vertical="center"/>
    </xf>
    <xf numFmtId="0" fontId="64" fillId="5" borderId="0" xfId="0" applyFont="1" applyFill="1" applyBorder="1" applyAlignment="1">
      <alignment vertical="center" wrapText="1"/>
    </xf>
    <xf numFmtId="0" fontId="6" fillId="0" borderId="11" xfId="0" applyFont="1" applyFill="1" applyBorder="1"/>
    <xf numFmtId="0" fontId="6" fillId="0" borderId="9" xfId="0" applyFont="1" applyFill="1" applyBorder="1"/>
    <xf numFmtId="0" fontId="8" fillId="5" borderId="10" xfId="0" applyFont="1" applyFill="1" applyBorder="1" applyAlignment="1">
      <alignment horizontal="center" vertical="center"/>
    </xf>
    <xf numFmtId="0" fontId="8" fillId="5" borderId="2" xfId="0" applyFont="1" applyFill="1" applyBorder="1" applyAlignment="1">
      <alignment horizontal="center" vertical="center"/>
    </xf>
    <xf numFmtId="0" fontId="66" fillId="0" borderId="0" xfId="0" applyFont="1" applyFill="1" applyBorder="1" applyAlignment="1">
      <alignment horizontal="center"/>
    </xf>
    <xf numFmtId="164" fontId="24" fillId="0" borderId="12" xfId="2" applyNumberFormat="1" applyFont="1" applyFill="1" applyBorder="1" applyAlignment="1">
      <alignment horizontal="center"/>
    </xf>
    <xf numFmtId="164" fontId="24" fillId="0" borderId="13" xfId="2" applyNumberFormat="1" applyFont="1" applyFill="1" applyBorder="1" applyAlignment="1">
      <alignment horizontal="center"/>
    </xf>
    <xf numFmtId="164" fontId="24" fillId="0" borderId="14" xfId="2" applyNumberFormat="1" applyFont="1" applyFill="1" applyBorder="1" applyAlignment="1">
      <alignment horizontal="center"/>
    </xf>
    <xf numFmtId="0" fontId="3" fillId="0" borderId="68" xfId="0" applyFont="1" applyFill="1" applyBorder="1" applyAlignment="1">
      <alignment horizontal="center"/>
    </xf>
    <xf numFmtId="0" fontId="3" fillId="0" borderId="53" xfId="0" applyFont="1" applyFill="1" applyBorder="1" applyAlignment="1">
      <alignment horizontal="center"/>
    </xf>
    <xf numFmtId="0" fontId="3" fillId="0" borderId="58" xfId="0" applyFont="1" applyFill="1" applyBorder="1" applyAlignment="1">
      <alignment horizontal="center"/>
    </xf>
    <xf numFmtId="0" fontId="22" fillId="0" borderId="36" xfId="0" applyFont="1" applyFill="1" applyBorder="1" applyAlignment="1">
      <alignment horizontal="center"/>
    </xf>
    <xf numFmtId="0" fontId="22" fillId="0" borderId="37" xfId="0" applyFont="1" applyFill="1" applyBorder="1" applyAlignment="1">
      <alignment horizontal="center"/>
    </xf>
    <xf numFmtId="0" fontId="22" fillId="0" borderId="38" xfId="0" applyFont="1" applyFill="1" applyBorder="1" applyAlignment="1">
      <alignment horizontal="center"/>
    </xf>
    <xf numFmtId="164" fontId="3" fillId="0" borderId="12" xfId="2" applyNumberFormat="1" applyFont="1" applyFill="1" applyBorder="1" applyAlignment="1">
      <alignment horizontal="center"/>
    </xf>
    <xf numFmtId="164" fontId="3" fillId="0" borderId="13" xfId="2" applyNumberFormat="1" applyFont="1" applyFill="1" applyBorder="1" applyAlignment="1">
      <alignment horizontal="center"/>
    </xf>
    <xf numFmtId="164" fontId="3" fillId="0" borderId="14" xfId="2" applyNumberFormat="1" applyFont="1" applyFill="1" applyBorder="1" applyAlignment="1">
      <alignment horizontal="center"/>
    </xf>
    <xf numFmtId="0" fontId="49" fillId="0" borderId="0" xfId="0" applyFont="1" applyBorder="1" applyAlignment="1">
      <alignment horizontal="center" vertical="center"/>
    </xf>
    <xf numFmtId="0" fontId="49" fillId="0" borderId="0" xfId="0" applyFont="1" applyBorder="1" applyAlignment="1">
      <alignment horizontal="center"/>
    </xf>
    <xf numFmtId="0" fontId="54" fillId="0" borderId="12"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14" xfId="0" applyFont="1" applyBorder="1" applyAlignment="1">
      <alignment horizontal="center" vertical="center" wrapText="1"/>
    </xf>
    <xf numFmtId="0" fontId="56" fillId="6" borderId="1" xfId="0" applyFont="1" applyFill="1" applyBorder="1" applyAlignment="1">
      <alignment horizontal="center" vertical="center" wrapText="1"/>
    </xf>
    <xf numFmtId="0" fontId="56" fillId="6" borderId="2" xfId="0" applyFont="1" applyFill="1" applyBorder="1" applyAlignment="1">
      <alignment horizontal="center" vertical="center" wrapText="1"/>
    </xf>
    <xf numFmtId="0" fontId="56" fillId="6" borderId="3" xfId="0" applyFont="1" applyFill="1" applyBorder="1" applyAlignment="1">
      <alignment horizontal="center" vertical="center" wrapText="1"/>
    </xf>
    <xf numFmtId="0" fontId="67" fillId="0" borderId="19" xfId="0" applyFont="1" applyBorder="1" applyAlignment="1">
      <alignment horizontal="center" vertical="center" wrapText="1"/>
    </xf>
    <xf numFmtId="0" fontId="67" fillId="0" borderId="15" xfId="0" applyFont="1" applyBorder="1" applyAlignment="1">
      <alignment horizontal="center" vertical="center" wrapText="1"/>
    </xf>
    <xf numFmtId="0" fontId="67" fillId="0" borderId="20" xfId="0" applyFont="1" applyBorder="1" applyAlignment="1">
      <alignment horizontal="center" vertical="center" wrapText="1"/>
    </xf>
    <xf numFmtId="0" fontId="67" fillId="0" borderId="16" xfId="0" applyFont="1" applyBorder="1" applyAlignment="1">
      <alignment horizontal="center" vertical="center" wrapText="1"/>
    </xf>
    <xf numFmtId="0" fontId="67" fillId="0" borderId="12" xfId="0" applyFont="1" applyBorder="1" applyAlignment="1">
      <alignment horizontal="center"/>
    </xf>
    <xf numFmtId="0" fontId="67" fillId="0" borderId="14" xfId="0" applyFont="1" applyBorder="1" applyAlignment="1">
      <alignment horizontal="center"/>
    </xf>
    <xf numFmtId="0" fontId="3" fillId="8" borderId="0" xfId="0" applyNumberFormat="1" applyFont="1" applyFill="1" applyAlignment="1">
      <alignment horizontal="center"/>
    </xf>
    <xf numFmtId="0" fontId="3" fillId="11" borderId="1" xfId="0" applyNumberFormat="1" applyFont="1" applyFill="1" applyBorder="1" applyAlignment="1">
      <alignment horizontal="left" vertical="center" wrapText="1"/>
    </xf>
    <xf numFmtId="0" fontId="3" fillId="11" borderId="3" xfId="0" applyNumberFormat="1" applyFont="1" applyFill="1" applyBorder="1" applyAlignment="1">
      <alignment horizontal="left" vertical="center" wrapText="1"/>
    </xf>
    <xf numFmtId="179" fontId="3" fillId="11" borderId="1" xfId="0" applyNumberFormat="1" applyFont="1" applyFill="1" applyBorder="1" applyAlignment="1">
      <alignment horizontal="left"/>
    </xf>
    <xf numFmtId="179" fontId="3" fillId="11" borderId="3" xfId="0" applyNumberFormat="1" applyFont="1" applyFill="1" applyBorder="1" applyAlignment="1">
      <alignment horizontal="left"/>
    </xf>
    <xf numFmtId="0" fontId="28" fillId="0" borderId="12" xfId="0" applyFont="1" applyBorder="1" applyAlignment="1">
      <alignment horizontal="left" wrapText="1"/>
    </xf>
    <xf numFmtId="0" fontId="28" fillId="0" borderId="14" xfId="0" applyFont="1" applyBorder="1" applyAlignment="1">
      <alignment horizontal="left" wrapText="1"/>
    </xf>
    <xf numFmtId="0" fontId="38" fillId="0" borderId="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4" fillId="0" borderId="0" xfId="3" applyNumberFormat="1" applyFont="1" applyBorder="1" applyAlignment="1" applyProtection="1">
      <alignment horizontal="center" vertical="center"/>
    </xf>
  </cellXfs>
  <cellStyles count="6">
    <cellStyle name="Comma" xfId="5" builtinId="3"/>
    <cellStyle name="Currency" xfId="1" builtinId="4"/>
    <cellStyle name="Hyperlink" xfId="3" builtinId="8"/>
    <cellStyle name="Normal" xfId="0" builtinId="0"/>
    <cellStyle name="Percent" xfId="2" builtinId="5"/>
    <cellStyle name="Percent 2" xfId="4" xr:uid="{00000000-0005-0000-0000-000005000000}"/>
  </cellStyles>
  <dxfs count="20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font>
    </dxf>
    <dxf>
      <fill>
        <patternFill patternType="none">
          <bgColor auto="1"/>
        </patternFill>
      </fill>
    </dxf>
    <dxf>
      <fill>
        <patternFill patternType="none">
          <bgColor auto="1"/>
        </patternFill>
      </fill>
    </dxf>
    <dxf>
      <font>
        <color auto="1"/>
      </font>
      <fill>
        <patternFill>
          <bgColor rgb="FF00B050"/>
        </patternFill>
      </fill>
    </dxf>
    <dxf>
      <font>
        <color auto="1"/>
      </font>
      <fill>
        <patternFill>
          <bgColor rgb="FF00B05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ont>
        <color theme="0" tint="-0.14996795556505021"/>
      </font>
      <fill>
        <patternFill>
          <bgColor theme="0" tint="-0.14996795556505021"/>
        </patternFill>
      </fill>
    </dxf>
    <dxf>
      <fill>
        <patternFill>
          <bgColor rgb="FF00B050"/>
        </patternFill>
      </fill>
    </dxf>
    <dxf>
      <fill>
        <patternFill>
          <bgColor rgb="FFFF0000"/>
        </patternFill>
      </fill>
    </dxf>
    <dxf>
      <font>
        <color theme="0"/>
      </font>
      <fill>
        <patternFill>
          <bgColor theme="0"/>
        </patternFill>
      </fill>
    </dxf>
    <dxf>
      <font>
        <color rgb="FF0070C0"/>
      </font>
      <fill>
        <patternFill>
          <bgColor theme="0"/>
        </patternFill>
      </fill>
    </dxf>
    <dxf>
      <font>
        <color rgb="FF0070C0"/>
      </font>
      <fill>
        <patternFill>
          <bgColor theme="0"/>
        </patternFill>
      </fill>
    </dxf>
    <dxf>
      <font>
        <color theme="0"/>
      </font>
      <fill>
        <patternFill>
          <bgColor theme="0"/>
        </patternFill>
      </fill>
    </dxf>
    <dxf>
      <fill>
        <patternFill>
          <bgColor rgb="FFFF0000"/>
        </patternFill>
      </fill>
    </dxf>
    <dxf>
      <fill>
        <patternFill>
          <bgColor rgb="FF00B05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ont>
        <color theme="4"/>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theme="3" tint="0.39994506668294322"/>
      </font>
      <fill>
        <patternFill patternType="none">
          <bgColor auto="1"/>
        </patternFill>
      </fill>
    </dxf>
    <dxf>
      <font>
        <color auto="1"/>
      </font>
      <fill>
        <patternFill patternType="none">
          <bgColor auto="1"/>
        </patternFill>
      </fill>
    </dxf>
    <dxf>
      <font>
        <color theme="0" tint="-0.14996795556505021"/>
      </font>
      <fill>
        <patternFill>
          <bgColor theme="0" tint="-0.14996795556505021"/>
        </patternFill>
      </fill>
    </dxf>
    <dxf>
      <fill>
        <patternFill>
          <bgColor theme="0"/>
        </patternFill>
      </fill>
    </dxf>
    <dxf>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bgColor rgb="FFFF0000"/>
        </patternFill>
      </fill>
    </dxf>
    <dxf>
      <font>
        <color theme="0" tint="-0.14996795556505021"/>
      </font>
      <fill>
        <patternFill>
          <bgColor theme="0" tint="-0.14996795556505021"/>
        </patternFill>
      </fill>
    </dxf>
    <dxf>
      <fill>
        <patternFill>
          <bgColor theme="0" tint="-0.14996795556505021"/>
        </patternFill>
      </fill>
    </dxf>
    <dxf>
      <fill>
        <patternFill patternType="none">
          <bgColor auto="1"/>
        </patternFill>
      </fill>
    </dxf>
    <dxf>
      <fill>
        <patternFill>
          <bgColor rgb="FF00B050"/>
        </patternFill>
      </fill>
    </dxf>
    <dxf>
      <font>
        <color theme="0" tint="-0.14996795556505021"/>
      </font>
      <fill>
        <patternFill>
          <bgColor theme="0" tint="-0.14996795556505021"/>
        </patternFill>
      </fill>
    </dxf>
    <dxf>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ill>
        <patternFill>
          <bgColor rgb="FFFF0000"/>
        </patternFill>
      </fill>
    </dxf>
    <dxf>
      <font>
        <color theme="0" tint="-0.14996795556505021"/>
      </font>
      <fill>
        <patternFill>
          <bgColor theme="0" tint="-0.14996795556505021"/>
        </patternFill>
      </fill>
    </dxf>
    <dxf>
      <fill>
        <patternFill>
          <bgColor theme="0"/>
        </patternFill>
      </fill>
    </dxf>
    <dxf>
      <font>
        <color theme="0" tint="-0.14996795556505021"/>
      </font>
      <fill>
        <patternFill>
          <bgColor theme="0" tint="-0.14996795556505021"/>
        </patternFill>
      </fill>
    </dxf>
    <dxf>
      <fill>
        <patternFill>
          <bgColor rgb="FFFF0000"/>
        </patternFill>
      </fill>
    </dxf>
    <dxf>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color theme="0" tint="-0.14996795556505021"/>
      </font>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color theme="0"/>
      </font>
      <fill>
        <patternFill>
          <bgColor theme="0"/>
        </patternFill>
      </fill>
    </dxf>
    <dxf>
      <fill>
        <patternFill>
          <bgColor rgb="FF00B05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0" tint="-0.14996795556505021"/>
      </font>
      <fill>
        <patternFill>
          <bgColor theme="0" tint="-0.14996795556505021"/>
        </patternFill>
      </fill>
    </dxf>
    <dxf>
      <fill>
        <patternFill>
          <bgColor rgb="FFFF0000"/>
        </patternFill>
      </fill>
    </dxf>
    <dxf>
      <font>
        <color theme="0" tint="-0.14996795556505021"/>
      </font>
      <fill>
        <patternFill>
          <bgColor theme="0" tint="-0.14996795556505021"/>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0.14996795556505021"/>
      </font>
      <fill>
        <patternFill>
          <bgColor theme="0" tint="-0.1499679555650502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theme="0" tint="-0.14996795556505021"/>
      </font>
      <fill>
        <patternFill>
          <bgColor theme="0" tint="-0.14996795556505021"/>
        </patternFill>
      </fill>
    </dxf>
    <dxf>
      <font>
        <color auto="1"/>
      </font>
      <fill>
        <patternFill patternType="none">
          <bgColor auto="1"/>
        </patternFill>
      </fill>
    </dxf>
    <dxf>
      <font>
        <color rgb="FFFF000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3" tint="0.39994506668294322"/>
      </font>
      <fill>
        <patternFill>
          <bgColor rgb="FFFFFF99"/>
        </patternFill>
      </fill>
    </dxf>
    <dxf>
      <font>
        <color auto="1"/>
      </font>
      <fill>
        <patternFill patternType="none">
          <bgColor auto="1"/>
        </patternFill>
      </fill>
    </dxf>
    <dxf>
      <fill>
        <patternFill patternType="none">
          <bgColor auto="1"/>
        </patternFill>
      </fill>
    </dxf>
    <dxf>
      <font>
        <color theme="3" tint="0.39994506668294322"/>
      </font>
      <fill>
        <patternFill patternType="none">
          <bgColor auto="1"/>
        </patternFill>
      </fill>
    </dxf>
    <dxf>
      <font>
        <color theme="3" tint="0.39994506668294322"/>
      </font>
      <fill>
        <patternFill patternType="none">
          <bgColor auto="1"/>
        </patternFill>
      </fill>
    </dxf>
    <dxf>
      <font>
        <color theme="4"/>
      </font>
      <fill>
        <patternFill patternType="none">
          <bgColor auto="1"/>
        </patternFill>
      </fill>
    </dxf>
    <dxf>
      <font>
        <color auto="1"/>
      </font>
      <fill>
        <patternFill patternType="none">
          <bgColor auto="1"/>
        </patternFill>
      </fill>
    </dxf>
    <dxf>
      <font>
        <color auto="1"/>
      </font>
      <fill>
        <patternFill patternType="none">
          <bgColor auto="1"/>
        </patternFill>
      </fill>
    </dxf>
    <dxf>
      <font>
        <color theme="3" tint="0.39994506668294322"/>
      </font>
      <fill>
        <patternFill patternType="none">
          <bgColor auto="1"/>
        </patternFill>
      </fill>
    </dxf>
    <dxf>
      <font>
        <b/>
        <i val="0"/>
        <color rgb="FFFFFF00"/>
      </font>
      <fill>
        <patternFill>
          <bgColor rgb="FFFF0000"/>
        </patternFill>
      </fill>
    </dxf>
    <dxf>
      <font>
        <color theme="0" tint="-0.14996795556505021"/>
      </font>
      <fill>
        <patternFill>
          <bgColor theme="0" tint="-0.14996795556505021"/>
        </patternFill>
      </fill>
    </dxf>
    <dxf>
      <font>
        <b/>
        <i val="0"/>
        <color rgb="FFFFFF00"/>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9" defaultPivotStyle="PivotStyleLight16"/>
  <colors>
    <mruColors>
      <color rgb="FFFFFF99"/>
      <color rgb="FF00B050"/>
      <color rgb="FF009900"/>
      <color rgb="FFE658AD"/>
      <color rgb="FF000000"/>
      <color rgb="FF1C1C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1"/>
    </c:title>
    <c:autoTitleDeleted val="0"/>
    <c:plotArea>
      <c:layout/>
      <c:lineChart>
        <c:grouping val="standard"/>
        <c:varyColors val="0"/>
        <c:ser>
          <c:idx val="0"/>
          <c:order val="0"/>
          <c:tx>
            <c:strRef>
              <c:f>'Annual Cash Flows &amp; Returns'!$N$4</c:f>
              <c:strCache>
                <c:ptCount val="1"/>
                <c:pt idx="0">
                  <c:v>Cumulative Cash Flow</c:v>
                </c:pt>
              </c:strCache>
            </c:strRef>
          </c:tx>
          <c:marker>
            <c:symbol val="none"/>
          </c:marker>
          <c:cat>
            <c:numRef>
              <c:f>'Annual Cash Flows &amp; Returns'!$B$6:$B$36</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'Annual Cash Flows &amp; Returns'!$N$6:$N$36</c:f>
              <c:numCache>
                <c:formatCode>"$"#,##0_);[Red]\("$"#,##0\)</c:formatCode>
                <c:ptCount val="31"/>
                <c:pt idx="0">
                  <c:v>-79810656.836137891</c:v>
                </c:pt>
                <c:pt idx="1">
                  <c:v>-33623484.49071072</c:v>
                </c:pt>
                <c:pt idx="2">
                  <c:v>-18350106.40418569</c:v>
                </c:pt>
                <c:pt idx="3">
                  <c:v>-7554260.6627897602</c:v>
                </c:pt>
                <c:pt idx="4">
                  <c:v>695702.6274386039</c:v>
                </c:pt>
                <c:pt idx="5">
                  <c:v>8767738.8928548694</c:v>
                </c:pt>
                <c:pt idx="6">
                  <c:v>14735854.070586789</c:v>
                </c:pt>
                <c:pt idx="7">
                  <c:v>18565029.844944786</c:v>
                </c:pt>
                <c:pt idx="8">
                  <c:v>22183236.084017992</c:v>
                </c:pt>
                <c:pt idx="9">
                  <c:v>25582502.97816585</c:v>
                </c:pt>
                <c:pt idx="10">
                  <c:v>28754206.075443354</c:v>
                </c:pt>
                <c:pt idx="11">
                  <c:v>31689277.838581495</c:v>
                </c:pt>
                <c:pt idx="12">
                  <c:v>34300048.9257081</c:v>
                </c:pt>
                <c:pt idx="13">
                  <c:v>36421594.877002187</c:v>
                </c:pt>
                <c:pt idx="14">
                  <c:v>38053203.2286845</c:v>
                </c:pt>
                <c:pt idx="15">
                  <c:v>39193235.400248624</c:v>
                </c:pt>
                <c:pt idx="16">
                  <c:v>50438592.52638258</c:v>
                </c:pt>
                <c:pt idx="17">
                  <c:v>57815977.750905588</c:v>
                </c:pt>
                <c:pt idx="18">
                  <c:v>64904816.231829301</c:v>
                </c:pt>
                <c:pt idx="19">
                  <c:v>71713705.067410722</c:v>
                </c:pt>
                <c:pt idx="20">
                  <c:v>79192491.793345243</c:v>
                </c:pt>
                <c:pt idx="21">
                  <c:v>79383209.865362108</c:v>
                </c:pt>
                <c:pt idx="22">
                  <c:v>79531010.582593739</c:v>
                </c:pt>
                <c:pt idx="23">
                  <c:v>79653613.722867996</c:v>
                </c:pt>
                <c:pt idx="24">
                  <c:v>79750819.486461371</c:v>
                </c:pt>
                <c:pt idx="25">
                  <c:v>82377292.758432016</c:v>
                </c:pt>
                <c:pt idx="26">
                  <c:v>82377292.758432016</c:v>
                </c:pt>
                <c:pt idx="27">
                  <c:v>82377292.758432016</c:v>
                </c:pt>
                <c:pt idx="28">
                  <c:v>82377292.758432016</c:v>
                </c:pt>
                <c:pt idx="29">
                  <c:v>82377292.758432016</c:v>
                </c:pt>
                <c:pt idx="30">
                  <c:v>82377292.758432016</c:v>
                </c:pt>
              </c:numCache>
            </c:numRef>
          </c:val>
          <c:smooth val="0"/>
          <c:extLst>
            <c:ext xmlns:c16="http://schemas.microsoft.com/office/drawing/2014/chart" uri="{C3380CC4-5D6E-409C-BE32-E72D297353CC}">
              <c16:uniqueId val="{00000000-E27D-3C44-80BB-899820EFDC32}"/>
            </c:ext>
          </c:extLst>
        </c:ser>
        <c:dLbls>
          <c:showLegendKey val="0"/>
          <c:showVal val="0"/>
          <c:showCatName val="0"/>
          <c:showSerName val="0"/>
          <c:showPercent val="0"/>
          <c:showBubbleSize val="0"/>
        </c:dLbls>
        <c:smooth val="0"/>
        <c:axId val="136877184"/>
        <c:axId val="107683840"/>
      </c:lineChart>
      <c:catAx>
        <c:axId val="136877184"/>
        <c:scaling>
          <c:orientation val="minMax"/>
        </c:scaling>
        <c:delete val="0"/>
        <c:axPos val="b"/>
        <c:title>
          <c:tx>
            <c:rich>
              <a:bodyPr/>
              <a:lstStyle/>
              <a:p>
                <a:pPr>
                  <a:defRPr sz="1100"/>
                </a:pPr>
                <a:r>
                  <a:rPr lang="en-US" sz="1100"/>
                  <a:t>Project Year</a:t>
                </a:r>
              </a:p>
            </c:rich>
          </c:tx>
          <c:overlay val="0"/>
        </c:title>
        <c:numFmt formatCode="General" sourceLinked="1"/>
        <c:majorTickMark val="out"/>
        <c:minorTickMark val="none"/>
        <c:tickLblPos val="nextTo"/>
        <c:crossAx val="107683840"/>
        <c:crosses val="autoZero"/>
        <c:auto val="1"/>
        <c:lblAlgn val="ctr"/>
        <c:lblOffset val="100"/>
        <c:tickLblSkip val="5"/>
        <c:noMultiLvlLbl val="0"/>
      </c:catAx>
      <c:valAx>
        <c:axId val="107683840"/>
        <c:scaling>
          <c:orientation val="minMax"/>
        </c:scaling>
        <c:delete val="0"/>
        <c:axPos val="l"/>
        <c:title>
          <c:tx>
            <c:rich>
              <a:bodyPr rot="-5400000" vert="horz"/>
              <a:lstStyle/>
              <a:p>
                <a:pPr>
                  <a:defRPr sz="1100" b="1"/>
                </a:pPr>
                <a:r>
                  <a:rPr lang="en-US" sz="1100" b="1"/>
                  <a:t>Cumulative Cash Flow ($)</a:t>
                </a:r>
              </a:p>
            </c:rich>
          </c:tx>
          <c:overlay val="0"/>
        </c:title>
        <c:numFmt formatCode="&quot;$&quot;#,##0_);[Red]\(&quot;$&quot;#,##0\)" sourceLinked="1"/>
        <c:majorTickMark val="out"/>
        <c:minorTickMark val="none"/>
        <c:tickLblPos val="nextTo"/>
        <c:crossAx val="136877184"/>
        <c:crosses val="autoZero"/>
        <c:crossBetween val="between"/>
      </c:valAx>
      <c:spPr>
        <a:solidFill>
          <a:srgbClr val="FFFF99"/>
        </a:solidFill>
      </c:spPr>
    </c:plotArea>
    <c:plotVisOnly val="1"/>
    <c:dispBlanksAs val="gap"/>
    <c:showDLblsOverMax val="0"/>
  </c:chart>
  <c:spPr>
    <a:solidFill>
      <a:srgbClr val="FFFF99"/>
    </a:solidFill>
  </c:spPr>
  <c:printSettings>
    <c:headerFooter/>
    <c:pageMargins b="0.75000000000001232" l="0.70000000000000062" r="0.70000000000000062" t="0.750000000000012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Revenue + Tax Benefits / (Loss) v. </a:t>
            </a:r>
          </a:p>
          <a:p>
            <a:pPr>
              <a:defRPr/>
            </a:pPr>
            <a:r>
              <a:rPr lang="en-US"/>
              <a:t>Expenses + Cash Obligations</a:t>
            </a:r>
          </a:p>
        </c:rich>
      </c:tx>
      <c:overlay val="1"/>
    </c:title>
    <c:autoTitleDeleted val="0"/>
    <c:plotArea>
      <c:layout/>
      <c:areaChart>
        <c:grouping val="standard"/>
        <c:varyColors val="0"/>
        <c:ser>
          <c:idx val="1"/>
          <c:order val="1"/>
          <c:tx>
            <c:strRef>
              <c:f>'Annual Cash Flows &amp; Returns'!$S$4</c:f>
              <c:strCache>
                <c:ptCount val="1"/>
                <c:pt idx="0">
                  <c:v>Expenses + Cash Obligations</c:v>
                </c:pt>
              </c:strCache>
            </c:strRef>
          </c:tx>
          <c:cat>
            <c:numRef>
              <c:f>'Annual Cash Flows &amp; Returns'!$B$6:$B$36</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'Annual Cash Flows &amp; Returns'!$S$6:$S$36</c:f>
              <c:numCache>
                <c:formatCode>"$"#,##0_);[Red]\("$"#,##0\)</c:formatCode>
                <c:ptCount val="31"/>
                <c:pt idx="1">
                  <c:v>11787040.320315398</c:v>
                </c:pt>
                <c:pt idx="2">
                  <c:v>11846758.353516649</c:v>
                </c:pt>
                <c:pt idx="3">
                  <c:v>11907492.781307898</c:v>
                </c:pt>
                <c:pt idx="4">
                  <c:v>11969259.724673947</c:v>
                </c:pt>
                <c:pt idx="5">
                  <c:v>12032075.572112434</c:v>
                </c:pt>
                <c:pt idx="6">
                  <c:v>12095956.984127112</c:v>
                </c:pt>
                <c:pt idx="7">
                  <c:v>12160920.897798393</c:v>
                </c:pt>
                <c:pt idx="8">
                  <c:v>12226984.53143256</c:v>
                </c:pt>
                <c:pt idx="9">
                  <c:v>12294165.38929099</c:v>
                </c:pt>
                <c:pt idx="10">
                  <c:v>12362481.266400833</c:v>
                </c:pt>
                <c:pt idx="11">
                  <c:v>12431950.253448542</c:v>
                </c:pt>
                <c:pt idx="12">
                  <c:v>12465059.069730576</c:v>
                </c:pt>
                <c:pt idx="13">
                  <c:v>12421460.640143193</c:v>
                </c:pt>
                <c:pt idx="14">
                  <c:v>12379146.216662629</c:v>
                </c:pt>
                <c:pt idx="15">
                  <c:v>12338101.550231494</c:v>
                </c:pt>
                <c:pt idx="16">
                  <c:v>1670557.6050816383</c:v>
                </c:pt>
                <c:pt idx="17">
                  <c:v>5174597.4412290454</c:v>
                </c:pt>
                <c:pt idx="18">
                  <c:v>5137282.9961515656</c:v>
                </c:pt>
                <c:pt idx="19">
                  <c:v>5101187.6969963536</c:v>
                </c:pt>
                <c:pt idx="20">
                  <c:v>5611478.5887963912</c:v>
                </c:pt>
                <c:pt idx="21">
                  <c:v>5227060.9003470149</c:v>
                </c:pt>
                <c:pt idx="22">
                  <c:v>5201151.9395301687</c:v>
                </c:pt>
                <c:pt idx="23">
                  <c:v>5176091.6713925172</c:v>
                </c:pt>
                <c:pt idx="24">
                  <c:v>5151882.5809455505</c:v>
                </c:pt>
                <c:pt idx="25">
                  <c:v>2557253.2944556484</c:v>
                </c:pt>
                <c:pt idx="26">
                  <c:v>0</c:v>
                </c:pt>
                <c:pt idx="27">
                  <c:v>0</c:v>
                </c:pt>
                <c:pt idx="28">
                  <c:v>0</c:v>
                </c:pt>
                <c:pt idx="29">
                  <c:v>0</c:v>
                </c:pt>
                <c:pt idx="30">
                  <c:v>0</c:v>
                </c:pt>
              </c:numCache>
            </c:numRef>
          </c:val>
          <c:extLst>
            <c:ext xmlns:c16="http://schemas.microsoft.com/office/drawing/2014/chart" uri="{C3380CC4-5D6E-409C-BE32-E72D297353CC}">
              <c16:uniqueId val="{00000000-A9DE-7641-AD22-10AD5B79777D}"/>
            </c:ext>
          </c:extLst>
        </c:ser>
        <c:dLbls>
          <c:showLegendKey val="0"/>
          <c:showVal val="0"/>
          <c:showCatName val="0"/>
          <c:showSerName val="0"/>
          <c:showPercent val="0"/>
          <c:showBubbleSize val="0"/>
        </c:dLbls>
        <c:axId val="107725568"/>
        <c:axId val="107727488"/>
      </c:areaChart>
      <c:lineChart>
        <c:grouping val="standard"/>
        <c:varyColors val="0"/>
        <c:ser>
          <c:idx val="0"/>
          <c:order val="0"/>
          <c:tx>
            <c:strRef>
              <c:f>'Annual Cash Flows &amp; Returns'!$R$4</c:f>
              <c:strCache>
                <c:ptCount val="1"/>
                <c:pt idx="0">
                  <c:v>Revenue + Tax Benefit/(Loss)</c:v>
                </c:pt>
              </c:strCache>
            </c:strRef>
          </c:tx>
          <c:marker>
            <c:symbol val="none"/>
          </c:marker>
          <c:cat>
            <c:numRef>
              <c:f>'Annual Cash Flows &amp; Returns'!$B$6:$B$36</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'Annual Cash Flows &amp; Returns'!$R$6:$R$36</c:f>
              <c:numCache>
                <c:formatCode>"$"#,##0_);[Red]\("$"#,##0\)</c:formatCode>
                <c:ptCount val="31"/>
                <c:pt idx="1">
                  <c:v>57974212.665742569</c:v>
                </c:pt>
                <c:pt idx="2">
                  <c:v>27120136.44004168</c:v>
                </c:pt>
                <c:pt idx="3">
                  <c:v>22703338.522703826</c:v>
                </c:pt>
                <c:pt idx="4">
                  <c:v>20219223.014902316</c:v>
                </c:pt>
                <c:pt idx="5">
                  <c:v>20104111.837528698</c:v>
                </c:pt>
                <c:pt idx="6">
                  <c:v>18064072.161859028</c:v>
                </c:pt>
                <c:pt idx="7">
                  <c:v>15990096.67215639</c:v>
                </c:pt>
                <c:pt idx="8">
                  <c:v>15845190.770505765</c:v>
                </c:pt>
                <c:pt idx="9">
                  <c:v>15693432.28343885</c:v>
                </c:pt>
                <c:pt idx="10">
                  <c:v>15534184.363678336</c:v>
                </c:pt>
                <c:pt idx="11">
                  <c:v>15367022.016586682</c:v>
                </c:pt>
                <c:pt idx="12">
                  <c:v>15075830.156857178</c:v>
                </c:pt>
                <c:pt idx="13">
                  <c:v>14543006.59143728</c:v>
                </c:pt>
                <c:pt idx="14">
                  <c:v>14010754.56834494</c:v>
                </c:pt>
                <c:pt idx="15">
                  <c:v>13478133.721795619</c:v>
                </c:pt>
                <c:pt idx="16">
                  <c:v>12915914.731215592</c:v>
                </c:pt>
                <c:pt idx="17">
                  <c:v>12551982.665752055</c:v>
                </c:pt>
                <c:pt idx="18">
                  <c:v>12226121.477075282</c:v>
                </c:pt>
                <c:pt idx="19">
                  <c:v>11910076.532577777</c:v>
                </c:pt>
                <c:pt idx="20">
                  <c:v>13090265.314730914</c:v>
                </c:pt>
                <c:pt idx="21">
                  <c:v>5417778.9723638846</c:v>
                </c:pt>
                <c:pt idx="22">
                  <c:v>5348952.6567617953</c:v>
                </c:pt>
                <c:pt idx="23">
                  <c:v>5298694.8116667736</c:v>
                </c:pt>
                <c:pt idx="24">
                  <c:v>5249088.3445389206</c:v>
                </c:pt>
                <c:pt idx="25">
                  <c:v>5183726.5664263004</c:v>
                </c:pt>
                <c:pt idx="26">
                  <c:v>0</c:v>
                </c:pt>
                <c:pt idx="27">
                  <c:v>0</c:v>
                </c:pt>
                <c:pt idx="28">
                  <c:v>0</c:v>
                </c:pt>
                <c:pt idx="29">
                  <c:v>0</c:v>
                </c:pt>
                <c:pt idx="30">
                  <c:v>0</c:v>
                </c:pt>
              </c:numCache>
            </c:numRef>
          </c:val>
          <c:smooth val="0"/>
          <c:extLst>
            <c:ext xmlns:c16="http://schemas.microsoft.com/office/drawing/2014/chart" uri="{C3380CC4-5D6E-409C-BE32-E72D297353CC}">
              <c16:uniqueId val="{00000001-A9DE-7641-AD22-10AD5B79777D}"/>
            </c:ext>
          </c:extLst>
        </c:ser>
        <c:dLbls>
          <c:showLegendKey val="0"/>
          <c:showVal val="0"/>
          <c:showCatName val="0"/>
          <c:showSerName val="0"/>
          <c:showPercent val="0"/>
          <c:showBubbleSize val="0"/>
        </c:dLbls>
        <c:marker val="1"/>
        <c:smooth val="0"/>
        <c:axId val="107725568"/>
        <c:axId val="107727488"/>
      </c:lineChart>
      <c:catAx>
        <c:axId val="107725568"/>
        <c:scaling>
          <c:orientation val="minMax"/>
        </c:scaling>
        <c:delete val="0"/>
        <c:axPos val="b"/>
        <c:title>
          <c:tx>
            <c:rich>
              <a:bodyPr/>
              <a:lstStyle/>
              <a:p>
                <a:pPr>
                  <a:defRPr sz="1100"/>
                </a:pPr>
                <a:r>
                  <a:rPr lang="en-US" sz="1100"/>
                  <a:t>Project Year</a:t>
                </a:r>
              </a:p>
            </c:rich>
          </c:tx>
          <c:overlay val="0"/>
        </c:title>
        <c:numFmt formatCode="General" sourceLinked="1"/>
        <c:majorTickMark val="out"/>
        <c:minorTickMark val="none"/>
        <c:tickLblPos val="nextTo"/>
        <c:crossAx val="107727488"/>
        <c:crosses val="autoZero"/>
        <c:auto val="1"/>
        <c:lblAlgn val="ctr"/>
        <c:lblOffset val="100"/>
        <c:tickLblSkip val="5"/>
        <c:noMultiLvlLbl val="0"/>
      </c:catAx>
      <c:valAx>
        <c:axId val="107727488"/>
        <c:scaling>
          <c:orientation val="minMax"/>
        </c:scaling>
        <c:delete val="0"/>
        <c:axPos val="l"/>
        <c:title>
          <c:tx>
            <c:rich>
              <a:bodyPr rot="-5400000" vert="horz"/>
              <a:lstStyle/>
              <a:p>
                <a:pPr>
                  <a:defRPr sz="1100" b="1"/>
                </a:pPr>
                <a:r>
                  <a:rPr lang="en-US" sz="1100" b="1"/>
                  <a:t>( $)</a:t>
                </a:r>
              </a:p>
            </c:rich>
          </c:tx>
          <c:overlay val="0"/>
        </c:title>
        <c:numFmt formatCode="&quot;$&quot;#,##0" sourceLinked="0"/>
        <c:majorTickMark val="out"/>
        <c:minorTickMark val="none"/>
        <c:tickLblPos val="nextTo"/>
        <c:crossAx val="107725568"/>
        <c:crosses val="autoZero"/>
        <c:crossBetween val="between"/>
      </c:valAx>
      <c:spPr>
        <a:solidFill>
          <a:srgbClr val="FFFF99"/>
        </a:solidFill>
      </c:spPr>
    </c:plotArea>
    <c:legend>
      <c:legendPos val="r"/>
      <c:overlay val="1"/>
    </c:legend>
    <c:plotVisOnly val="1"/>
    <c:dispBlanksAs val="gap"/>
    <c:showDLblsOverMax val="0"/>
  </c:chart>
  <c:spPr>
    <a:solidFill>
      <a:srgbClr val="FFFF99"/>
    </a:solidFill>
  </c:spPr>
  <c:printSettings>
    <c:headerFooter/>
    <c:pageMargins b="0.75000000000001255" l="0.70000000000000062" r="0.70000000000000062" t="0.75000000000001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Resource Potential &amp; Production Profile 
(kWh/yr)</a:t>
            </a:r>
          </a:p>
        </c:rich>
      </c:tx>
      <c:layout>
        <c:manualLayout>
          <c:xMode val="edge"/>
          <c:yMode val="edge"/>
          <c:x val="0.31031339963734528"/>
          <c:y val="2.2434667862397256E-2"/>
        </c:manualLayout>
      </c:layout>
      <c:overlay val="1"/>
    </c:title>
    <c:autoTitleDeleted val="0"/>
    <c:plotArea>
      <c:layout>
        <c:manualLayout>
          <c:layoutTarget val="inner"/>
          <c:xMode val="edge"/>
          <c:yMode val="edge"/>
          <c:x val="0.24093901287327982"/>
          <c:y val="3.584743142814141E-2"/>
          <c:w val="0.73462414939775245"/>
          <c:h val="0.79081337430899334"/>
        </c:manualLayout>
      </c:layout>
      <c:lineChart>
        <c:grouping val="standard"/>
        <c:varyColors val="0"/>
        <c:ser>
          <c:idx val="0"/>
          <c:order val="0"/>
          <c:tx>
            <c:strRef>
              <c:f>'Cash Flow'!$B$212</c:f>
              <c:strCache>
                <c:ptCount val="1"/>
                <c:pt idx="0">
                  <c:v>Initial Drilling (no upgrades)</c:v>
                </c:pt>
              </c:strCache>
            </c:strRef>
          </c:tx>
          <c:spPr>
            <a:ln w="19050"/>
          </c:spPr>
          <c:marker>
            <c:symbol val="none"/>
          </c:marker>
          <c:val>
            <c:numRef>
              <c:f>'Cash Flow'!$G$212:$AJ$212</c:f>
              <c:numCache>
                <c:formatCode>#,##0</c:formatCode>
                <c:ptCount val="30"/>
                <c:pt idx="0">
                  <c:v>138315789.47368422</c:v>
                </c:pt>
                <c:pt idx="1">
                  <c:v>134166315.7894737</c:v>
                </c:pt>
                <c:pt idx="2">
                  <c:v>130141326.31578948</c:v>
                </c:pt>
                <c:pt idx="3">
                  <c:v>126237086.52631579</c:v>
                </c:pt>
                <c:pt idx="4">
                  <c:v>122449973.93052632</c:v>
                </c:pt>
                <c:pt idx="5">
                  <c:v>118776474.71261053</c:v>
                </c:pt>
                <c:pt idx="6">
                  <c:v>115213180.47123221</c:v>
                </c:pt>
                <c:pt idx="7">
                  <c:v>111756785.05709523</c:v>
                </c:pt>
                <c:pt idx="8">
                  <c:v>108404081.50538237</c:v>
                </c:pt>
                <c:pt idx="9">
                  <c:v>105151959.0602209</c:v>
                </c:pt>
                <c:pt idx="10">
                  <c:v>101997400.28841427</c:v>
                </c:pt>
                <c:pt idx="11">
                  <c:v>98937478.279761836</c:v>
                </c:pt>
                <c:pt idx="12">
                  <c:v>95969353.931368977</c:v>
                </c:pt>
                <c:pt idx="13">
                  <c:v>93090273.31342791</c:v>
                </c:pt>
                <c:pt idx="14">
                  <c:v>90297565.114025071</c:v>
                </c:pt>
                <c:pt idx="15">
                  <c:v>87588638.160604313</c:v>
                </c:pt>
                <c:pt idx="16">
                  <c:v>84960979.015786186</c:v>
                </c:pt>
                <c:pt idx="17">
                  <c:v>82412149.645312592</c:v>
                </c:pt>
                <c:pt idx="18">
                  <c:v>79939785.155953214</c:v>
                </c:pt>
                <c:pt idx="19">
                  <c:v>77541591.60127461</c:v>
                </c:pt>
                <c:pt idx="20">
                  <c:v>75215343.853236362</c:v>
                </c:pt>
                <c:pt idx="21">
                  <c:v>72958883.537639275</c:v>
                </c:pt>
                <c:pt idx="22">
                  <c:v>70770117.0315101</c:v>
                </c:pt>
                <c:pt idx="23">
                  <c:v>68647013.520564795</c:v>
                </c:pt>
                <c:pt idx="24">
                  <c:v>66587603.114947848</c:v>
                </c:pt>
                <c:pt idx="25">
                  <c:v>64589975.02149941</c:v>
                </c:pt>
                <c:pt idx="26">
                  <c:v>62652275.770854428</c:v>
                </c:pt>
                <c:pt idx="27">
                  <c:v>60772707.497728795</c:v>
                </c:pt>
                <c:pt idx="28">
                  <c:v>58949526.272796929</c:v>
                </c:pt>
                <c:pt idx="29">
                  <c:v>57181040.484613016</c:v>
                </c:pt>
              </c:numCache>
            </c:numRef>
          </c:val>
          <c:smooth val="0"/>
          <c:extLst>
            <c:ext xmlns:c16="http://schemas.microsoft.com/office/drawing/2014/chart" uri="{C3380CC4-5D6E-409C-BE32-E72D297353CC}">
              <c16:uniqueId val="{00000000-EF9B-494D-9A68-FCBF1C37002E}"/>
            </c:ext>
          </c:extLst>
        </c:ser>
        <c:ser>
          <c:idx val="1"/>
          <c:order val="1"/>
          <c:tx>
            <c:strRef>
              <c:f>'Cash Flow'!$B$213</c:f>
              <c:strCache>
                <c:ptCount val="1"/>
                <c:pt idx="0">
                  <c:v>With First Upgrade</c:v>
                </c:pt>
              </c:strCache>
            </c:strRef>
          </c:tx>
          <c:spPr>
            <a:ln w="19050">
              <a:solidFill>
                <a:schemeClr val="accent6">
                  <a:lumMod val="75000"/>
                </a:schemeClr>
              </a:solidFill>
            </a:ln>
          </c:spPr>
          <c:marker>
            <c:symbol val="none"/>
          </c:marker>
          <c:val>
            <c:numRef>
              <c:f>'Cash Flow'!$G$213:$AJ$213</c:f>
              <c:numCache>
                <c:formatCode>#,##0</c:formatCode>
                <c:ptCount val="30"/>
                <c:pt idx="0">
                  <c:v>138315789.47368422</c:v>
                </c:pt>
                <c:pt idx="1">
                  <c:v>134166315.7894737</c:v>
                </c:pt>
                <c:pt idx="2">
                  <c:v>130141326.31578948</c:v>
                </c:pt>
                <c:pt idx="3">
                  <c:v>126237086.52631579</c:v>
                </c:pt>
                <c:pt idx="4">
                  <c:v>122449973.93052632</c:v>
                </c:pt>
                <c:pt idx="5">
                  <c:v>118776474.71261053</c:v>
                </c:pt>
                <c:pt idx="6">
                  <c:v>115213180.47123221</c:v>
                </c:pt>
                <c:pt idx="7">
                  <c:v>111756785.05709523</c:v>
                </c:pt>
                <c:pt idx="8">
                  <c:v>108404081.50538237</c:v>
                </c:pt>
                <c:pt idx="9">
                  <c:v>112067748.5339051</c:v>
                </c:pt>
                <c:pt idx="10">
                  <c:v>108705716.07788795</c:v>
                </c:pt>
                <c:pt idx="11">
                  <c:v>105444544.59555131</c:v>
                </c:pt>
                <c:pt idx="12">
                  <c:v>102281208.25768477</c:v>
                </c:pt>
                <c:pt idx="13">
                  <c:v>99212772.009954214</c:v>
                </c:pt>
                <c:pt idx="14">
                  <c:v>96236388.849655584</c:v>
                </c:pt>
                <c:pt idx="15">
                  <c:v>93349297.18416591</c:v>
                </c:pt>
                <c:pt idx="16">
                  <c:v>90548818.268640935</c:v>
                </c:pt>
                <c:pt idx="17">
                  <c:v>87832353.72058171</c:v>
                </c:pt>
                <c:pt idx="18">
                  <c:v>85197383.108964249</c:v>
                </c:pt>
                <c:pt idx="19">
                  <c:v>82641461.615695313</c:v>
                </c:pt>
                <c:pt idx="20">
                  <c:v>80162217.767224446</c:v>
                </c:pt>
                <c:pt idx="21">
                  <c:v>77757351.234207705</c:v>
                </c:pt>
                <c:pt idx="22">
                  <c:v>75424630.697181478</c:v>
                </c:pt>
                <c:pt idx="23">
                  <c:v>73161891.776266038</c:v>
                </c:pt>
                <c:pt idx="24">
                  <c:v>70967035.022978052</c:v>
                </c:pt>
                <c:pt idx="25">
                  <c:v>68838023.972288713</c:v>
                </c:pt>
                <c:pt idx="26">
                  <c:v>66772883.25312005</c:v>
                </c:pt>
                <c:pt idx="27">
                  <c:v>64769696.755526446</c:v>
                </c:pt>
                <c:pt idx="28">
                  <c:v>62826605.852860652</c:v>
                </c:pt>
                <c:pt idx="29">
                  <c:v>60941807.677274831</c:v>
                </c:pt>
              </c:numCache>
            </c:numRef>
          </c:val>
          <c:smooth val="0"/>
          <c:extLst>
            <c:ext xmlns:c16="http://schemas.microsoft.com/office/drawing/2014/chart" uri="{C3380CC4-5D6E-409C-BE32-E72D297353CC}">
              <c16:uniqueId val="{00000001-EF9B-494D-9A68-FCBF1C37002E}"/>
            </c:ext>
          </c:extLst>
        </c:ser>
        <c:ser>
          <c:idx val="2"/>
          <c:order val="2"/>
          <c:tx>
            <c:strRef>
              <c:f>'Cash Flow'!$B$214</c:f>
              <c:strCache>
                <c:ptCount val="1"/>
                <c:pt idx="0">
                  <c:v>With Second Upgrade</c:v>
                </c:pt>
              </c:strCache>
            </c:strRef>
          </c:tx>
          <c:spPr>
            <a:ln w="19050"/>
          </c:spPr>
          <c:marker>
            <c:symbol val="none"/>
          </c:marker>
          <c:val>
            <c:numRef>
              <c:f>'Cash Flow'!$G$214:$AJ$214</c:f>
              <c:numCache>
                <c:formatCode>#,##0</c:formatCode>
                <c:ptCount val="30"/>
                <c:pt idx="0">
                  <c:v>138315789.47368422</c:v>
                </c:pt>
                <c:pt idx="1">
                  <c:v>134166315.7894737</c:v>
                </c:pt>
                <c:pt idx="2">
                  <c:v>130141326.31578948</c:v>
                </c:pt>
                <c:pt idx="3">
                  <c:v>126237086.52631579</c:v>
                </c:pt>
                <c:pt idx="4">
                  <c:v>122449973.93052632</c:v>
                </c:pt>
                <c:pt idx="5">
                  <c:v>118776474.71261053</c:v>
                </c:pt>
                <c:pt idx="6">
                  <c:v>115213180.47123221</c:v>
                </c:pt>
                <c:pt idx="7">
                  <c:v>111756785.05709523</c:v>
                </c:pt>
                <c:pt idx="8">
                  <c:v>108404081.50538237</c:v>
                </c:pt>
                <c:pt idx="9">
                  <c:v>112067748.5339051</c:v>
                </c:pt>
                <c:pt idx="10">
                  <c:v>108705716.07788795</c:v>
                </c:pt>
                <c:pt idx="11">
                  <c:v>105444544.59555131</c:v>
                </c:pt>
                <c:pt idx="12">
                  <c:v>102281208.25768477</c:v>
                </c:pt>
                <c:pt idx="13">
                  <c:v>99212772.009954214</c:v>
                </c:pt>
                <c:pt idx="14">
                  <c:v>96236388.849655584</c:v>
                </c:pt>
                <c:pt idx="15">
                  <c:v>93349297.18416591</c:v>
                </c:pt>
                <c:pt idx="16">
                  <c:v>90548818.268640935</c:v>
                </c:pt>
                <c:pt idx="17">
                  <c:v>87832353.72058171</c:v>
                </c:pt>
                <c:pt idx="18">
                  <c:v>85197383.108964249</c:v>
                </c:pt>
                <c:pt idx="19">
                  <c:v>93706724.773590058</c:v>
                </c:pt>
                <c:pt idx="20">
                  <c:v>90895523.03038235</c:v>
                </c:pt>
                <c:pt idx="21">
                  <c:v>88168657.339470878</c:v>
                </c:pt>
                <c:pt idx="22">
                  <c:v>85523597.619286746</c:v>
                </c:pt>
                <c:pt idx="23">
                  <c:v>82957889.690708145</c:v>
                </c:pt>
                <c:pt idx="24">
                  <c:v>80469152.999986902</c:v>
                </c:pt>
                <c:pt idx="25">
                  <c:v>78055078.409987286</c:v>
                </c:pt>
                <c:pt idx="26">
                  <c:v>75713426.05768767</c:v>
                </c:pt>
                <c:pt idx="27">
                  <c:v>73442023.275957033</c:v>
                </c:pt>
                <c:pt idx="28">
                  <c:v>71238762.577678323</c:v>
                </c:pt>
                <c:pt idx="29">
                  <c:v>69101599.700347975</c:v>
                </c:pt>
              </c:numCache>
            </c:numRef>
          </c:val>
          <c:smooth val="0"/>
          <c:extLst>
            <c:ext xmlns:c16="http://schemas.microsoft.com/office/drawing/2014/chart" uri="{C3380CC4-5D6E-409C-BE32-E72D297353CC}">
              <c16:uniqueId val="{00000002-EF9B-494D-9A68-FCBF1C37002E}"/>
            </c:ext>
          </c:extLst>
        </c:ser>
        <c:ser>
          <c:idx val="3"/>
          <c:order val="3"/>
          <c:tx>
            <c:strRef>
              <c:f>'Cash Flow'!$B$219</c:f>
              <c:strCache>
                <c:ptCount val="1"/>
                <c:pt idx="0">
                  <c:v>Power Plant Production Capacity</c:v>
                </c:pt>
              </c:strCache>
            </c:strRef>
          </c:tx>
          <c:spPr>
            <a:ln w="19050"/>
          </c:spPr>
          <c:marker>
            <c:symbol val="none"/>
          </c:marker>
          <c:val>
            <c:numRef>
              <c:f>'Cash Flow'!$G$219:$AJ$219</c:f>
              <c:numCache>
                <c:formatCode>#,##0</c:formatCode>
                <c:ptCount val="30"/>
                <c:pt idx="0">
                  <c:v>112347000</c:v>
                </c:pt>
                <c:pt idx="1">
                  <c:v>111785265</c:v>
                </c:pt>
                <c:pt idx="2">
                  <c:v>111226338.67499998</c:v>
                </c:pt>
                <c:pt idx="3">
                  <c:v>110670206.98162499</c:v>
                </c:pt>
                <c:pt idx="4">
                  <c:v>110116855.94671687</c:v>
                </c:pt>
                <c:pt idx="5">
                  <c:v>109566271.66698329</c:v>
                </c:pt>
                <c:pt idx="6">
                  <c:v>109018440.30864838</c:v>
                </c:pt>
                <c:pt idx="7">
                  <c:v>108473348.10710512</c:v>
                </c:pt>
                <c:pt idx="8">
                  <c:v>107930981.36656959</c:v>
                </c:pt>
                <c:pt idx="9">
                  <c:v>107391326.45973675</c:v>
                </c:pt>
                <c:pt idx="10">
                  <c:v>106854369.82743807</c:v>
                </c:pt>
                <c:pt idx="11">
                  <c:v>106320097.97830088</c:v>
                </c:pt>
                <c:pt idx="12">
                  <c:v>105788497.48840937</c:v>
                </c:pt>
                <c:pt idx="13">
                  <c:v>105259555.00096732</c:v>
                </c:pt>
                <c:pt idx="14">
                  <c:v>104733257.22596249</c:v>
                </c:pt>
                <c:pt idx="15">
                  <c:v>104209590.93983267</c:v>
                </c:pt>
                <c:pt idx="16">
                  <c:v>103688542.98513351</c:v>
                </c:pt>
                <c:pt idx="17">
                  <c:v>103170100.27020784</c:v>
                </c:pt>
                <c:pt idx="18">
                  <c:v>102654249.76885679</c:v>
                </c:pt>
                <c:pt idx="19">
                  <c:v>102140978.52001251</c:v>
                </c:pt>
                <c:pt idx="20">
                  <c:v>101630273.62741244</c:v>
                </c:pt>
                <c:pt idx="21">
                  <c:v>101122122.25927538</c:v>
                </c:pt>
                <c:pt idx="22">
                  <c:v>100616511.64797901</c:v>
                </c:pt>
                <c:pt idx="23">
                  <c:v>100113429.0897391</c:v>
                </c:pt>
                <c:pt idx="24">
                  <c:v>99612861.9442904</c:v>
                </c:pt>
                <c:pt idx="25">
                  <c:v>99114797.634568945</c:v>
                </c:pt>
                <c:pt idx="26">
                  <c:v>98619223.646396101</c:v>
                </c:pt>
                <c:pt idx="27">
                  <c:v>98126127.528164119</c:v>
                </c:pt>
                <c:pt idx="28">
                  <c:v>97635496.8905233</c:v>
                </c:pt>
                <c:pt idx="29">
                  <c:v>97147319.406070679</c:v>
                </c:pt>
              </c:numCache>
            </c:numRef>
          </c:val>
          <c:smooth val="0"/>
          <c:extLst>
            <c:ext xmlns:c16="http://schemas.microsoft.com/office/drawing/2014/chart" uri="{C3380CC4-5D6E-409C-BE32-E72D297353CC}">
              <c16:uniqueId val="{00000003-EF9B-494D-9A68-FCBF1C37002E}"/>
            </c:ext>
          </c:extLst>
        </c:ser>
        <c:ser>
          <c:idx val="4"/>
          <c:order val="4"/>
          <c:tx>
            <c:strRef>
              <c:f>'Cash Flow'!$B$220</c:f>
              <c:strCache>
                <c:ptCount val="1"/>
                <c:pt idx="0">
                  <c:v>Annual Production</c:v>
                </c:pt>
              </c:strCache>
            </c:strRef>
          </c:tx>
          <c:spPr>
            <a:ln>
              <a:solidFill>
                <a:srgbClr val="CC0000"/>
              </a:solidFill>
            </a:ln>
          </c:spPr>
          <c:marker>
            <c:symbol val="none"/>
          </c:marker>
          <c:val>
            <c:numRef>
              <c:f>'Cash Flow'!$G$220:$AJ$220</c:f>
              <c:numCache>
                <c:formatCode>#,##0</c:formatCode>
                <c:ptCount val="30"/>
                <c:pt idx="0">
                  <c:v>112347000</c:v>
                </c:pt>
                <c:pt idx="1">
                  <c:v>111785265</c:v>
                </c:pt>
                <c:pt idx="2">
                  <c:v>111226338.67499998</c:v>
                </c:pt>
                <c:pt idx="3">
                  <c:v>110670206.98162499</c:v>
                </c:pt>
                <c:pt idx="4">
                  <c:v>110116855.94671687</c:v>
                </c:pt>
                <c:pt idx="5">
                  <c:v>109566271.66698329</c:v>
                </c:pt>
                <c:pt idx="6">
                  <c:v>109018440.30864838</c:v>
                </c:pt>
                <c:pt idx="7">
                  <c:v>108473348.10710512</c:v>
                </c:pt>
                <c:pt idx="8">
                  <c:v>107930981.36656959</c:v>
                </c:pt>
                <c:pt idx="9">
                  <c:v>107391326.45973675</c:v>
                </c:pt>
                <c:pt idx="10">
                  <c:v>106854369.82743807</c:v>
                </c:pt>
                <c:pt idx="11">
                  <c:v>105444544.59555131</c:v>
                </c:pt>
                <c:pt idx="12">
                  <c:v>102281208.25768477</c:v>
                </c:pt>
                <c:pt idx="13">
                  <c:v>99212772.009954214</c:v>
                </c:pt>
                <c:pt idx="14">
                  <c:v>96236388.849655584</c:v>
                </c:pt>
                <c:pt idx="15">
                  <c:v>93349297.18416591</c:v>
                </c:pt>
                <c:pt idx="16">
                  <c:v>90548818.268640935</c:v>
                </c:pt>
                <c:pt idx="17">
                  <c:v>87832353.72058171</c:v>
                </c:pt>
                <c:pt idx="18">
                  <c:v>85197383.108964249</c:v>
                </c:pt>
                <c:pt idx="19">
                  <c:v>93706724.773590058</c:v>
                </c:pt>
                <c:pt idx="20">
                  <c:v>90895523.03038235</c:v>
                </c:pt>
                <c:pt idx="21">
                  <c:v>88168657.339470878</c:v>
                </c:pt>
                <c:pt idx="22">
                  <c:v>85523597.619286746</c:v>
                </c:pt>
                <c:pt idx="23">
                  <c:v>82957889.690708145</c:v>
                </c:pt>
                <c:pt idx="24">
                  <c:v>80469152.999986902</c:v>
                </c:pt>
                <c:pt idx="25">
                  <c:v>78055078.409987286</c:v>
                </c:pt>
                <c:pt idx="26">
                  <c:v>75713426.05768767</c:v>
                </c:pt>
                <c:pt idx="27">
                  <c:v>73442023.275957033</c:v>
                </c:pt>
                <c:pt idx="28">
                  <c:v>71238762.577678323</c:v>
                </c:pt>
                <c:pt idx="29">
                  <c:v>69101599.700347975</c:v>
                </c:pt>
              </c:numCache>
            </c:numRef>
          </c:val>
          <c:smooth val="0"/>
          <c:extLst>
            <c:ext xmlns:c16="http://schemas.microsoft.com/office/drawing/2014/chart" uri="{C3380CC4-5D6E-409C-BE32-E72D297353CC}">
              <c16:uniqueId val="{00000004-EF9B-494D-9A68-FCBF1C37002E}"/>
            </c:ext>
          </c:extLst>
        </c:ser>
        <c:dLbls>
          <c:showLegendKey val="0"/>
          <c:showVal val="0"/>
          <c:showCatName val="0"/>
          <c:showSerName val="0"/>
          <c:showPercent val="0"/>
          <c:showBubbleSize val="0"/>
        </c:dLbls>
        <c:smooth val="0"/>
        <c:axId val="109374464"/>
        <c:axId val="109388928"/>
      </c:lineChart>
      <c:catAx>
        <c:axId val="109374464"/>
        <c:scaling>
          <c:orientation val="minMax"/>
        </c:scaling>
        <c:delete val="0"/>
        <c:axPos val="b"/>
        <c:title>
          <c:tx>
            <c:rich>
              <a:bodyPr/>
              <a:lstStyle/>
              <a:p>
                <a:pPr>
                  <a:defRPr/>
                </a:pPr>
                <a:r>
                  <a:rPr lang="en-US"/>
                  <a:t>Year</a:t>
                </a:r>
              </a:p>
            </c:rich>
          </c:tx>
          <c:overlay val="0"/>
        </c:title>
        <c:majorTickMark val="out"/>
        <c:minorTickMark val="none"/>
        <c:tickLblPos val="nextTo"/>
        <c:crossAx val="109388928"/>
        <c:crosses val="autoZero"/>
        <c:auto val="1"/>
        <c:lblAlgn val="ctr"/>
        <c:lblOffset val="100"/>
        <c:noMultiLvlLbl val="0"/>
      </c:catAx>
      <c:valAx>
        <c:axId val="109388928"/>
        <c:scaling>
          <c:orientation val="minMax"/>
        </c:scaling>
        <c:delete val="0"/>
        <c:axPos val="l"/>
        <c:title>
          <c:tx>
            <c:rich>
              <a:bodyPr rot="-5400000" vert="horz"/>
              <a:lstStyle/>
              <a:p>
                <a:pPr>
                  <a:defRPr/>
                </a:pPr>
                <a:r>
                  <a:rPr lang="en-US"/>
                  <a:t>kWh/yr</a:t>
                </a:r>
              </a:p>
            </c:rich>
          </c:tx>
          <c:overlay val="0"/>
        </c:title>
        <c:numFmt formatCode="#,##0" sourceLinked="1"/>
        <c:majorTickMark val="out"/>
        <c:minorTickMark val="none"/>
        <c:tickLblPos val="nextTo"/>
        <c:crossAx val="109374464"/>
        <c:crosses val="autoZero"/>
        <c:crossBetween val="between"/>
      </c:valAx>
      <c:spPr>
        <a:solidFill>
          <a:srgbClr val="FFFF99"/>
        </a:solidFill>
      </c:spPr>
    </c:plotArea>
    <c:legend>
      <c:legendPos val="r"/>
      <c:layout>
        <c:manualLayout>
          <c:xMode val="edge"/>
          <c:yMode val="edge"/>
          <c:x val="0.21355364377221694"/>
          <c:y val="0.50126187723848314"/>
          <c:w val="0.47220030246089717"/>
          <c:h val="0.29712328102377061"/>
        </c:manualLayout>
      </c:layout>
      <c:overlay val="0"/>
    </c:legend>
    <c:plotVisOnly val="1"/>
    <c:dispBlanksAs val="gap"/>
    <c:showDLblsOverMax val="0"/>
  </c:chart>
  <c:spPr>
    <a:solidFill>
      <a:srgbClr val="FFFF99"/>
    </a:solidFill>
  </c:spPr>
  <c:txPr>
    <a:bodyPr/>
    <a:lstStyle/>
    <a:p>
      <a:pPr>
        <a:defRPr sz="1000">
          <a:latin typeface="+mn-lt"/>
          <a:cs typeface="Arial" pitchFamily="34" charset="0"/>
        </a:defRPr>
      </a:pPr>
      <a:endParaRPr lang="en-US"/>
    </a:p>
  </c:txPr>
  <c:printSettings>
    <c:headerFooter/>
    <c:pageMargins b="0.75000000000000944" l="0.70000000000000062" r="0.70000000000000062" t="0.750000000000009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Resource Potential &amp; Production Profile 
(kWh/yr)</a:t>
            </a:r>
          </a:p>
        </c:rich>
      </c:tx>
      <c:layout>
        <c:manualLayout>
          <c:xMode val="edge"/>
          <c:yMode val="edge"/>
          <c:x val="0.31031339963734506"/>
          <c:y val="2.2434667862397256E-2"/>
        </c:manualLayout>
      </c:layout>
      <c:overlay val="1"/>
    </c:title>
    <c:autoTitleDeleted val="0"/>
    <c:plotArea>
      <c:layout>
        <c:manualLayout>
          <c:layoutTarget val="inner"/>
          <c:xMode val="edge"/>
          <c:yMode val="edge"/>
          <c:x val="0.15221148176404603"/>
          <c:y val="3.584743142814141E-2"/>
          <c:w val="0.82335169364823146"/>
          <c:h val="0.79081337430899334"/>
        </c:manualLayout>
      </c:layout>
      <c:lineChart>
        <c:grouping val="standard"/>
        <c:varyColors val="0"/>
        <c:ser>
          <c:idx val="0"/>
          <c:order val="0"/>
          <c:tx>
            <c:strRef>
              <c:f>'Cash Flow'!$B$212</c:f>
              <c:strCache>
                <c:ptCount val="1"/>
                <c:pt idx="0">
                  <c:v>Initial Drilling (no upgrades)</c:v>
                </c:pt>
              </c:strCache>
            </c:strRef>
          </c:tx>
          <c:spPr>
            <a:ln w="19050"/>
          </c:spPr>
          <c:val>
            <c:numRef>
              <c:f>'Cash Flow'!$G$212:$AJ$212</c:f>
              <c:numCache>
                <c:formatCode>#,##0</c:formatCode>
                <c:ptCount val="30"/>
                <c:pt idx="0">
                  <c:v>138315789.47368422</c:v>
                </c:pt>
                <c:pt idx="1">
                  <c:v>134166315.7894737</c:v>
                </c:pt>
                <c:pt idx="2">
                  <c:v>130141326.31578948</c:v>
                </c:pt>
                <c:pt idx="3">
                  <c:v>126237086.52631579</c:v>
                </c:pt>
                <c:pt idx="4">
                  <c:v>122449973.93052632</c:v>
                </c:pt>
                <c:pt idx="5">
                  <c:v>118776474.71261053</c:v>
                </c:pt>
                <c:pt idx="6">
                  <c:v>115213180.47123221</c:v>
                </c:pt>
                <c:pt idx="7">
                  <c:v>111756785.05709523</c:v>
                </c:pt>
                <c:pt idx="8">
                  <c:v>108404081.50538237</c:v>
                </c:pt>
                <c:pt idx="9">
                  <c:v>105151959.0602209</c:v>
                </c:pt>
                <c:pt idx="10">
                  <c:v>101997400.28841427</c:v>
                </c:pt>
                <c:pt idx="11">
                  <c:v>98937478.279761836</c:v>
                </c:pt>
                <c:pt idx="12">
                  <c:v>95969353.931368977</c:v>
                </c:pt>
                <c:pt idx="13">
                  <c:v>93090273.31342791</c:v>
                </c:pt>
                <c:pt idx="14">
                  <c:v>90297565.114025071</c:v>
                </c:pt>
                <c:pt idx="15">
                  <c:v>87588638.160604313</c:v>
                </c:pt>
                <c:pt idx="16">
                  <c:v>84960979.015786186</c:v>
                </c:pt>
                <c:pt idx="17">
                  <c:v>82412149.645312592</c:v>
                </c:pt>
                <c:pt idx="18">
                  <c:v>79939785.155953214</c:v>
                </c:pt>
                <c:pt idx="19">
                  <c:v>77541591.60127461</c:v>
                </c:pt>
                <c:pt idx="20">
                  <c:v>75215343.853236362</c:v>
                </c:pt>
                <c:pt idx="21">
                  <c:v>72958883.537639275</c:v>
                </c:pt>
                <c:pt idx="22">
                  <c:v>70770117.0315101</c:v>
                </c:pt>
                <c:pt idx="23">
                  <c:v>68647013.520564795</c:v>
                </c:pt>
                <c:pt idx="24">
                  <c:v>66587603.114947848</c:v>
                </c:pt>
                <c:pt idx="25">
                  <c:v>64589975.02149941</c:v>
                </c:pt>
                <c:pt idx="26">
                  <c:v>62652275.770854428</c:v>
                </c:pt>
                <c:pt idx="27">
                  <c:v>60772707.497728795</c:v>
                </c:pt>
                <c:pt idx="28">
                  <c:v>58949526.272796929</c:v>
                </c:pt>
                <c:pt idx="29">
                  <c:v>57181040.484613016</c:v>
                </c:pt>
              </c:numCache>
            </c:numRef>
          </c:val>
          <c:smooth val="0"/>
          <c:extLst>
            <c:ext xmlns:c16="http://schemas.microsoft.com/office/drawing/2014/chart" uri="{C3380CC4-5D6E-409C-BE32-E72D297353CC}">
              <c16:uniqueId val="{00000000-FA73-EC44-82DA-71873E10AEA6}"/>
            </c:ext>
          </c:extLst>
        </c:ser>
        <c:ser>
          <c:idx val="1"/>
          <c:order val="1"/>
          <c:tx>
            <c:strRef>
              <c:f>'Cash Flow'!$B$213</c:f>
              <c:strCache>
                <c:ptCount val="1"/>
                <c:pt idx="0">
                  <c:v>With First Upgrade</c:v>
                </c:pt>
              </c:strCache>
            </c:strRef>
          </c:tx>
          <c:spPr>
            <a:ln w="19050">
              <a:solidFill>
                <a:schemeClr val="accent6">
                  <a:lumMod val="75000"/>
                </a:schemeClr>
              </a:solidFill>
            </a:ln>
          </c:spPr>
          <c:val>
            <c:numRef>
              <c:f>'Cash Flow'!$G$213:$AJ$213</c:f>
              <c:numCache>
                <c:formatCode>#,##0</c:formatCode>
                <c:ptCount val="30"/>
                <c:pt idx="0">
                  <c:v>138315789.47368422</c:v>
                </c:pt>
                <c:pt idx="1">
                  <c:v>134166315.7894737</c:v>
                </c:pt>
                <c:pt idx="2">
                  <c:v>130141326.31578948</c:v>
                </c:pt>
                <c:pt idx="3">
                  <c:v>126237086.52631579</c:v>
                </c:pt>
                <c:pt idx="4">
                  <c:v>122449973.93052632</c:v>
                </c:pt>
                <c:pt idx="5">
                  <c:v>118776474.71261053</c:v>
                </c:pt>
                <c:pt idx="6">
                  <c:v>115213180.47123221</c:v>
                </c:pt>
                <c:pt idx="7">
                  <c:v>111756785.05709523</c:v>
                </c:pt>
                <c:pt idx="8">
                  <c:v>108404081.50538237</c:v>
                </c:pt>
                <c:pt idx="9">
                  <c:v>112067748.5339051</c:v>
                </c:pt>
                <c:pt idx="10">
                  <c:v>108705716.07788795</c:v>
                </c:pt>
                <c:pt idx="11">
                  <c:v>105444544.59555131</c:v>
                </c:pt>
                <c:pt idx="12">
                  <c:v>102281208.25768477</c:v>
                </c:pt>
                <c:pt idx="13">
                  <c:v>99212772.009954214</c:v>
                </c:pt>
                <c:pt idx="14">
                  <c:v>96236388.849655584</c:v>
                </c:pt>
                <c:pt idx="15">
                  <c:v>93349297.18416591</c:v>
                </c:pt>
                <c:pt idx="16">
                  <c:v>90548818.268640935</c:v>
                </c:pt>
                <c:pt idx="17">
                  <c:v>87832353.72058171</c:v>
                </c:pt>
                <c:pt idx="18">
                  <c:v>85197383.108964249</c:v>
                </c:pt>
                <c:pt idx="19">
                  <c:v>82641461.615695313</c:v>
                </c:pt>
                <c:pt idx="20">
                  <c:v>80162217.767224446</c:v>
                </c:pt>
                <c:pt idx="21">
                  <c:v>77757351.234207705</c:v>
                </c:pt>
                <c:pt idx="22">
                  <c:v>75424630.697181478</c:v>
                </c:pt>
                <c:pt idx="23">
                  <c:v>73161891.776266038</c:v>
                </c:pt>
                <c:pt idx="24">
                  <c:v>70967035.022978052</c:v>
                </c:pt>
                <c:pt idx="25">
                  <c:v>68838023.972288713</c:v>
                </c:pt>
                <c:pt idx="26">
                  <c:v>66772883.25312005</c:v>
                </c:pt>
                <c:pt idx="27">
                  <c:v>64769696.755526446</c:v>
                </c:pt>
                <c:pt idx="28">
                  <c:v>62826605.852860652</c:v>
                </c:pt>
                <c:pt idx="29">
                  <c:v>60941807.677274831</c:v>
                </c:pt>
              </c:numCache>
            </c:numRef>
          </c:val>
          <c:smooth val="0"/>
          <c:extLst>
            <c:ext xmlns:c16="http://schemas.microsoft.com/office/drawing/2014/chart" uri="{C3380CC4-5D6E-409C-BE32-E72D297353CC}">
              <c16:uniqueId val="{00000001-FA73-EC44-82DA-71873E10AEA6}"/>
            </c:ext>
          </c:extLst>
        </c:ser>
        <c:ser>
          <c:idx val="2"/>
          <c:order val="2"/>
          <c:tx>
            <c:strRef>
              <c:f>'Cash Flow'!$B$214</c:f>
              <c:strCache>
                <c:ptCount val="1"/>
                <c:pt idx="0">
                  <c:v>With Second Upgrade</c:v>
                </c:pt>
              </c:strCache>
            </c:strRef>
          </c:tx>
          <c:spPr>
            <a:ln w="19050"/>
          </c:spPr>
          <c:val>
            <c:numRef>
              <c:f>'Cash Flow'!$G$214:$AJ$214</c:f>
              <c:numCache>
                <c:formatCode>#,##0</c:formatCode>
                <c:ptCount val="30"/>
                <c:pt idx="0">
                  <c:v>138315789.47368422</c:v>
                </c:pt>
                <c:pt idx="1">
                  <c:v>134166315.7894737</c:v>
                </c:pt>
                <c:pt idx="2">
                  <c:v>130141326.31578948</c:v>
                </c:pt>
                <c:pt idx="3">
                  <c:v>126237086.52631579</c:v>
                </c:pt>
                <c:pt idx="4">
                  <c:v>122449973.93052632</c:v>
                </c:pt>
                <c:pt idx="5">
                  <c:v>118776474.71261053</c:v>
                </c:pt>
                <c:pt idx="6">
                  <c:v>115213180.47123221</c:v>
                </c:pt>
                <c:pt idx="7">
                  <c:v>111756785.05709523</c:v>
                </c:pt>
                <c:pt idx="8">
                  <c:v>108404081.50538237</c:v>
                </c:pt>
                <c:pt idx="9">
                  <c:v>112067748.5339051</c:v>
                </c:pt>
                <c:pt idx="10">
                  <c:v>108705716.07788795</c:v>
                </c:pt>
                <c:pt idx="11">
                  <c:v>105444544.59555131</c:v>
                </c:pt>
                <c:pt idx="12">
                  <c:v>102281208.25768477</c:v>
                </c:pt>
                <c:pt idx="13">
                  <c:v>99212772.009954214</c:v>
                </c:pt>
                <c:pt idx="14">
                  <c:v>96236388.849655584</c:v>
                </c:pt>
                <c:pt idx="15">
                  <c:v>93349297.18416591</c:v>
                </c:pt>
                <c:pt idx="16">
                  <c:v>90548818.268640935</c:v>
                </c:pt>
                <c:pt idx="17">
                  <c:v>87832353.72058171</c:v>
                </c:pt>
                <c:pt idx="18">
                  <c:v>85197383.108964249</c:v>
                </c:pt>
                <c:pt idx="19">
                  <c:v>93706724.773590058</c:v>
                </c:pt>
                <c:pt idx="20">
                  <c:v>90895523.03038235</c:v>
                </c:pt>
                <c:pt idx="21">
                  <c:v>88168657.339470878</c:v>
                </c:pt>
                <c:pt idx="22">
                  <c:v>85523597.619286746</c:v>
                </c:pt>
                <c:pt idx="23">
                  <c:v>82957889.690708145</c:v>
                </c:pt>
                <c:pt idx="24">
                  <c:v>80469152.999986902</c:v>
                </c:pt>
                <c:pt idx="25">
                  <c:v>78055078.409987286</c:v>
                </c:pt>
                <c:pt idx="26">
                  <c:v>75713426.05768767</c:v>
                </c:pt>
                <c:pt idx="27">
                  <c:v>73442023.275957033</c:v>
                </c:pt>
                <c:pt idx="28">
                  <c:v>71238762.577678323</c:v>
                </c:pt>
                <c:pt idx="29">
                  <c:v>69101599.700347975</c:v>
                </c:pt>
              </c:numCache>
            </c:numRef>
          </c:val>
          <c:smooth val="0"/>
          <c:extLst>
            <c:ext xmlns:c16="http://schemas.microsoft.com/office/drawing/2014/chart" uri="{C3380CC4-5D6E-409C-BE32-E72D297353CC}">
              <c16:uniqueId val="{00000002-FA73-EC44-82DA-71873E10AEA6}"/>
            </c:ext>
          </c:extLst>
        </c:ser>
        <c:ser>
          <c:idx val="3"/>
          <c:order val="3"/>
          <c:tx>
            <c:strRef>
              <c:f>'Cash Flow'!$B$219</c:f>
              <c:strCache>
                <c:ptCount val="1"/>
                <c:pt idx="0">
                  <c:v>Power Plant Production Capacity</c:v>
                </c:pt>
              </c:strCache>
            </c:strRef>
          </c:tx>
          <c:spPr>
            <a:ln w="19050"/>
          </c:spPr>
          <c:val>
            <c:numRef>
              <c:f>'Cash Flow'!$G$219:$AJ$219</c:f>
              <c:numCache>
                <c:formatCode>#,##0</c:formatCode>
                <c:ptCount val="30"/>
                <c:pt idx="0">
                  <c:v>112347000</c:v>
                </c:pt>
                <c:pt idx="1">
                  <c:v>111785265</c:v>
                </c:pt>
                <c:pt idx="2">
                  <c:v>111226338.67499998</c:v>
                </c:pt>
                <c:pt idx="3">
                  <c:v>110670206.98162499</c:v>
                </c:pt>
                <c:pt idx="4">
                  <c:v>110116855.94671687</c:v>
                </c:pt>
                <c:pt idx="5">
                  <c:v>109566271.66698329</c:v>
                </c:pt>
                <c:pt idx="6">
                  <c:v>109018440.30864838</c:v>
                </c:pt>
                <c:pt idx="7">
                  <c:v>108473348.10710512</c:v>
                </c:pt>
                <c:pt idx="8">
                  <c:v>107930981.36656959</c:v>
                </c:pt>
                <c:pt idx="9">
                  <c:v>107391326.45973675</c:v>
                </c:pt>
                <c:pt idx="10">
                  <c:v>106854369.82743807</c:v>
                </c:pt>
                <c:pt idx="11">
                  <c:v>106320097.97830088</c:v>
                </c:pt>
                <c:pt idx="12">
                  <c:v>105788497.48840937</c:v>
                </c:pt>
                <c:pt idx="13">
                  <c:v>105259555.00096732</c:v>
                </c:pt>
                <c:pt idx="14">
                  <c:v>104733257.22596249</c:v>
                </c:pt>
                <c:pt idx="15">
                  <c:v>104209590.93983267</c:v>
                </c:pt>
                <c:pt idx="16">
                  <c:v>103688542.98513351</c:v>
                </c:pt>
                <c:pt idx="17">
                  <c:v>103170100.27020784</c:v>
                </c:pt>
                <c:pt idx="18">
                  <c:v>102654249.76885679</c:v>
                </c:pt>
                <c:pt idx="19">
                  <c:v>102140978.52001251</c:v>
                </c:pt>
                <c:pt idx="20">
                  <c:v>101630273.62741244</c:v>
                </c:pt>
                <c:pt idx="21">
                  <c:v>101122122.25927538</c:v>
                </c:pt>
                <c:pt idx="22">
                  <c:v>100616511.64797901</c:v>
                </c:pt>
                <c:pt idx="23">
                  <c:v>100113429.0897391</c:v>
                </c:pt>
                <c:pt idx="24">
                  <c:v>99612861.9442904</c:v>
                </c:pt>
                <c:pt idx="25">
                  <c:v>99114797.634568945</c:v>
                </c:pt>
                <c:pt idx="26">
                  <c:v>98619223.646396101</c:v>
                </c:pt>
                <c:pt idx="27">
                  <c:v>98126127.528164119</c:v>
                </c:pt>
                <c:pt idx="28">
                  <c:v>97635496.8905233</c:v>
                </c:pt>
                <c:pt idx="29">
                  <c:v>97147319.406070679</c:v>
                </c:pt>
              </c:numCache>
            </c:numRef>
          </c:val>
          <c:smooth val="0"/>
          <c:extLst>
            <c:ext xmlns:c16="http://schemas.microsoft.com/office/drawing/2014/chart" uri="{C3380CC4-5D6E-409C-BE32-E72D297353CC}">
              <c16:uniqueId val="{00000003-FA73-EC44-82DA-71873E10AEA6}"/>
            </c:ext>
          </c:extLst>
        </c:ser>
        <c:ser>
          <c:idx val="4"/>
          <c:order val="4"/>
          <c:tx>
            <c:strRef>
              <c:f>'Cash Flow'!$B$220</c:f>
              <c:strCache>
                <c:ptCount val="1"/>
                <c:pt idx="0">
                  <c:v>Annual Production</c:v>
                </c:pt>
              </c:strCache>
            </c:strRef>
          </c:tx>
          <c:spPr>
            <a:ln>
              <a:solidFill>
                <a:srgbClr val="CC0000"/>
              </a:solidFill>
            </a:ln>
          </c:spPr>
          <c:val>
            <c:numRef>
              <c:f>'Cash Flow'!$G$220:$AJ$220</c:f>
              <c:numCache>
                <c:formatCode>#,##0</c:formatCode>
                <c:ptCount val="30"/>
                <c:pt idx="0">
                  <c:v>112347000</c:v>
                </c:pt>
                <c:pt idx="1">
                  <c:v>111785265</c:v>
                </c:pt>
                <c:pt idx="2">
                  <c:v>111226338.67499998</c:v>
                </c:pt>
                <c:pt idx="3">
                  <c:v>110670206.98162499</c:v>
                </c:pt>
                <c:pt idx="4">
                  <c:v>110116855.94671687</c:v>
                </c:pt>
                <c:pt idx="5">
                  <c:v>109566271.66698329</c:v>
                </c:pt>
                <c:pt idx="6">
                  <c:v>109018440.30864838</c:v>
                </c:pt>
                <c:pt idx="7">
                  <c:v>108473348.10710512</c:v>
                </c:pt>
                <c:pt idx="8">
                  <c:v>107930981.36656959</c:v>
                </c:pt>
                <c:pt idx="9">
                  <c:v>107391326.45973675</c:v>
                </c:pt>
                <c:pt idx="10">
                  <c:v>106854369.82743807</c:v>
                </c:pt>
                <c:pt idx="11">
                  <c:v>105444544.59555131</c:v>
                </c:pt>
                <c:pt idx="12">
                  <c:v>102281208.25768477</c:v>
                </c:pt>
                <c:pt idx="13">
                  <c:v>99212772.009954214</c:v>
                </c:pt>
                <c:pt idx="14">
                  <c:v>96236388.849655584</c:v>
                </c:pt>
                <c:pt idx="15">
                  <c:v>93349297.18416591</c:v>
                </c:pt>
                <c:pt idx="16">
                  <c:v>90548818.268640935</c:v>
                </c:pt>
                <c:pt idx="17">
                  <c:v>87832353.72058171</c:v>
                </c:pt>
                <c:pt idx="18">
                  <c:v>85197383.108964249</c:v>
                </c:pt>
                <c:pt idx="19">
                  <c:v>93706724.773590058</c:v>
                </c:pt>
                <c:pt idx="20">
                  <c:v>90895523.03038235</c:v>
                </c:pt>
                <c:pt idx="21">
                  <c:v>88168657.339470878</c:v>
                </c:pt>
                <c:pt idx="22">
                  <c:v>85523597.619286746</c:v>
                </c:pt>
                <c:pt idx="23">
                  <c:v>82957889.690708145</c:v>
                </c:pt>
                <c:pt idx="24">
                  <c:v>80469152.999986902</c:v>
                </c:pt>
                <c:pt idx="25">
                  <c:v>78055078.409987286</c:v>
                </c:pt>
                <c:pt idx="26">
                  <c:v>75713426.05768767</c:v>
                </c:pt>
                <c:pt idx="27">
                  <c:v>73442023.275957033</c:v>
                </c:pt>
                <c:pt idx="28">
                  <c:v>71238762.577678323</c:v>
                </c:pt>
                <c:pt idx="29">
                  <c:v>69101599.700347975</c:v>
                </c:pt>
              </c:numCache>
            </c:numRef>
          </c:val>
          <c:smooth val="0"/>
          <c:extLst>
            <c:ext xmlns:c16="http://schemas.microsoft.com/office/drawing/2014/chart" uri="{C3380CC4-5D6E-409C-BE32-E72D297353CC}">
              <c16:uniqueId val="{00000004-FA73-EC44-82DA-71873E10AEA6}"/>
            </c:ext>
          </c:extLst>
        </c:ser>
        <c:dLbls>
          <c:showLegendKey val="0"/>
          <c:showVal val="0"/>
          <c:showCatName val="0"/>
          <c:showSerName val="0"/>
          <c:showPercent val="0"/>
          <c:showBubbleSize val="0"/>
        </c:dLbls>
        <c:marker val="1"/>
        <c:smooth val="0"/>
        <c:axId val="136492544"/>
        <c:axId val="136494464"/>
      </c:lineChart>
      <c:catAx>
        <c:axId val="136492544"/>
        <c:scaling>
          <c:orientation val="minMax"/>
        </c:scaling>
        <c:delete val="0"/>
        <c:axPos val="b"/>
        <c:title>
          <c:tx>
            <c:rich>
              <a:bodyPr/>
              <a:lstStyle/>
              <a:p>
                <a:pPr>
                  <a:defRPr/>
                </a:pPr>
                <a:r>
                  <a:rPr lang="en-US"/>
                  <a:t>Year</a:t>
                </a:r>
              </a:p>
            </c:rich>
          </c:tx>
          <c:overlay val="0"/>
        </c:title>
        <c:majorTickMark val="out"/>
        <c:minorTickMark val="none"/>
        <c:tickLblPos val="nextTo"/>
        <c:crossAx val="136494464"/>
        <c:crosses val="autoZero"/>
        <c:auto val="1"/>
        <c:lblAlgn val="ctr"/>
        <c:lblOffset val="100"/>
        <c:noMultiLvlLbl val="0"/>
      </c:catAx>
      <c:valAx>
        <c:axId val="136494464"/>
        <c:scaling>
          <c:orientation val="minMax"/>
        </c:scaling>
        <c:delete val="0"/>
        <c:axPos val="l"/>
        <c:title>
          <c:tx>
            <c:rich>
              <a:bodyPr rot="-5400000" vert="horz"/>
              <a:lstStyle/>
              <a:p>
                <a:pPr>
                  <a:defRPr/>
                </a:pPr>
                <a:r>
                  <a:rPr lang="en-US"/>
                  <a:t>kWh/yr</a:t>
                </a:r>
              </a:p>
            </c:rich>
          </c:tx>
          <c:overlay val="0"/>
        </c:title>
        <c:numFmt formatCode="#,##0" sourceLinked="1"/>
        <c:majorTickMark val="out"/>
        <c:minorTickMark val="none"/>
        <c:tickLblPos val="nextTo"/>
        <c:crossAx val="136492544"/>
        <c:crosses val="autoZero"/>
        <c:crossBetween val="between"/>
      </c:valAx>
    </c:plotArea>
    <c:legend>
      <c:legendPos val="r"/>
      <c:layout>
        <c:manualLayout>
          <c:xMode val="edge"/>
          <c:yMode val="edge"/>
          <c:x val="0.21355364377221694"/>
          <c:y val="0.50126187723848292"/>
          <c:w val="0.47220030246089717"/>
          <c:h val="0.2971232810237705"/>
        </c:manualLayout>
      </c:layout>
      <c:overlay val="0"/>
    </c:legend>
    <c:plotVisOnly val="1"/>
    <c:dispBlanksAs val="gap"/>
    <c:showDLblsOverMax val="0"/>
  </c:chart>
  <c:txPr>
    <a:bodyPr/>
    <a:lstStyle/>
    <a:p>
      <a:pPr>
        <a:defRPr sz="1000">
          <a:latin typeface="+mn-lt"/>
          <a:cs typeface="Arial" pitchFamily="34" charset="0"/>
        </a:defRPr>
      </a:pPr>
      <a:endParaRPr lang="en-US"/>
    </a:p>
  </c:txPr>
  <c:printSettings>
    <c:headerFooter/>
    <c:pageMargins b="0.75000000000000921" l="0.70000000000000062" r="0.70000000000000062" t="0.75000000000000921"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83341</xdr:colOff>
      <xdr:row>37</xdr:row>
      <xdr:rowOff>130969</xdr:rowOff>
    </xdr:from>
    <xdr:to>
      <xdr:col>8</xdr:col>
      <xdr:colOff>452437</xdr:colOff>
      <xdr:row>61</xdr:row>
      <xdr:rowOff>35719</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535780</xdr:colOff>
      <xdr:row>37</xdr:row>
      <xdr:rowOff>154781</xdr:rowOff>
    </xdr:from>
    <xdr:to>
      <xdr:col>16</xdr:col>
      <xdr:colOff>23813</xdr:colOff>
      <xdr:row>61</xdr:row>
      <xdr:rowOff>71437</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154782</xdr:colOff>
      <xdr:row>37</xdr:row>
      <xdr:rowOff>166688</xdr:rowOff>
    </xdr:from>
    <xdr:to>
      <xdr:col>24</xdr:col>
      <xdr:colOff>0</xdr:colOff>
      <xdr:row>61</xdr:row>
      <xdr:rowOff>83344</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10821</xdr:colOff>
      <xdr:row>221</xdr:row>
      <xdr:rowOff>102826</xdr:rowOff>
    </xdr:from>
    <xdr:to>
      <xdr:col>13</xdr:col>
      <xdr:colOff>35718</xdr:colOff>
      <xdr:row>243</xdr:row>
      <xdr:rowOff>35718</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dsireusa.org/incentives/index.cfm?state=us&amp;re=1&amp;EE=1" TargetMode="External"/><Relationship Id="rId7" Type="http://schemas.openxmlformats.org/officeDocument/2006/relationships/printerSettings" Target="../printerSettings/printerSettings1.bin"/><Relationship Id="rId2" Type="http://schemas.openxmlformats.org/officeDocument/2006/relationships/hyperlink" Target="http://dsireusa.org/incentives/incentive.cfm?Incentive_Code=US02F&amp;re=1&amp;ee=1" TargetMode="External"/><Relationship Id="rId1" Type="http://schemas.openxmlformats.org/officeDocument/2006/relationships/hyperlink" Target="http://dsireusa.org/" TargetMode="External"/><Relationship Id="rId6" Type="http://schemas.openxmlformats.org/officeDocument/2006/relationships/hyperlink" Target="http://www1.eere.energy.gov/geothermal/getem.html" TargetMode="External"/><Relationship Id="rId5" Type="http://schemas.openxmlformats.org/officeDocument/2006/relationships/hyperlink" Target="http://financere.nrel.gov/finance/content/crest-model" TargetMode="External"/><Relationship Id="rId4" Type="http://schemas.openxmlformats.org/officeDocument/2006/relationships/hyperlink" Target="http://financere.nrel.gov/finance/content/crest-model"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R45"/>
  <sheetViews>
    <sheetView showGridLines="0" tabSelected="1" zoomScale="80" zoomScaleNormal="80" workbookViewId="0">
      <pane ySplit="4" topLeftCell="A5" activePane="bottomLeft" state="frozen"/>
      <selection pane="bottomLeft" activeCell="C4" sqref="C4"/>
    </sheetView>
  </sheetViews>
  <sheetFormatPr baseColWidth="10" defaultColWidth="9.1640625" defaultRowHeight="16"/>
  <cols>
    <col min="1" max="1" width="2.6640625" style="132" customWidth="1"/>
    <col min="2" max="2" width="28.5" style="132" customWidth="1"/>
    <col min="3" max="3" width="140.1640625" style="132" customWidth="1"/>
    <col min="4" max="4" width="16.83203125" style="132" customWidth="1"/>
    <col min="5" max="12" width="9.1640625" style="132"/>
    <col min="13" max="14" width="9.5" style="132" customWidth="1"/>
    <col min="15" max="15" width="5.33203125" style="132" customWidth="1"/>
    <col min="16" max="16384" width="9.1640625" style="132"/>
  </cols>
  <sheetData>
    <row r="1" spans="2:18" ht="9" customHeight="1" thickBot="1"/>
    <row r="2" spans="2:18" ht="30" customHeight="1">
      <c r="B2" s="197" t="s">
        <v>153</v>
      </c>
      <c r="C2" s="198" t="s">
        <v>361</v>
      </c>
      <c r="D2" s="199"/>
      <c r="E2" s="127"/>
      <c r="F2" s="127"/>
      <c r="G2" s="127"/>
      <c r="H2" s="127"/>
      <c r="I2" s="127"/>
      <c r="J2" s="127"/>
      <c r="K2" s="127"/>
      <c r="L2" s="127"/>
      <c r="M2" s="127"/>
      <c r="N2" s="127"/>
      <c r="P2" s="125"/>
      <c r="Q2" s="126"/>
      <c r="R2" s="126"/>
    </row>
    <row r="3" spans="2:18" ht="30" customHeight="1">
      <c r="B3" s="281" t="s">
        <v>170</v>
      </c>
      <c r="C3" s="282" t="s">
        <v>521</v>
      </c>
      <c r="D3" s="283"/>
      <c r="E3" s="127"/>
      <c r="F3" s="127"/>
      <c r="G3" s="127"/>
      <c r="H3" s="127"/>
      <c r="I3" s="127"/>
      <c r="J3" s="127"/>
      <c r="K3" s="127"/>
      <c r="L3" s="127"/>
      <c r="M3" s="127"/>
      <c r="N3" s="127"/>
      <c r="P3" s="125"/>
      <c r="Q3" s="126"/>
      <c r="R3" s="126"/>
    </row>
    <row r="4" spans="2:18" ht="60" customHeight="1" thickBot="1">
      <c r="B4" s="878" t="s">
        <v>520</v>
      </c>
      <c r="C4" s="879" t="s">
        <v>519</v>
      </c>
      <c r="D4" s="283"/>
      <c r="E4" s="127"/>
      <c r="F4" s="127"/>
      <c r="G4" s="127"/>
      <c r="H4" s="127"/>
      <c r="I4" s="127"/>
      <c r="J4" s="127"/>
      <c r="K4" s="127"/>
      <c r="L4" s="127"/>
      <c r="M4" s="127"/>
      <c r="N4" s="127"/>
      <c r="P4" s="125"/>
      <c r="Q4" s="126"/>
      <c r="R4" s="126"/>
    </row>
    <row r="5" spans="2:18" ht="30" customHeight="1">
      <c r="B5" s="743" t="s">
        <v>433</v>
      </c>
      <c r="C5" s="744" t="s">
        <v>434</v>
      </c>
      <c r="D5" s="200"/>
      <c r="E5" s="127"/>
      <c r="F5" s="127"/>
      <c r="G5" s="127"/>
      <c r="H5" s="127"/>
      <c r="I5" s="127"/>
      <c r="J5" s="127"/>
      <c r="K5" s="127"/>
      <c r="L5" s="127"/>
      <c r="M5" s="127"/>
      <c r="N5" s="127"/>
      <c r="P5" s="126"/>
      <c r="Q5" s="126"/>
      <c r="R5" s="126"/>
    </row>
    <row r="6" spans="2:18" ht="60" customHeight="1">
      <c r="B6" s="526" t="s">
        <v>435</v>
      </c>
      <c r="C6" s="203" t="s">
        <v>436</v>
      </c>
      <c r="D6" s="201"/>
      <c r="E6" s="128"/>
      <c r="F6" s="128"/>
      <c r="G6" s="128"/>
      <c r="H6" s="128"/>
      <c r="I6" s="128"/>
      <c r="J6" s="128"/>
      <c r="K6" s="128"/>
      <c r="L6" s="128"/>
      <c r="M6" s="128"/>
      <c r="N6" s="128"/>
      <c r="P6" s="126"/>
      <c r="Q6" s="126"/>
      <c r="R6" s="126"/>
    </row>
    <row r="7" spans="2:18" ht="60" customHeight="1">
      <c r="B7" s="526" t="s">
        <v>437</v>
      </c>
      <c r="C7" s="203" t="s">
        <v>438</v>
      </c>
      <c r="D7" s="204"/>
      <c r="E7" s="129"/>
      <c r="F7" s="129"/>
      <c r="G7" s="129"/>
      <c r="H7" s="129"/>
      <c r="I7" s="129"/>
      <c r="J7" s="129"/>
      <c r="K7" s="129"/>
      <c r="L7" s="129"/>
      <c r="M7" s="129"/>
      <c r="N7" s="129"/>
      <c r="P7" s="125"/>
      <c r="Q7" s="126"/>
      <c r="R7" s="126"/>
    </row>
    <row r="8" spans="2:18" ht="15.75" customHeight="1">
      <c r="B8" s="526"/>
      <c r="C8" s="203"/>
      <c r="D8" s="204"/>
      <c r="E8" s="129"/>
      <c r="F8" s="129"/>
      <c r="G8" s="129"/>
      <c r="H8" s="129"/>
      <c r="I8" s="129"/>
      <c r="J8" s="129"/>
      <c r="K8" s="129"/>
      <c r="L8" s="129"/>
      <c r="M8" s="129"/>
      <c r="N8" s="129"/>
      <c r="P8" s="125"/>
      <c r="Q8" s="126"/>
      <c r="R8" s="126"/>
    </row>
    <row r="9" spans="2:18" ht="110.25" customHeight="1">
      <c r="B9" s="202" t="s">
        <v>439</v>
      </c>
      <c r="C9" s="203" t="s">
        <v>440</v>
      </c>
      <c r="D9" s="204"/>
      <c r="E9" s="129"/>
      <c r="F9" s="129"/>
      <c r="G9" s="129"/>
      <c r="H9" s="129"/>
      <c r="I9" s="129"/>
      <c r="J9" s="129"/>
      <c r="K9" s="129"/>
      <c r="L9" s="129"/>
      <c r="M9" s="129"/>
      <c r="N9" s="129"/>
      <c r="P9" s="125"/>
      <c r="Q9" s="126"/>
      <c r="R9" s="126"/>
    </row>
    <row r="10" spans="2:18" ht="17">
      <c r="B10" s="202"/>
      <c r="C10" s="731" t="s">
        <v>410</v>
      </c>
      <c r="D10" s="204"/>
      <c r="E10" s="129"/>
      <c r="F10" s="129"/>
      <c r="G10" s="129"/>
      <c r="H10" s="129"/>
      <c r="I10" s="129"/>
      <c r="J10" s="129"/>
      <c r="K10" s="129"/>
      <c r="L10" s="129"/>
      <c r="M10" s="129"/>
      <c r="N10" s="129"/>
      <c r="P10" s="125"/>
      <c r="Q10" s="126"/>
      <c r="R10" s="126"/>
    </row>
    <row r="11" spans="2:18">
      <c r="B11" s="202"/>
      <c r="C11" s="203"/>
      <c r="D11" s="204"/>
      <c r="E11" s="129"/>
      <c r="F11" s="129"/>
      <c r="G11" s="129"/>
      <c r="H11" s="129"/>
      <c r="I11" s="129"/>
      <c r="J11" s="129"/>
      <c r="K11" s="129"/>
      <c r="L11" s="129"/>
      <c r="M11" s="129"/>
      <c r="N11" s="129"/>
      <c r="P11" s="125"/>
      <c r="Q11" s="126"/>
      <c r="R11" s="126"/>
    </row>
    <row r="12" spans="2:18" ht="64.5" customHeight="1">
      <c r="B12" s="208" t="s">
        <v>362</v>
      </c>
      <c r="C12" s="203" t="s">
        <v>412</v>
      </c>
      <c r="D12" s="204"/>
      <c r="E12" s="129"/>
      <c r="F12" s="129"/>
      <c r="G12" s="129"/>
      <c r="H12" s="129"/>
      <c r="I12" s="129"/>
      <c r="J12" s="129"/>
      <c r="K12" s="129"/>
      <c r="L12" s="129"/>
      <c r="M12" s="129"/>
      <c r="N12" s="129"/>
      <c r="P12" s="125"/>
      <c r="Q12" s="126"/>
      <c r="R12" s="126"/>
    </row>
    <row r="13" spans="2:18" ht="17">
      <c r="B13" s="208"/>
      <c r="C13" s="731" t="s">
        <v>410</v>
      </c>
      <c r="D13" s="204"/>
      <c r="E13" s="129"/>
      <c r="F13" s="129"/>
      <c r="G13" s="129"/>
      <c r="H13" s="129"/>
      <c r="I13" s="129"/>
      <c r="J13" s="129"/>
      <c r="K13" s="129"/>
      <c r="L13" s="129"/>
      <c r="M13" s="129"/>
      <c r="N13" s="129"/>
      <c r="P13" s="125"/>
      <c r="Q13" s="126"/>
      <c r="R13" s="126"/>
    </row>
    <row r="14" spans="2:18" ht="17">
      <c r="B14" s="208"/>
      <c r="C14" s="203" t="s">
        <v>411</v>
      </c>
      <c r="D14" s="204"/>
      <c r="E14" s="129"/>
      <c r="F14" s="129"/>
      <c r="G14" s="129"/>
      <c r="H14" s="129"/>
      <c r="I14" s="129"/>
      <c r="J14" s="129"/>
      <c r="K14" s="129"/>
      <c r="L14" s="129"/>
      <c r="M14" s="129"/>
      <c r="N14" s="129"/>
      <c r="P14" s="125"/>
      <c r="Q14" s="126"/>
      <c r="R14" s="126"/>
    </row>
    <row r="15" spans="2:18">
      <c r="B15" s="205"/>
      <c r="C15" s="206"/>
      <c r="D15" s="207"/>
      <c r="E15" s="130"/>
      <c r="F15" s="130"/>
      <c r="G15" s="130"/>
      <c r="H15" s="130"/>
      <c r="I15" s="130"/>
      <c r="J15" s="130"/>
      <c r="K15" s="130"/>
      <c r="L15" s="130"/>
      <c r="M15" s="130"/>
      <c r="N15" s="130"/>
      <c r="P15" s="126"/>
      <c r="Q15" s="126"/>
      <c r="R15" s="126"/>
    </row>
    <row r="16" spans="2:18" ht="102">
      <c r="B16" s="208" t="s">
        <v>163</v>
      </c>
      <c r="C16" s="280" t="s">
        <v>368</v>
      </c>
      <c r="D16" s="210"/>
      <c r="E16" s="131"/>
      <c r="F16" s="131"/>
      <c r="G16" s="131"/>
      <c r="H16" s="131"/>
      <c r="I16" s="131"/>
      <c r="J16" s="131"/>
      <c r="K16" s="131"/>
      <c r="L16" s="131"/>
      <c r="M16" s="131"/>
      <c r="N16" s="131"/>
      <c r="P16" s="126"/>
      <c r="Q16" s="126"/>
      <c r="R16" s="126"/>
    </row>
    <row r="17" spans="2:18" ht="17">
      <c r="B17" s="208"/>
      <c r="C17" s="209"/>
      <c r="D17" s="527" t="s">
        <v>363</v>
      </c>
      <c r="E17" s="131"/>
      <c r="F17" s="131"/>
      <c r="G17" s="131"/>
      <c r="H17" s="131"/>
      <c r="I17" s="131"/>
      <c r="J17" s="131"/>
      <c r="K17" s="131"/>
      <c r="L17" s="131"/>
      <c r="M17" s="131"/>
      <c r="N17" s="131"/>
      <c r="P17" s="126"/>
      <c r="Q17" s="126"/>
      <c r="R17" s="126"/>
    </row>
    <row r="18" spans="2:18" ht="34">
      <c r="B18" s="208" t="s">
        <v>171</v>
      </c>
      <c r="C18" s="203" t="s">
        <v>293</v>
      </c>
      <c r="D18" s="670" t="s">
        <v>364</v>
      </c>
      <c r="E18" s="131"/>
      <c r="F18" s="131"/>
      <c r="G18" s="131"/>
      <c r="H18" s="131"/>
      <c r="I18" s="131"/>
      <c r="J18" s="131"/>
      <c r="K18" s="131"/>
      <c r="L18" s="131"/>
      <c r="M18" s="131"/>
      <c r="N18" s="131"/>
      <c r="P18" s="126"/>
      <c r="Q18" s="126"/>
      <c r="R18" s="126"/>
    </row>
    <row r="19" spans="2:18" ht="30" customHeight="1">
      <c r="B19" s="208"/>
      <c r="C19" s="284" t="s">
        <v>164</v>
      </c>
      <c r="D19" s="528" t="s">
        <v>365</v>
      </c>
      <c r="E19" s="130"/>
      <c r="F19" s="130"/>
      <c r="G19" s="130"/>
      <c r="H19" s="130"/>
      <c r="I19" s="130"/>
      <c r="J19" s="130"/>
      <c r="K19" s="130"/>
      <c r="L19" s="130"/>
      <c r="M19" s="130"/>
      <c r="N19" s="130"/>
      <c r="P19" s="126"/>
      <c r="Q19" s="126"/>
      <c r="R19" s="126"/>
    </row>
    <row r="20" spans="2:18" ht="30" customHeight="1">
      <c r="B20" s="208"/>
      <c r="C20" s="285" t="s">
        <v>172</v>
      </c>
      <c r="D20" s="529"/>
      <c r="E20" s="131"/>
      <c r="F20" s="131"/>
      <c r="G20" s="131"/>
      <c r="H20" s="131"/>
      <c r="I20" s="131"/>
      <c r="J20" s="131"/>
      <c r="K20" s="131"/>
      <c r="L20" s="131"/>
      <c r="M20" s="131"/>
      <c r="N20" s="131"/>
      <c r="P20" s="125"/>
      <c r="Q20" s="126"/>
      <c r="R20" s="126"/>
    </row>
    <row r="21" spans="2:18" ht="30" customHeight="1">
      <c r="B21" s="208"/>
      <c r="C21" s="285" t="s">
        <v>294</v>
      </c>
      <c r="D21" s="530"/>
      <c r="E21" s="133"/>
      <c r="F21" s="133"/>
      <c r="G21" s="133"/>
      <c r="H21" s="133"/>
      <c r="I21" s="133"/>
      <c r="J21" s="133"/>
      <c r="K21" s="133"/>
      <c r="L21" s="133"/>
      <c r="M21" s="133"/>
      <c r="N21" s="133"/>
      <c r="P21" s="126"/>
      <c r="Q21" s="126"/>
      <c r="R21" s="126"/>
    </row>
    <row r="22" spans="2:18" ht="30" customHeight="1">
      <c r="B22" s="208"/>
      <c r="C22" s="284" t="s">
        <v>295</v>
      </c>
      <c r="D22" s="531" t="s">
        <v>366</v>
      </c>
      <c r="E22" s="134"/>
      <c r="F22" s="134"/>
      <c r="G22" s="134"/>
      <c r="H22" s="134"/>
      <c r="I22" s="134"/>
      <c r="J22" s="134"/>
      <c r="K22" s="134"/>
      <c r="L22" s="134"/>
      <c r="M22" s="134"/>
      <c r="N22" s="134"/>
    </row>
    <row r="23" spans="2:18" ht="51">
      <c r="B23" s="208"/>
      <c r="C23" s="285" t="s">
        <v>296</v>
      </c>
      <c r="D23" s="532" t="s">
        <v>7</v>
      </c>
      <c r="E23" s="133"/>
      <c r="F23" s="133"/>
      <c r="G23" s="133"/>
      <c r="H23" s="133"/>
      <c r="I23" s="133"/>
      <c r="J23" s="133"/>
      <c r="K23" s="133"/>
      <c r="L23" s="133"/>
      <c r="M23" s="133"/>
      <c r="N23" s="133"/>
    </row>
    <row r="24" spans="2:18">
      <c r="B24" s="208"/>
      <c r="C24" s="211"/>
      <c r="D24" s="210"/>
      <c r="E24" s="133"/>
      <c r="F24" s="133"/>
      <c r="G24" s="133"/>
      <c r="H24" s="133"/>
      <c r="I24" s="133"/>
      <c r="J24" s="133"/>
      <c r="K24" s="133"/>
      <c r="L24" s="133"/>
      <c r="M24" s="133"/>
      <c r="N24" s="133"/>
    </row>
    <row r="25" spans="2:18" ht="153">
      <c r="B25" s="208" t="s">
        <v>236</v>
      </c>
      <c r="C25" s="209" t="s">
        <v>367</v>
      </c>
      <c r="D25" s="210"/>
      <c r="E25" s="131"/>
      <c r="F25" s="131"/>
      <c r="G25" s="131"/>
      <c r="H25" s="131"/>
      <c r="I25" s="131"/>
      <c r="J25" s="131"/>
      <c r="K25" s="131"/>
      <c r="L25" s="131"/>
      <c r="M25" s="131"/>
      <c r="N25" s="131"/>
    </row>
    <row r="26" spans="2:18">
      <c r="B26" s="208"/>
      <c r="C26" s="209"/>
      <c r="D26" s="210"/>
      <c r="E26" s="131"/>
      <c r="F26" s="131"/>
      <c r="G26" s="131"/>
      <c r="H26" s="131"/>
      <c r="I26" s="131"/>
      <c r="J26" s="131"/>
      <c r="K26" s="131"/>
      <c r="L26" s="131"/>
      <c r="M26" s="131"/>
      <c r="N26" s="131"/>
    </row>
    <row r="27" spans="2:18" ht="85">
      <c r="B27" s="208" t="s">
        <v>237</v>
      </c>
      <c r="C27" s="280" t="s">
        <v>297</v>
      </c>
      <c r="D27" s="212"/>
      <c r="E27" s="135"/>
      <c r="F27" s="135"/>
      <c r="G27" s="135"/>
      <c r="H27" s="135"/>
      <c r="I27" s="135"/>
      <c r="J27" s="135"/>
      <c r="K27" s="135"/>
      <c r="L27" s="135"/>
      <c r="M27" s="135"/>
      <c r="N27" s="135"/>
    </row>
    <row r="28" spans="2:18">
      <c r="B28" s="208"/>
      <c r="C28" s="280"/>
      <c r="D28" s="212"/>
      <c r="E28" s="135"/>
      <c r="F28" s="135"/>
      <c r="G28" s="135"/>
      <c r="H28" s="135"/>
      <c r="I28" s="135"/>
      <c r="J28" s="135"/>
      <c r="K28" s="135"/>
      <c r="L28" s="135"/>
      <c r="M28" s="135"/>
      <c r="N28" s="135"/>
    </row>
    <row r="29" spans="2:18" ht="34">
      <c r="B29" s="679" t="s">
        <v>381</v>
      </c>
      <c r="C29" s="285" t="s">
        <v>382</v>
      </c>
      <c r="D29" s="212"/>
      <c r="E29" s="135"/>
      <c r="F29" s="135"/>
      <c r="G29" s="135"/>
      <c r="H29" s="135"/>
      <c r="I29" s="135"/>
      <c r="J29" s="135"/>
      <c r="K29" s="135"/>
      <c r="L29" s="135"/>
      <c r="M29" s="135"/>
      <c r="N29" s="135"/>
    </row>
    <row r="30" spans="2:18" ht="34">
      <c r="B30" s="739" t="s">
        <v>424</v>
      </c>
      <c r="C30" s="285" t="s">
        <v>425</v>
      </c>
      <c r="D30" s="212"/>
      <c r="E30" s="135"/>
      <c r="F30" s="135"/>
      <c r="G30" s="135"/>
      <c r="H30" s="135"/>
      <c r="I30" s="135"/>
      <c r="J30" s="135"/>
      <c r="K30" s="135"/>
      <c r="L30" s="135"/>
      <c r="M30" s="135"/>
      <c r="N30" s="135"/>
    </row>
    <row r="31" spans="2:18">
      <c r="B31" s="739"/>
      <c r="C31" s="680" t="s">
        <v>426</v>
      </c>
      <c r="D31" s="212"/>
      <c r="E31" s="135"/>
      <c r="F31" s="135"/>
      <c r="G31" s="135"/>
      <c r="H31" s="135"/>
      <c r="I31" s="135"/>
      <c r="J31" s="135"/>
      <c r="K31" s="135"/>
      <c r="L31" s="135"/>
      <c r="M31" s="135"/>
      <c r="N31" s="135"/>
    </row>
    <row r="32" spans="2:18">
      <c r="B32" s="205" t="s">
        <v>383</v>
      </c>
      <c r="C32" s="680" t="s">
        <v>378</v>
      </c>
      <c r="D32" s="212"/>
      <c r="E32" s="135"/>
      <c r="F32" s="135"/>
      <c r="G32" s="135"/>
      <c r="H32" s="135"/>
      <c r="I32" s="135"/>
      <c r="J32" s="135"/>
      <c r="K32" s="135"/>
      <c r="L32" s="135"/>
      <c r="M32" s="135"/>
      <c r="N32" s="135"/>
    </row>
    <row r="33" spans="2:14">
      <c r="B33" s="205" t="s">
        <v>384</v>
      </c>
      <c r="C33" s="680" t="s">
        <v>379</v>
      </c>
      <c r="D33" s="212"/>
      <c r="E33" s="135"/>
      <c r="F33" s="135"/>
      <c r="G33" s="135"/>
      <c r="H33" s="135"/>
      <c r="I33" s="135"/>
      <c r="J33" s="135"/>
      <c r="K33" s="135"/>
      <c r="L33" s="135"/>
      <c r="M33" s="135"/>
      <c r="N33" s="135"/>
    </row>
    <row r="34" spans="2:14">
      <c r="B34" s="205" t="s">
        <v>385</v>
      </c>
      <c r="C34" s="680" t="s">
        <v>380</v>
      </c>
      <c r="D34" s="212"/>
      <c r="E34" s="135"/>
      <c r="F34" s="135"/>
      <c r="G34" s="135"/>
      <c r="H34" s="135"/>
      <c r="I34" s="135"/>
      <c r="J34" s="135"/>
      <c r="K34" s="135"/>
      <c r="L34" s="135"/>
      <c r="M34" s="135"/>
      <c r="N34" s="135"/>
    </row>
    <row r="35" spans="2:14">
      <c r="B35" s="208"/>
      <c r="C35" s="280"/>
      <c r="D35" s="212"/>
      <c r="E35" s="135"/>
      <c r="F35" s="135"/>
      <c r="G35" s="135"/>
      <c r="H35" s="135"/>
      <c r="I35" s="135"/>
      <c r="J35" s="135"/>
      <c r="K35" s="135"/>
      <c r="L35" s="135"/>
      <c r="M35" s="135"/>
      <c r="N35" s="135"/>
    </row>
    <row r="36" spans="2:14" ht="64.5" customHeight="1">
      <c r="B36" s="208" t="s">
        <v>421</v>
      </c>
      <c r="C36" s="209" t="s">
        <v>422</v>
      </c>
      <c r="D36" s="212"/>
      <c r="E36" s="135"/>
      <c r="F36" s="135"/>
      <c r="G36" s="135"/>
      <c r="H36" s="135"/>
      <c r="I36" s="135"/>
      <c r="J36" s="135"/>
      <c r="K36" s="135"/>
      <c r="L36" s="135"/>
      <c r="M36" s="135"/>
      <c r="N36" s="135"/>
    </row>
    <row r="37" spans="2:14" ht="17">
      <c r="B37" s="208"/>
      <c r="C37" s="732" t="s">
        <v>413</v>
      </c>
      <c r="D37" s="212"/>
      <c r="E37" s="135"/>
      <c r="F37" s="135"/>
      <c r="G37" s="135"/>
      <c r="H37" s="135"/>
      <c r="I37" s="135"/>
      <c r="J37" s="135"/>
      <c r="K37" s="135"/>
      <c r="L37" s="135"/>
      <c r="M37" s="135"/>
      <c r="N37" s="135"/>
    </row>
    <row r="38" spans="2:14" ht="17">
      <c r="B38" s="208"/>
      <c r="C38" s="732" t="s">
        <v>414</v>
      </c>
      <c r="D38" s="212"/>
      <c r="E38" s="135"/>
      <c r="F38" s="135"/>
      <c r="G38" s="135"/>
      <c r="H38" s="135"/>
      <c r="I38" s="135"/>
      <c r="J38" s="135"/>
      <c r="K38" s="135"/>
      <c r="L38" s="135"/>
      <c r="M38" s="135"/>
      <c r="N38" s="135"/>
    </row>
    <row r="39" spans="2:14" ht="17">
      <c r="B39" s="208"/>
      <c r="C39" s="732" t="s">
        <v>415</v>
      </c>
      <c r="D39" s="212"/>
      <c r="E39" s="135"/>
      <c r="F39" s="135"/>
      <c r="G39" s="135"/>
      <c r="H39" s="135"/>
      <c r="I39" s="135"/>
      <c r="J39" s="135"/>
      <c r="K39" s="135"/>
      <c r="L39" s="135"/>
      <c r="M39" s="135"/>
      <c r="N39" s="135"/>
    </row>
    <row r="40" spans="2:14" ht="17">
      <c r="B40" s="208"/>
      <c r="C40" s="732" t="s">
        <v>416</v>
      </c>
      <c r="D40" s="212"/>
      <c r="E40" s="135"/>
      <c r="F40" s="135"/>
      <c r="G40" s="135"/>
      <c r="H40" s="135"/>
      <c r="I40" s="135"/>
      <c r="J40" s="135"/>
      <c r="K40" s="135"/>
      <c r="L40" s="135"/>
      <c r="M40" s="135"/>
      <c r="N40" s="135"/>
    </row>
    <row r="41" spans="2:14" ht="17">
      <c r="B41" s="208"/>
      <c r="C41" s="732" t="s">
        <v>417</v>
      </c>
      <c r="D41" s="212"/>
      <c r="E41" s="135"/>
      <c r="F41" s="135"/>
      <c r="G41" s="135"/>
      <c r="H41" s="135"/>
      <c r="I41" s="135"/>
      <c r="J41" s="135"/>
      <c r="K41" s="135"/>
      <c r="L41" s="135"/>
      <c r="M41" s="135"/>
      <c r="N41" s="135"/>
    </row>
    <row r="42" spans="2:14" ht="17">
      <c r="B42" s="208"/>
      <c r="C42" s="732" t="s">
        <v>418</v>
      </c>
      <c r="D42" s="212"/>
      <c r="E42" s="135"/>
      <c r="F42" s="135"/>
      <c r="G42" s="135"/>
      <c r="H42" s="135"/>
      <c r="I42" s="135"/>
      <c r="J42" s="135"/>
      <c r="K42" s="135"/>
      <c r="L42" s="135"/>
      <c r="M42" s="135"/>
      <c r="N42" s="135"/>
    </row>
    <row r="43" spans="2:14" ht="17">
      <c r="B43" s="208"/>
      <c r="C43" s="732" t="s">
        <v>419</v>
      </c>
      <c r="D43" s="212"/>
      <c r="E43" s="135"/>
      <c r="F43" s="135"/>
      <c r="G43" s="135"/>
      <c r="H43" s="135"/>
      <c r="I43" s="135"/>
      <c r="J43" s="135"/>
      <c r="K43" s="135"/>
      <c r="L43" s="135"/>
      <c r="M43" s="135"/>
      <c r="N43" s="135"/>
    </row>
    <row r="44" spans="2:14" ht="17">
      <c r="B44" s="208"/>
      <c r="C44" s="732" t="s">
        <v>420</v>
      </c>
      <c r="D44" s="212"/>
      <c r="E44" s="135"/>
      <c r="F44" s="135"/>
      <c r="G44" s="135"/>
      <c r="H44" s="135"/>
      <c r="I44" s="135"/>
      <c r="J44" s="135"/>
      <c r="K44" s="135"/>
      <c r="L44" s="135"/>
      <c r="M44" s="135"/>
      <c r="N44" s="135"/>
    </row>
    <row r="45" spans="2:14" ht="17" thickBot="1">
      <c r="B45" s="213"/>
      <c r="C45" s="214"/>
      <c r="D45" s="215"/>
      <c r="E45" s="130"/>
      <c r="F45" s="130"/>
      <c r="G45" s="130"/>
      <c r="H45" s="130"/>
      <c r="I45" s="130"/>
      <c r="J45" s="130"/>
      <c r="K45" s="130"/>
      <c r="L45" s="130"/>
      <c r="M45" s="130"/>
      <c r="N45" s="130"/>
    </row>
  </sheetData>
  <sheetProtection password="8195" sheet="1" objects="1" scenarios="1"/>
  <hyperlinks>
    <hyperlink ref="C32" r:id="rId1" xr:uid="{00000000-0004-0000-0000-000000000000}"/>
    <hyperlink ref="C33" r:id="rId2" xr:uid="{00000000-0004-0000-0000-000001000000}"/>
    <hyperlink ref="C34" r:id="rId3" xr:uid="{00000000-0004-0000-0000-000002000000}"/>
    <hyperlink ref="C10" r:id="rId4" xr:uid="{00000000-0004-0000-0000-000003000000}"/>
    <hyperlink ref="C13" r:id="rId5" xr:uid="{00000000-0004-0000-0000-000004000000}"/>
    <hyperlink ref="C31" r:id="rId6" xr:uid="{00000000-0004-0000-0000-000005000000}"/>
  </hyperlinks>
  <pageMargins left="0.7" right="0.7" top="0.75" bottom="0.75" header="0.3" footer="0.3"/>
  <pageSetup scale="54" orientation="portrait" horizontalDpi="4294967293" verticalDpi="0" r:id="rId7"/>
  <legacy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H147"/>
  <sheetViews>
    <sheetView showGridLines="0" zoomScale="70" zoomScaleNormal="70" workbookViewId="0">
      <pane ySplit="4" topLeftCell="A5" activePane="bottomLeft" state="frozen"/>
      <selection pane="bottomLeft" activeCell="AB113" sqref="AB113"/>
    </sheetView>
  </sheetViews>
  <sheetFormatPr baseColWidth="10" defaultColWidth="9.1640625" defaultRowHeight="16"/>
  <cols>
    <col min="1" max="1" width="1.6640625" style="1" customWidth="1"/>
    <col min="2" max="2" width="1" style="1" customWidth="1"/>
    <col min="3" max="3" width="7.6640625" style="1" customWidth="1"/>
    <col min="4" max="4" width="1" style="1" customWidth="1"/>
    <col min="5" max="5" width="75.33203125" style="1" customWidth="1"/>
    <col min="6" max="6" width="13.5" style="812" customWidth="1"/>
    <col min="7" max="7" width="22.33203125" style="1" bestFit="1" customWidth="1"/>
    <col min="8" max="8" width="0.83203125" style="1" customWidth="1"/>
    <col min="9" max="9" width="7.5" style="1" customWidth="1"/>
    <col min="10" max="11" width="1.83203125" style="1" customWidth="1"/>
    <col min="12" max="12" width="1.1640625" style="1" customWidth="1"/>
    <col min="13" max="13" width="8.33203125" style="1" customWidth="1"/>
    <col min="14" max="14" width="1" style="1" customWidth="1"/>
    <col min="15" max="15" width="55.5" style="1" customWidth="1"/>
    <col min="16" max="16" width="19" style="812" customWidth="1"/>
    <col min="17" max="17" width="24.33203125" style="1" customWidth="1"/>
    <col min="18" max="18" width="0.83203125" style="1" customWidth="1"/>
    <col min="19" max="19" width="7.6640625" style="1" customWidth="1"/>
    <col min="20" max="20" width="11.1640625" style="1" customWidth="1"/>
    <col min="21" max="21" width="19.1640625" style="1" customWidth="1"/>
    <col min="22" max="22" width="24.33203125" style="1" customWidth="1"/>
    <col min="23" max="23" width="19.1640625" style="1" customWidth="1"/>
    <col min="24" max="24" width="0.83203125" style="1" customWidth="1"/>
    <col min="25" max="16384" width="9.1640625" style="1"/>
  </cols>
  <sheetData>
    <row r="1" spans="1:25" ht="7.5" customHeight="1" thickBot="1">
      <c r="B1" s="74"/>
    </row>
    <row r="2" spans="1:25" s="299" customFormat="1" ht="30" customHeight="1" thickBot="1">
      <c r="B2" s="678"/>
      <c r="C2" s="882" t="s">
        <v>213</v>
      </c>
      <c r="D2" s="882"/>
      <c r="E2" s="882"/>
      <c r="F2" s="882"/>
      <c r="G2" s="882"/>
      <c r="H2" s="882"/>
      <c r="I2" s="882"/>
      <c r="J2" s="882"/>
      <c r="K2" s="883"/>
      <c r="L2" s="882"/>
      <c r="M2" s="882"/>
      <c r="N2" s="882"/>
      <c r="O2" s="882"/>
      <c r="P2" s="882"/>
      <c r="Q2" s="882"/>
      <c r="R2" s="882"/>
      <c r="S2" s="882"/>
      <c r="T2" s="882"/>
      <c r="U2" s="341"/>
      <c r="V2" s="342"/>
      <c r="W2" s="342"/>
      <c r="X2" s="342"/>
      <c r="Y2" s="343"/>
    </row>
    <row r="3" spans="1:25" ht="7.5" customHeight="1">
      <c r="B3" s="462"/>
      <c r="C3" s="421"/>
      <c r="D3" s="421"/>
      <c r="E3" s="421"/>
      <c r="F3" s="813"/>
      <c r="G3" s="421"/>
      <c r="H3" s="421"/>
      <c r="I3" s="421"/>
      <c r="J3" s="422"/>
      <c r="K3" s="421"/>
      <c r="L3" s="313"/>
      <c r="M3" s="421"/>
      <c r="N3" s="421"/>
      <c r="O3" s="421"/>
      <c r="P3" s="813"/>
      <c r="Q3" s="421"/>
      <c r="R3" s="421"/>
      <c r="S3" s="421"/>
      <c r="T3" s="421"/>
      <c r="U3" s="421"/>
      <c r="V3" s="314"/>
      <c r="W3" s="314"/>
      <c r="X3" s="314"/>
      <c r="Y3" s="317"/>
    </row>
    <row r="4" spans="1:25" ht="19" thickBot="1">
      <c r="B4" s="455"/>
      <c r="C4" s="401" t="s">
        <v>18</v>
      </c>
      <c r="D4" s="423"/>
      <c r="E4" s="477"/>
      <c r="F4" s="814"/>
      <c r="G4" s="477"/>
      <c r="H4" s="461"/>
      <c r="I4" s="662" t="s">
        <v>17</v>
      </c>
      <c r="J4" s="424"/>
      <c r="K4" s="478"/>
      <c r="L4" s="425"/>
      <c r="M4" s="401" t="s">
        <v>18</v>
      </c>
      <c r="N4" s="478"/>
      <c r="O4" s="884" t="s">
        <v>13</v>
      </c>
      <c r="P4" s="884"/>
      <c r="Q4" s="666"/>
      <c r="R4" s="478"/>
      <c r="S4" s="401" t="s">
        <v>17</v>
      </c>
      <c r="T4" s="392"/>
      <c r="U4" s="423"/>
      <c r="V4" s="477"/>
      <c r="W4" s="477"/>
      <c r="X4" s="477"/>
      <c r="Y4" s="479"/>
    </row>
    <row r="5" spans="1:25" ht="17" thickBot="1">
      <c r="B5" s="462"/>
      <c r="C5" s="314"/>
      <c r="D5" s="314"/>
      <c r="E5" s="2" t="s">
        <v>14</v>
      </c>
      <c r="F5" s="359" t="s">
        <v>264</v>
      </c>
      <c r="G5" s="408" t="s">
        <v>301</v>
      </c>
      <c r="H5" s="663"/>
      <c r="I5" s="664"/>
      <c r="J5" s="665"/>
      <c r="K5" s="8"/>
      <c r="L5" s="462"/>
      <c r="M5" s="314"/>
      <c r="N5" s="314"/>
      <c r="O5" s="2" t="s">
        <v>408</v>
      </c>
      <c r="P5" s="359" t="s">
        <v>264</v>
      </c>
      <c r="Q5" s="408" t="s">
        <v>301</v>
      </c>
      <c r="R5" s="314"/>
      <c r="S5" s="314"/>
      <c r="T5" s="314"/>
      <c r="U5" s="314"/>
      <c r="V5" s="314"/>
      <c r="W5" s="314"/>
      <c r="X5" s="314"/>
      <c r="Y5" s="317"/>
    </row>
    <row r="6" spans="1:25">
      <c r="B6" s="490"/>
      <c r="C6" s="477"/>
      <c r="D6" s="477"/>
      <c r="E6" s="559" t="s">
        <v>504</v>
      </c>
      <c r="F6" s="551" t="s">
        <v>307</v>
      </c>
      <c r="G6" s="560">
        <v>15</v>
      </c>
      <c r="H6" s="426"/>
      <c r="I6" s="481" t="s">
        <v>7</v>
      </c>
      <c r="J6" s="482"/>
      <c r="K6" s="8"/>
      <c r="L6" s="490"/>
      <c r="M6" s="372"/>
      <c r="N6" s="477">
        <f>IF(OR(Q6&lt;=0,Q6&gt;G17),1,0)</f>
        <v>0</v>
      </c>
      <c r="O6" s="559" t="s">
        <v>445</v>
      </c>
      <c r="P6" s="551" t="s">
        <v>4</v>
      </c>
      <c r="Q6" s="598">
        <v>20</v>
      </c>
      <c r="R6" s="484"/>
      <c r="S6" s="481" t="s">
        <v>7</v>
      </c>
      <c r="T6" s="355"/>
      <c r="U6" s="477"/>
      <c r="V6" s="477"/>
      <c r="W6" s="477"/>
      <c r="X6" s="477"/>
      <c r="Y6" s="479"/>
    </row>
    <row r="7" spans="1:25">
      <c r="B7" s="490"/>
      <c r="C7" s="466"/>
      <c r="D7" s="477">
        <f>IF(OR(G7&lt;=0,G7&gt;1),1,0)</f>
        <v>0</v>
      </c>
      <c r="E7" s="561" t="s">
        <v>239</v>
      </c>
      <c r="F7" s="469" t="s">
        <v>1</v>
      </c>
      <c r="G7" s="562">
        <v>0.85499999999999998</v>
      </c>
      <c r="H7" s="483"/>
      <c r="I7" s="481" t="s">
        <v>7</v>
      </c>
      <c r="J7" s="482"/>
      <c r="K7" s="8"/>
      <c r="L7" s="490"/>
      <c r="M7" s="334"/>
      <c r="N7" s="477"/>
      <c r="O7" s="533" t="s">
        <v>174</v>
      </c>
      <c r="P7" s="469" t="s">
        <v>1</v>
      </c>
      <c r="Q7" s="562">
        <v>0</v>
      </c>
      <c r="R7" s="483"/>
      <c r="S7" s="481" t="s">
        <v>7</v>
      </c>
      <c r="T7" s="355"/>
      <c r="U7" s="477"/>
      <c r="V7" s="477"/>
      <c r="W7" s="477"/>
      <c r="X7" s="477"/>
      <c r="Y7" s="479"/>
    </row>
    <row r="8" spans="1:25" ht="17" thickBot="1">
      <c r="A8" s="411"/>
      <c r="B8" s="490"/>
      <c r="C8" s="477"/>
      <c r="D8" s="477"/>
      <c r="E8" s="563" t="s">
        <v>247</v>
      </c>
      <c r="F8" s="564" t="s">
        <v>2</v>
      </c>
      <c r="G8" s="565">
        <f>'Cash Flow'!G220</f>
        <v>112347000</v>
      </c>
      <c r="H8" s="427"/>
      <c r="I8" s="481" t="s">
        <v>7</v>
      </c>
      <c r="J8" s="482"/>
      <c r="K8" s="412"/>
      <c r="L8" s="490"/>
      <c r="M8" s="333"/>
      <c r="N8" s="477"/>
      <c r="O8" s="617" t="s">
        <v>409</v>
      </c>
      <c r="P8" s="538" t="s">
        <v>1</v>
      </c>
      <c r="Q8" s="569">
        <v>0</v>
      </c>
      <c r="R8" s="483"/>
      <c r="S8" s="481" t="s">
        <v>7</v>
      </c>
      <c r="T8" s="355"/>
      <c r="U8" s="478"/>
      <c r="V8" s="477"/>
      <c r="W8" s="477"/>
      <c r="X8" s="477"/>
      <c r="Y8" s="479"/>
    </row>
    <row r="9" spans="1:25" ht="17" thickBot="1">
      <c r="B9" s="490"/>
      <c r="C9" s="477"/>
      <c r="D9" s="477"/>
      <c r="E9" s="566" t="s">
        <v>303</v>
      </c>
      <c r="F9" s="815"/>
      <c r="G9" s="567" t="s">
        <v>377</v>
      </c>
      <c r="H9" s="427"/>
      <c r="I9" s="481" t="s">
        <v>7</v>
      </c>
      <c r="J9" s="482"/>
      <c r="K9" s="8"/>
      <c r="L9" s="425"/>
      <c r="M9" s="478"/>
      <c r="N9" s="478"/>
      <c r="O9" s="478"/>
      <c r="P9" s="814"/>
      <c r="Q9" s="478"/>
      <c r="R9" s="478"/>
      <c r="S9" s="478"/>
      <c r="T9" s="478"/>
      <c r="U9" s="223"/>
      <c r="V9" s="223"/>
      <c r="W9" s="223"/>
      <c r="X9" s="477"/>
      <c r="Y9" s="479"/>
    </row>
    <row r="10" spans="1:25" ht="17" thickBot="1">
      <c r="B10" s="490"/>
      <c r="C10" s="371"/>
      <c r="D10" s="477">
        <f>IF(OR(G10&lt;0,G10&gt;1),1,0)</f>
        <v>0</v>
      </c>
      <c r="E10" s="568" t="s">
        <v>330</v>
      </c>
      <c r="F10" s="469" t="s">
        <v>1</v>
      </c>
      <c r="G10" s="562">
        <v>5.0000000000000001E-3</v>
      </c>
      <c r="H10" s="483"/>
      <c r="I10" s="481" t="s">
        <v>7</v>
      </c>
      <c r="J10" s="482"/>
      <c r="K10" s="8"/>
      <c r="L10" s="425"/>
      <c r="M10" s="477"/>
      <c r="N10" s="477"/>
      <c r="O10" s="2" t="s">
        <v>427</v>
      </c>
      <c r="P10" s="3"/>
      <c r="Q10" s="4"/>
      <c r="R10" s="478"/>
      <c r="S10" s="481" t="s">
        <v>7</v>
      </c>
      <c r="T10" s="196"/>
      <c r="U10" s="218"/>
      <c r="V10" s="218"/>
      <c r="W10" s="218"/>
      <c r="X10" s="477"/>
      <c r="Y10" s="479"/>
    </row>
    <row r="11" spans="1:25" ht="20" thickBot="1">
      <c r="B11" s="490"/>
      <c r="C11" s="477"/>
      <c r="D11" s="477"/>
      <c r="E11" s="740" t="str">
        <f>IF(G9="Year-by-Year","Click to enter year by year resource and production degradation","")</f>
        <v/>
      </c>
      <c r="F11" s="538"/>
      <c r="G11" s="569"/>
      <c r="H11" s="483"/>
      <c r="I11" s="481" t="s">
        <v>7</v>
      </c>
      <c r="J11" s="482"/>
      <c r="K11" s="8"/>
      <c r="L11" s="425"/>
      <c r="M11" s="371"/>
      <c r="N11" s="477"/>
      <c r="O11" s="618" t="s">
        <v>224</v>
      </c>
      <c r="P11" s="838"/>
      <c r="Q11" s="619" t="s">
        <v>287</v>
      </c>
      <c r="R11" s="477"/>
      <c r="S11" s="357" t="s">
        <v>7</v>
      </c>
      <c r="T11" s="358">
        <f>IF(Q6&lt;G17,1,0)</f>
        <v>1</v>
      </c>
      <c r="U11" s="477"/>
      <c r="V11" s="477"/>
      <c r="W11" s="477"/>
      <c r="X11" s="477"/>
      <c r="Y11" s="479"/>
    </row>
    <row r="12" spans="1:25">
      <c r="B12" s="490"/>
      <c r="C12" s="477"/>
      <c r="D12" s="475"/>
      <c r="E12" s="550" t="s">
        <v>304</v>
      </c>
      <c r="F12" s="570" t="s">
        <v>305</v>
      </c>
      <c r="G12" s="571">
        <v>0.95</v>
      </c>
      <c r="H12" s="427"/>
      <c r="I12" s="481" t="s">
        <v>7</v>
      </c>
      <c r="J12" s="482"/>
      <c r="K12" s="8"/>
      <c r="L12" s="425"/>
      <c r="M12" s="371"/>
      <c r="N12" s="477">
        <f>IF(OR(Q12&lt;=0,Q12=""),1,0)</f>
        <v>0</v>
      </c>
      <c r="O12" s="620" t="s">
        <v>186</v>
      </c>
      <c r="P12" s="463" t="s">
        <v>48</v>
      </c>
      <c r="Q12" s="621">
        <v>4</v>
      </c>
      <c r="R12" s="477"/>
      <c r="S12" s="357" t="s">
        <v>7</v>
      </c>
      <c r="T12" s="358">
        <f>IF(AND($Q$6&lt;$G$17,$Q$11="Year One"),1,0)</f>
        <v>1</v>
      </c>
      <c r="U12" s="477"/>
      <c r="V12" s="477"/>
      <c r="W12" s="477"/>
      <c r="X12" s="477"/>
      <c r="Y12" s="479"/>
    </row>
    <row r="13" spans="1:25">
      <c r="A13" s="409"/>
      <c r="B13" s="490"/>
      <c r="C13" s="477"/>
      <c r="D13" s="475"/>
      <c r="E13" s="561" t="s">
        <v>306</v>
      </c>
      <c r="F13" s="470" t="s">
        <v>307</v>
      </c>
      <c r="G13" s="572">
        <f>G6/G12</f>
        <v>15.789473684210527</v>
      </c>
      <c r="H13" s="427"/>
      <c r="I13" s="481" t="s">
        <v>7</v>
      </c>
      <c r="J13" s="482"/>
      <c r="K13" s="410"/>
      <c r="L13" s="425"/>
      <c r="M13" s="371"/>
      <c r="N13" s="477">
        <f>IF(OR(Q13&lt;=0,Q13=""),1,0)</f>
        <v>0</v>
      </c>
      <c r="O13" s="622" t="s">
        <v>187</v>
      </c>
      <c r="P13" s="356" t="s">
        <v>1</v>
      </c>
      <c r="Q13" s="623">
        <v>0.02</v>
      </c>
      <c r="R13" s="477"/>
      <c r="S13" s="370" t="s">
        <v>7</v>
      </c>
      <c r="T13" s="358">
        <f>IF(AND($Q$6&lt;$G$17,$Q$11="Year One"),1,0)</f>
        <v>1</v>
      </c>
      <c r="U13" s="477"/>
      <c r="V13" s="477"/>
      <c r="W13" s="477"/>
      <c r="X13" s="477"/>
      <c r="Y13" s="479"/>
    </row>
    <row r="14" spans="1:25" ht="17" thickBot="1">
      <c r="A14" s="409"/>
      <c r="B14" s="490"/>
      <c r="C14" s="477"/>
      <c r="D14" s="475"/>
      <c r="E14" s="573" t="s">
        <v>308</v>
      </c>
      <c r="F14" s="816"/>
      <c r="G14" s="574" t="s">
        <v>377</v>
      </c>
      <c r="H14" s="427"/>
      <c r="I14" s="481" t="s">
        <v>7</v>
      </c>
      <c r="J14" s="482"/>
      <c r="K14" s="410"/>
      <c r="L14" s="425"/>
      <c r="M14" s="477"/>
      <c r="N14" s="477"/>
      <c r="O14" s="624" t="str">
        <f>IF(OR($Q$11="Year One",$Q$6=$G$17),"","Click Here for Complex Input Worksheet")</f>
        <v/>
      </c>
      <c r="P14" s="839"/>
      <c r="Q14" s="625"/>
      <c r="R14" s="477"/>
      <c r="S14" s="464" t="s">
        <v>7</v>
      </c>
      <c r="T14" s="358">
        <f>IF(AND($Q$6&lt;$G$17,$Q$11="Year-by-Year"),1,0)</f>
        <v>0</v>
      </c>
      <c r="U14" s="196"/>
      <c r="V14" s="196"/>
      <c r="W14" s="196"/>
      <c r="X14" s="477"/>
      <c r="Y14" s="479"/>
    </row>
    <row r="15" spans="1:25" ht="17" thickBot="1">
      <c r="A15" s="409"/>
      <c r="B15" s="490"/>
      <c r="C15" s="477"/>
      <c r="D15" s="475"/>
      <c r="E15" s="575" t="s">
        <v>309</v>
      </c>
      <c r="F15" s="493" t="s">
        <v>1</v>
      </c>
      <c r="G15" s="576">
        <v>0.03</v>
      </c>
      <c r="H15" s="427"/>
      <c r="I15" s="481" t="s">
        <v>7</v>
      </c>
      <c r="J15" s="482"/>
      <c r="K15" s="410"/>
      <c r="L15" s="425"/>
      <c r="M15" s="477"/>
      <c r="N15" s="477"/>
      <c r="O15" s="477"/>
      <c r="Q15" s="477"/>
      <c r="R15" s="477"/>
      <c r="S15" s="477"/>
      <c r="T15" s="219"/>
      <c r="U15" s="196"/>
      <c r="V15" s="196"/>
      <c r="W15" s="196"/>
      <c r="X15" s="477"/>
      <c r="Y15" s="479"/>
    </row>
    <row r="16" spans="1:25" ht="20" thickBot="1">
      <c r="A16" s="409"/>
      <c r="B16" s="490"/>
      <c r="C16" s="477"/>
      <c r="D16" s="475"/>
      <c r="E16" s="740" t="str">
        <f>IF(G14="Year-by-Year","Click to enter year by year resource and production degradation","")</f>
        <v/>
      </c>
      <c r="F16" s="577"/>
      <c r="G16" s="578"/>
      <c r="H16" s="483"/>
      <c r="I16" s="481" t="s">
        <v>7</v>
      </c>
      <c r="J16" s="482"/>
      <c r="K16" s="410"/>
      <c r="L16" s="490"/>
      <c r="M16" s="477"/>
      <c r="N16" s="477"/>
      <c r="O16" s="428" t="s">
        <v>9</v>
      </c>
      <c r="P16" s="359" t="s">
        <v>264</v>
      </c>
      <c r="Q16" s="408" t="s">
        <v>301</v>
      </c>
      <c r="R16" s="440"/>
      <c r="S16" s="480"/>
      <c r="T16" s="355"/>
      <c r="U16" s="477"/>
      <c r="V16" s="477"/>
      <c r="W16" s="477"/>
      <c r="X16" s="477"/>
      <c r="Y16" s="479"/>
    </row>
    <row r="17" spans="1:25" ht="17" thickBot="1">
      <c r="A17" s="409"/>
      <c r="B17" s="490"/>
      <c r="C17" s="372"/>
      <c r="D17" s="477">
        <f>IF(OR(G17&lt;1,G17&gt;30),1,0)</f>
        <v>0</v>
      </c>
      <c r="E17" s="589" t="s">
        <v>185</v>
      </c>
      <c r="F17" s="588" t="s">
        <v>4</v>
      </c>
      <c r="G17" s="590">
        <v>25</v>
      </c>
      <c r="H17" s="484"/>
      <c r="I17" s="481" t="s">
        <v>7</v>
      </c>
      <c r="J17" s="482"/>
      <c r="K17" s="410"/>
      <c r="L17" s="490"/>
      <c r="M17" s="335"/>
      <c r="N17" s="477"/>
      <c r="O17" s="608" t="s">
        <v>8</v>
      </c>
      <c r="P17" s="588"/>
      <c r="Q17" s="626" t="s">
        <v>518</v>
      </c>
      <c r="R17" s="486"/>
      <c r="S17" s="481" t="s">
        <v>7</v>
      </c>
      <c r="T17" s="355"/>
      <c r="U17" s="477"/>
      <c r="V17" s="477"/>
      <c r="W17" s="477"/>
      <c r="X17" s="477"/>
      <c r="Y17" s="479"/>
    </row>
    <row r="18" spans="1:25" ht="17" thickBot="1">
      <c r="A18" s="409"/>
      <c r="B18" s="490"/>
      <c r="C18" s="477"/>
      <c r="D18" s="477"/>
      <c r="E18" s="477"/>
      <c r="F18" s="452"/>
      <c r="G18" s="484"/>
      <c r="H18" s="484"/>
      <c r="I18" s="485"/>
      <c r="J18" s="482"/>
      <c r="K18" s="410"/>
      <c r="L18" s="490"/>
      <c r="M18" s="338"/>
      <c r="N18" s="477"/>
      <c r="O18" s="438"/>
      <c r="P18" s="827"/>
      <c r="Q18" s="439"/>
      <c r="R18" s="477"/>
      <c r="S18" s="480"/>
      <c r="T18" s="355"/>
      <c r="U18" s="477"/>
      <c r="V18" s="477"/>
      <c r="W18" s="477"/>
      <c r="X18" s="477"/>
      <c r="Y18" s="479"/>
    </row>
    <row r="19" spans="1:25" ht="17" thickBot="1">
      <c r="B19" s="490"/>
      <c r="C19" s="477"/>
      <c r="D19" s="477"/>
      <c r="E19" s="6" t="s">
        <v>471</v>
      </c>
      <c r="F19" s="359" t="s">
        <v>264</v>
      </c>
      <c r="G19" s="408" t="s">
        <v>301</v>
      </c>
      <c r="H19" s="429"/>
      <c r="I19" s="485"/>
      <c r="J19" s="482"/>
      <c r="K19" s="410"/>
      <c r="L19" s="490"/>
      <c r="M19" s="475"/>
      <c r="N19" s="475"/>
      <c r="O19" s="428" t="s">
        <v>347</v>
      </c>
      <c r="P19" s="359" t="s">
        <v>264</v>
      </c>
      <c r="Q19" s="408" t="s">
        <v>301</v>
      </c>
      <c r="R19" s="486"/>
      <c r="S19" s="674"/>
      <c r="T19" s="355"/>
      <c r="U19" s="477"/>
      <c r="V19" s="477"/>
      <c r="W19" s="477"/>
      <c r="X19" s="477"/>
      <c r="Y19" s="479"/>
    </row>
    <row r="20" spans="1:25">
      <c r="B20" s="490"/>
      <c r="C20" s="335"/>
      <c r="D20" s="477"/>
      <c r="E20" s="550" t="s">
        <v>8</v>
      </c>
      <c r="F20" s="551"/>
      <c r="G20" s="581" t="s">
        <v>518</v>
      </c>
      <c r="H20" s="486"/>
      <c r="I20" s="481" t="s">
        <v>7</v>
      </c>
      <c r="J20" s="482"/>
      <c r="K20" s="8"/>
      <c r="L20" s="490"/>
      <c r="M20" s="339"/>
      <c r="N20" s="475"/>
      <c r="O20" s="597" t="s">
        <v>183</v>
      </c>
      <c r="P20" s="551" t="s">
        <v>1</v>
      </c>
      <c r="Q20" s="627">
        <v>0.02</v>
      </c>
      <c r="R20" s="483"/>
      <c r="S20" s="524" t="s">
        <v>7</v>
      </c>
      <c r="T20" s="355"/>
      <c r="U20" s="477"/>
      <c r="V20" s="477"/>
      <c r="W20" s="477"/>
      <c r="X20" s="477"/>
      <c r="Y20" s="479"/>
    </row>
    <row r="21" spans="1:25" ht="17" thickBot="1">
      <c r="B21" s="490"/>
      <c r="C21" s="477"/>
      <c r="D21" s="477"/>
      <c r="E21" s="582" t="s">
        <v>511</v>
      </c>
      <c r="F21" s="583" t="s">
        <v>323</v>
      </c>
      <c r="G21" s="584">
        <v>3200</v>
      </c>
      <c r="H21" s="430"/>
      <c r="I21" s="481" t="s">
        <v>7</v>
      </c>
      <c r="J21" s="431"/>
      <c r="K21" s="412"/>
      <c r="L21" s="490"/>
      <c r="M21" s="371"/>
      <c r="N21" s="475"/>
      <c r="O21" s="533" t="s">
        <v>181</v>
      </c>
      <c r="P21" s="469" t="s">
        <v>25</v>
      </c>
      <c r="Q21" s="535">
        <v>10</v>
      </c>
      <c r="R21" s="484"/>
      <c r="S21" s="481" t="s">
        <v>7</v>
      </c>
      <c r="T21" s="355"/>
      <c r="U21" s="477"/>
      <c r="V21" s="477"/>
      <c r="W21" s="477"/>
      <c r="X21" s="477"/>
      <c r="Y21" s="479"/>
    </row>
    <row r="22" spans="1:25" ht="17" thickBot="1">
      <c r="A22" s="413"/>
      <c r="B22" s="490"/>
      <c r="C22" s="477"/>
      <c r="D22" s="477"/>
      <c r="E22" s="477"/>
      <c r="G22" s="477"/>
      <c r="H22" s="477"/>
      <c r="I22" s="477"/>
      <c r="J22" s="479"/>
      <c r="K22" s="412"/>
      <c r="L22" s="490"/>
      <c r="M22" s="488"/>
      <c r="N22" s="475"/>
      <c r="O22" s="601" t="s">
        <v>182</v>
      </c>
      <c r="P22" s="538" t="s">
        <v>1</v>
      </c>
      <c r="Q22" s="607">
        <v>0.02</v>
      </c>
      <c r="R22" s="489"/>
      <c r="S22" s="481" t="s">
        <v>7</v>
      </c>
      <c r="T22" s="355"/>
      <c r="U22" s="477"/>
      <c r="V22" s="477"/>
      <c r="W22" s="477"/>
      <c r="X22" s="477"/>
      <c r="Y22" s="479"/>
    </row>
    <row r="23" spans="1:25">
      <c r="A23" s="409"/>
      <c r="B23" s="490"/>
      <c r="C23" s="477"/>
      <c r="D23" s="477"/>
      <c r="E23" s="808" t="s">
        <v>311</v>
      </c>
      <c r="F23" s="809"/>
      <c r="G23" s="810"/>
      <c r="H23" s="486"/>
      <c r="I23" s="481" t="s">
        <v>7</v>
      </c>
      <c r="J23" s="482"/>
      <c r="K23" s="412"/>
      <c r="L23" s="490"/>
      <c r="M23" s="338"/>
      <c r="N23" s="475"/>
      <c r="O23" s="628" t="s">
        <v>340</v>
      </c>
      <c r="P23" s="840"/>
      <c r="Q23" s="629"/>
      <c r="R23" s="486"/>
      <c r="S23" s="481"/>
      <c r="T23" s="355"/>
      <c r="U23" s="477"/>
      <c r="V23" s="477"/>
      <c r="W23" s="477"/>
      <c r="X23" s="477"/>
      <c r="Y23" s="479"/>
    </row>
    <row r="24" spans="1:25">
      <c r="A24" s="477"/>
      <c r="B24" s="490"/>
      <c r="C24" s="477"/>
      <c r="D24" s="477"/>
      <c r="E24" s="533" t="s">
        <v>506</v>
      </c>
      <c r="F24" s="487" t="s">
        <v>323</v>
      </c>
      <c r="G24" s="580">
        <v>175</v>
      </c>
      <c r="H24" s="477"/>
      <c r="I24" s="481" t="s">
        <v>7</v>
      </c>
      <c r="J24" s="479"/>
      <c r="K24" s="412"/>
      <c r="L24" s="490"/>
      <c r="M24" s="488"/>
      <c r="N24" s="475"/>
      <c r="O24" s="579" t="s">
        <v>184</v>
      </c>
      <c r="P24" s="470" t="s">
        <v>324</v>
      </c>
      <c r="Q24" s="630">
        <v>2</v>
      </c>
      <c r="R24" s="441"/>
      <c r="S24" s="481" t="s">
        <v>7</v>
      </c>
      <c r="T24" s="355"/>
      <c r="U24" s="477"/>
      <c r="V24" s="477"/>
      <c r="W24" s="477"/>
      <c r="X24" s="477"/>
      <c r="Y24" s="479"/>
    </row>
    <row r="25" spans="1:25" ht="17" thickBot="1">
      <c r="B25" s="490"/>
      <c r="C25" s="477"/>
      <c r="D25" s="477"/>
      <c r="E25" s="735" t="s">
        <v>472</v>
      </c>
      <c r="F25" s="736" t="s">
        <v>1</v>
      </c>
      <c r="G25" s="811">
        <v>0.5</v>
      </c>
      <c r="H25" s="460"/>
      <c r="I25" s="481" t="s">
        <v>7</v>
      </c>
      <c r="J25" s="482"/>
      <c r="K25" s="412"/>
      <c r="L25" s="490"/>
      <c r="M25" s="477"/>
      <c r="N25" s="475"/>
      <c r="O25" s="617" t="s">
        <v>90</v>
      </c>
      <c r="P25" s="587" t="s">
        <v>91</v>
      </c>
      <c r="Q25" s="631">
        <v>1</v>
      </c>
      <c r="R25" s="442"/>
      <c r="S25" s="481" t="s">
        <v>7</v>
      </c>
      <c r="T25" s="355"/>
      <c r="U25" s="477"/>
      <c r="V25" s="477"/>
      <c r="W25" s="477"/>
      <c r="X25" s="477"/>
      <c r="Y25" s="479"/>
    </row>
    <row r="26" spans="1:25">
      <c r="A26" s="411"/>
      <c r="B26" s="490"/>
      <c r="C26" s="477"/>
      <c r="D26" s="477"/>
      <c r="E26" s="579" t="s">
        <v>423</v>
      </c>
      <c r="F26" s="817" t="s">
        <v>312</v>
      </c>
      <c r="G26" s="738">
        <v>1</v>
      </c>
      <c r="H26" s="486">
        <v>4</v>
      </c>
      <c r="I26" s="481" t="s">
        <v>7</v>
      </c>
      <c r="J26" s="482"/>
      <c r="K26" s="412"/>
      <c r="L26" s="490"/>
      <c r="M26" s="338"/>
      <c r="N26" s="477"/>
      <c r="O26" s="628" t="s">
        <v>341</v>
      </c>
      <c r="P26" s="840"/>
      <c r="Q26" s="629"/>
      <c r="R26" s="486"/>
      <c r="S26" s="481"/>
      <c r="T26" s="355"/>
      <c r="U26" s="477"/>
      <c r="V26" s="477"/>
      <c r="W26" s="477"/>
      <c r="X26" s="477"/>
      <c r="Y26" s="479"/>
    </row>
    <row r="27" spans="1:25">
      <c r="A27" s="411"/>
      <c r="B27" s="490"/>
      <c r="C27" s="477"/>
      <c r="D27" s="477"/>
      <c r="E27" s="568" t="s">
        <v>313</v>
      </c>
      <c r="F27" s="817" t="s">
        <v>489</v>
      </c>
      <c r="G27" s="580">
        <v>4000000</v>
      </c>
      <c r="H27" s="486">
        <v>30000</v>
      </c>
      <c r="I27" s="481" t="s">
        <v>7</v>
      </c>
      <c r="J27" s="482"/>
      <c r="K27" s="412"/>
      <c r="L27" s="490"/>
      <c r="M27" s="339"/>
      <c r="N27" s="475"/>
      <c r="O27" s="579" t="s">
        <v>184</v>
      </c>
      <c r="P27" s="470" t="s">
        <v>324</v>
      </c>
      <c r="Q27" s="630">
        <v>2</v>
      </c>
      <c r="R27" s="441"/>
      <c r="S27" s="481" t="s">
        <v>7</v>
      </c>
      <c r="T27" s="355"/>
      <c r="U27" s="477"/>
      <c r="V27" s="477"/>
      <c r="W27" s="477"/>
      <c r="X27" s="477"/>
      <c r="Y27" s="479"/>
    </row>
    <row r="28" spans="1:25" ht="17" thickBot="1">
      <c r="A28" s="411"/>
      <c r="B28" s="490"/>
      <c r="C28" s="477"/>
      <c r="D28" s="477"/>
      <c r="E28" s="568" t="s">
        <v>314</v>
      </c>
      <c r="F28" s="817" t="s">
        <v>0</v>
      </c>
      <c r="G28" s="777">
        <v>750000</v>
      </c>
      <c r="H28" s="486">
        <v>750000</v>
      </c>
      <c r="I28" s="481" t="s">
        <v>7</v>
      </c>
      <c r="J28" s="482"/>
      <c r="K28" s="8"/>
      <c r="L28" s="490"/>
      <c r="M28" s="371"/>
      <c r="N28" s="475"/>
      <c r="O28" s="617" t="s">
        <v>90</v>
      </c>
      <c r="P28" s="587" t="s">
        <v>91</v>
      </c>
      <c r="Q28" s="631">
        <v>2</v>
      </c>
      <c r="R28" s="442"/>
      <c r="S28" s="481" t="s">
        <v>7</v>
      </c>
      <c r="T28" s="355"/>
      <c r="U28" s="477"/>
      <c r="V28" s="477"/>
      <c r="W28" s="477"/>
      <c r="X28" s="477"/>
      <c r="Y28" s="479"/>
    </row>
    <row r="29" spans="1:25">
      <c r="A29" s="411"/>
      <c r="B29" s="490"/>
      <c r="C29" s="477"/>
      <c r="D29" s="477"/>
      <c r="E29" s="533" t="s">
        <v>494</v>
      </c>
      <c r="F29" s="817" t="s">
        <v>323</v>
      </c>
      <c r="G29" s="865">
        <f>((((1/G25)*G27)*G26)+G28)/($G$6*1000)</f>
        <v>583.33333333333337</v>
      </c>
      <c r="H29" s="477"/>
      <c r="I29" s="477"/>
      <c r="J29" s="479"/>
      <c r="K29" s="8"/>
      <c r="L29" s="490"/>
      <c r="M29" s="338"/>
      <c r="N29" s="475"/>
      <c r="O29" s="628" t="s">
        <v>375</v>
      </c>
      <c r="P29" s="840"/>
      <c r="Q29" s="629"/>
      <c r="R29" s="486"/>
      <c r="S29" s="481"/>
      <c r="T29" s="355"/>
      <c r="U29" s="477"/>
      <c r="V29" s="477"/>
      <c r="W29" s="477"/>
      <c r="X29" s="477"/>
      <c r="Y29" s="479"/>
    </row>
    <row r="30" spans="1:25">
      <c r="A30" s="477"/>
      <c r="B30" s="490"/>
      <c r="C30" s="477"/>
      <c r="D30" s="477"/>
      <c r="E30" s="533" t="s">
        <v>490</v>
      </c>
      <c r="F30" s="736" t="s">
        <v>1</v>
      </c>
      <c r="G30" s="801">
        <v>1</v>
      </c>
      <c r="H30" s="477"/>
      <c r="I30" s="481" t="s">
        <v>7</v>
      </c>
      <c r="J30" s="479"/>
      <c r="K30" s="8"/>
      <c r="L30" s="490"/>
      <c r="M30" s="371"/>
      <c r="N30" s="477"/>
      <c r="O30" s="533" t="s">
        <v>59</v>
      </c>
      <c r="P30" s="468" t="s">
        <v>1</v>
      </c>
      <c r="Q30" s="632">
        <v>4.0000000000000001E-3</v>
      </c>
      <c r="R30" s="483"/>
      <c r="S30" s="464" t="s">
        <v>7</v>
      </c>
      <c r="T30" s="355"/>
      <c r="U30" s="477"/>
      <c r="V30" s="477"/>
      <c r="W30" s="477"/>
      <c r="X30" s="477"/>
      <c r="Y30" s="479"/>
    </row>
    <row r="31" spans="1:25">
      <c r="A31" s="411"/>
      <c r="B31" s="490"/>
      <c r="C31" s="477"/>
      <c r="D31" s="477"/>
      <c r="E31" s="806" t="s">
        <v>505</v>
      </c>
      <c r="F31" s="818" t="s">
        <v>0</v>
      </c>
      <c r="G31" s="866">
        <f>IF($G$20="Simple",(G24*G6*1000),IF($G$20="Complex",'Complex Inputs'!$C$25,((((1/G25)*G27)*G26)+G28)))</f>
        <v>8750000</v>
      </c>
      <c r="H31" s="477"/>
      <c r="I31" s="789" t="s">
        <v>7</v>
      </c>
      <c r="J31" s="479"/>
      <c r="K31" s="8"/>
      <c r="L31" s="490"/>
      <c r="M31" s="338"/>
      <c r="N31" s="477"/>
      <c r="O31" s="533" t="s">
        <v>291</v>
      </c>
      <c r="P31" s="469" t="s">
        <v>0</v>
      </c>
      <c r="Q31" s="633">
        <f>$Q$30*IF($G$20="Simple",$G$75,IF($G$20="Intermediate",SUM(G32,G49,G64,G65,G67),G32+SUM('Complex Inputs'!$C$117:$C$119)))</f>
        <v>516248.97381250001</v>
      </c>
      <c r="R31" s="433"/>
      <c r="S31" s="464" t="s">
        <v>7</v>
      </c>
      <c r="T31" s="355"/>
      <c r="U31" s="477"/>
      <c r="V31" s="477"/>
      <c r="W31" s="477"/>
      <c r="X31" s="477"/>
      <c r="Y31" s="479"/>
    </row>
    <row r="32" spans="1:25" ht="17" thickBot="1">
      <c r="A32" s="477"/>
      <c r="B32" s="490"/>
      <c r="C32" s="477"/>
      <c r="D32" s="477"/>
      <c r="E32" s="553" t="s">
        <v>488</v>
      </c>
      <c r="F32" s="867" t="s">
        <v>0</v>
      </c>
      <c r="G32" s="868">
        <f>G31*(1+$G$30)</f>
        <v>17500000</v>
      </c>
      <c r="H32" s="486"/>
      <c r="I32" s="789" t="s">
        <v>7</v>
      </c>
      <c r="J32" s="482"/>
      <c r="K32" s="414"/>
      <c r="L32" s="490"/>
      <c r="M32" s="371"/>
      <c r="N32" s="477"/>
      <c r="O32" s="579" t="s">
        <v>175</v>
      </c>
      <c r="P32" s="468" t="s">
        <v>10</v>
      </c>
      <c r="Q32" s="634">
        <v>50000</v>
      </c>
      <c r="R32" s="443"/>
      <c r="S32" s="464" t="s">
        <v>7</v>
      </c>
      <c r="T32" s="558"/>
      <c r="U32" s="477"/>
      <c r="V32" s="477"/>
      <c r="W32" s="477"/>
      <c r="X32" s="477"/>
      <c r="Y32" s="479"/>
    </row>
    <row r="33" spans="1:25" ht="17" thickBot="1">
      <c r="B33" s="490"/>
      <c r="C33" s="477"/>
      <c r="D33" s="477"/>
      <c r="E33" s="477"/>
      <c r="F33" s="864"/>
      <c r="G33" s="861"/>
      <c r="H33" s="477"/>
      <c r="I33" s="790"/>
      <c r="J33" s="479"/>
      <c r="K33" s="414"/>
      <c r="L33" s="490"/>
      <c r="M33" s="371"/>
      <c r="N33" s="477"/>
      <c r="O33" s="635" t="s">
        <v>217</v>
      </c>
      <c r="P33" s="468" t="s">
        <v>10</v>
      </c>
      <c r="Q33" s="634">
        <v>75000</v>
      </c>
      <c r="R33" s="443"/>
      <c r="S33" s="464" t="s">
        <v>7</v>
      </c>
      <c r="T33" s="355"/>
      <c r="U33" s="477"/>
      <c r="V33" s="477"/>
      <c r="W33" s="477"/>
      <c r="X33" s="477"/>
      <c r="Y33" s="479"/>
    </row>
    <row r="34" spans="1:25" ht="17" thickBot="1">
      <c r="A34" s="413"/>
      <c r="B34" s="490"/>
      <c r="C34" s="477"/>
      <c r="D34" s="461"/>
      <c r="E34" s="6" t="s">
        <v>491</v>
      </c>
      <c r="F34" s="359" t="s">
        <v>264</v>
      </c>
      <c r="G34" s="408" t="s">
        <v>301</v>
      </c>
      <c r="H34" s="429"/>
      <c r="I34" s="481" t="s">
        <v>7</v>
      </c>
      <c r="J34" s="482"/>
      <c r="K34" s="414"/>
      <c r="L34" s="490"/>
      <c r="M34" s="671"/>
      <c r="N34" s="477"/>
      <c r="O34" s="533" t="s">
        <v>216</v>
      </c>
      <c r="P34" s="468" t="s">
        <v>1</v>
      </c>
      <c r="Q34" s="632">
        <v>-0.1</v>
      </c>
      <c r="R34" s="477"/>
      <c r="S34" s="464" t="s">
        <v>7</v>
      </c>
      <c r="T34" s="355"/>
      <c r="U34" s="477"/>
      <c r="V34" s="477"/>
      <c r="W34" s="477"/>
      <c r="X34" s="477"/>
      <c r="Y34" s="479"/>
    </row>
    <row r="35" spans="1:25">
      <c r="A35" s="413"/>
      <c r="B35" s="490"/>
      <c r="C35" s="371"/>
      <c r="D35" s="475">
        <f>IF(OR(G20="Simple",G20="Complex"),1,0)</f>
        <v>0</v>
      </c>
      <c r="E35" s="555" t="s">
        <v>315</v>
      </c>
      <c r="F35" s="819" t="s">
        <v>1</v>
      </c>
      <c r="G35" s="799">
        <v>0.5</v>
      </c>
      <c r="H35" s="486"/>
      <c r="I35" s="481" t="s">
        <v>7</v>
      </c>
      <c r="J35" s="482"/>
      <c r="K35" s="414"/>
      <c r="L35" s="490"/>
      <c r="M35" s="371"/>
      <c r="N35" s="477"/>
      <c r="O35" s="533" t="s">
        <v>348</v>
      </c>
      <c r="P35" s="468" t="s">
        <v>10</v>
      </c>
      <c r="Q35" s="634">
        <v>5000</v>
      </c>
      <c r="R35" s="477"/>
      <c r="S35" s="464" t="s">
        <v>7</v>
      </c>
      <c r="T35" s="477"/>
      <c r="U35" s="477"/>
      <c r="V35" s="477"/>
      <c r="W35" s="477"/>
      <c r="X35" s="477"/>
      <c r="Y35" s="479"/>
    </row>
    <row r="36" spans="1:25">
      <c r="A36" s="413"/>
      <c r="B36" s="490"/>
      <c r="C36" s="477"/>
      <c r="D36" s="475"/>
      <c r="E36" s="533" t="s">
        <v>479</v>
      </c>
      <c r="F36" s="820" t="s">
        <v>312</v>
      </c>
      <c r="G36" s="795">
        <v>2</v>
      </c>
      <c r="H36" s="429">
        <f>IF(OR($G$20="Simple",$G$20="Complex"),1,0)</f>
        <v>0</v>
      </c>
      <c r="I36" s="481" t="s">
        <v>7</v>
      </c>
      <c r="J36" s="482"/>
      <c r="K36" s="414"/>
      <c r="L36" s="490"/>
      <c r="M36" s="371"/>
      <c r="N36" s="477"/>
      <c r="O36" s="568" t="s">
        <v>104</v>
      </c>
      <c r="P36" s="468" t="s">
        <v>1</v>
      </c>
      <c r="Q36" s="632">
        <v>0.03</v>
      </c>
      <c r="R36" s="483"/>
      <c r="S36" s="464" t="s">
        <v>7</v>
      </c>
      <c r="T36" s="355"/>
      <c r="U36" s="477"/>
      <c r="V36" s="477"/>
      <c r="W36" s="477"/>
      <c r="X36" s="477"/>
      <c r="Y36" s="479"/>
    </row>
    <row r="37" spans="1:25" ht="17" thickBot="1">
      <c r="A37" s="413"/>
      <c r="B37" s="490"/>
      <c r="C37" s="371"/>
      <c r="D37" s="475"/>
      <c r="E37" s="533" t="s">
        <v>316</v>
      </c>
      <c r="F37" s="820" t="s">
        <v>0</v>
      </c>
      <c r="G37" s="580">
        <v>3500000</v>
      </c>
      <c r="H37" s="486"/>
      <c r="I37" s="481" t="s">
        <v>7</v>
      </c>
      <c r="J37" s="482"/>
      <c r="K37" s="414"/>
      <c r="L37" s="490"/>
      <c r="M37" s="338"/>
      <c r="N37" s="477"/>
      <c r="O37" s="525" t="s">
        <v>292</v>
      </c>
      <c r="P37" s="538" t="s">
        <v>0</v>
      </c>
      <c r="Q37" s="602">
        <f>-'Cash Flow'!G37</f>
        <v>625211.05500000028</v>
      </c>
      <c r="R37" s="433"/>
      <c r="S37" s="464" t="s">
        <v>7</v>
      </c>
      <c r="T37" s="477"/>
      <c r="U37" s="477"/>
      <c r="V37" s="477"/>
      <c r="W37" s="477"/>
      <c r="X37" s="477"/>
      <c r="Y37" s="479"/>
    </row>
    <row r="38" spans="1:25" ht="17" thickBot="1">
      <c r="A38" s="413"/>
      <c r="B38" s="490"/>
      <c r="C38" s="371"/>
      <c r="D38" s="475"/>
      <c r="E38" s="568" t="s">
        <v>317</v>
      </c>
      <c r="F38" s="820" t="s">
        <v>0</v>
      </c>
      <c r="G38" s="580">
        <v>250000</v>
      </c>
      <c r="H38" s="486"/>
      <c r="I38" s="481" t="s">
        <v>7</v>
      </c>
      <c r="J38" s="482"/>
      <c r="K38" s="414"/>
      <c r="L38" s="490"/>
      <c r="M38" s="477"/>
      <c r="N38" s="477"/>
      <c r="O38" s="477"/>
      <c r="Q38" s="477"/>
      <c r="R38" s="477"/>
      <c r="S38" s="477"/>
      <c r="T38" s="477"/>
      <c r="U38" s="477"/>
      <c r="V38" s="477"/>
      <c r="W38" s="477"/>
      <c r="X38" s="477"/>
      <c r="Y38" s="479"/>
    </row>
    <row r="39" spans="1:25" ht="17" thickBot="1">
      <c r="A39" s="477"/>
      <c r="B39" s="490"/>
      <c r="C39" s="371"/>
      <c r="D39" s="477"/>
      <c r="E39" s="635" t="s">
        <v>477</v>
      </c>
      <c r="F39" s="737" t="s">
        <v>4</v>
      </c>
      <c r="G39" s="535">
        <v>2</v>
      </c>
      <c r="H39" s="477"/>
      <c r="I39" s="481" t="s">
        <v>7</v>
      </c>
      <c r="J39" s="479"/>
      <c r="K39" s="414"/>
      <c r="L39" s="425"/>
      <c r="M39" s="478"/>
      <c r="N39" s="478"/>
      <c r="O39" s="641" t="s">
        <v>342</v>
      </c>
      <c r="P39" s="841"/>
      <c r="Q39" s="643" t="s">
        <v>301</v>
      </c>
      <c r="R39" s="478"/>
      <c r="S39" s="478"/>
      <c r="T39" s="478"/>
      <c r="U39" s="477"/>
      <c r="V39" s="477"/>
      <c r="W39" s="477"/>
      <c r="X39" s="477"/>
      <c r="Y39" s="479"/>
    </row>
    <row r="40" spans="1:25">
      <c r="A40" s="477"/>
      <c r="B40" s="490"/>
      <c r="C40" s="477"/>
      <c r="D40" s="477"/>
      <c r="E40" s="533" t="s">
        <v>501</v>
      </c>
      <c r="F40" s="787" t="s">
        <v>1</v>
      </c>
      <c r="G40" s="801">
        <v>0</v>
      </c>
      <c r="H40" s="477"/>
      <c r="I40" s="481" t="s">
        <v>7</v>
      </c>
      <c r="J40" s="479"/>
      <c r="K40" s="414"/>
      <c r="L40" s="425"/>
      <c r="M40" s="376"/>
      <c r="N40" s="478">
        <f>IF(OR(Q40&lt;1,Q40&gt;$G$17),1,0)</f>
        <v>0</v>
      </c>
      <c r="O40" s="597" t="s">
        <v>370</v>
      </c>
      <c r="P40" s="636" t="s">
        <v>25</v>
      </c>
      <c r="Q40" s="637">
        <v>10</v>
      </c>
      <c r="R40" s="478"/>
      <c r="S40" s="481" t="s">
        <v>7</v>
      </c>
      <c r="T40" s="478"/>
      <c r="U40" s="477"/>
      <c r="V40" s="477"/>
      <c r="W40" s="477"/>
      <c r="X40" s="477"/>
      <c r="Y40" s="479"/>
    </row>
    <row r="41" spans="1:25">
      <c r="A41" s="477"/>
      <c r="B41" s="490"/>
      <c r="C41" s="477"/>
      <c r="D41" s="477"/>
      <c r="E41" s="599" t="s">
        <v>31</v>
      </c>
      <c r="F41" s="469" t="s">
        <v>1</v>
      </c>
      <c r="G41" s="600">
        <v>0</v>
      </c>
      <c r="H41" s="445"/>
      <c r="I41" s="481" t="s">
        <v>7</v>
      </c>
      <c r="J41" s="479"/>
      <c r="K41" s="414"/>
      <c r="L41" s="490"/>
      <c r="M41" s="477"/>
      <c r="N41" s="477"/>
      <c r="O41" s="533" t="s">
        <v>372</v>
      </c>
      <c r="P41" s="640" t="s">
        <v>312</v>
      </c>
      <c r="Q41" s="644">
        <v>1</v>
      </c>
      <c r="R41" s="477"/>
      <c r="S41" s="481" t="s">
        <v>7</v>
      </c>
      <c r="T41" s="477"/>
      <c r="U41" s="477"/>
      <c r="V41" s="477"/>
      <c r="W41" s="477"/>
      <c r="X41" s="477"/>
      <c r="Y41" s="479"/>
    </row>
    <row r="42" spans="1:25">
      <c r="A42" s="477"/>
      <c r="B42" s="490"/>
      <c r="C42" s="477"/>
      <c r="D42" s="477"/>
      <c r="E42" s="533" t="s">
        <v>502</v>
      </c>
      <c r="F42" s="787" t="s">
        <v>1</v>
      </c>
      <c r="G42" s="802">
        <f>1-G40</f>
        <v>1</v>
      </c>
      <c r="H42" s="477"/>
      <c r="I42" s="481" t="s">
        <v>7</v>
      </c>
      <c r="J42" s="479"/>
      <c r="K42" s="414"/>
      <c r="L42" s="425"/>
      <c r="M42" s="488"/>
      <c r="N42" s="478"/>
      <c r="O42" s="599" t="s">
        <v>373</v>
      </c>
      <c r="P42" s="487" t="s">
        <v>0</v>
      </c>
      <c r="Q42" s="645">
        <v>0</v>
      </c>
      <c r="R42" s="478"/>
      <c r="S42" s="481" t="s">
        <v>7</v>
      </c>
      <c r="T42" s="478"/>
      <c r="U42" s="477"/>
      <c r="V42" s="477"/>
      <c r="W42" s="477"/>
      <c r="X42" s="477"/>
      <c r="Y42" s="479"/>
    </row>
    <row r="43" spans="1:25" ht="17" thickBot="1">
      <c r="A43" s="477"/>
      <c r="B43" s="490"/>
      <c r="C43" s="477"/>
      <c r="D43" s="477"/>
      <c r="E43" s="533" t="s">
        <v>492</v>
      </c>
      <c r="F43" s="736" t="s">
        <v>1</v>
      </c>
      <c r="G43" s="801">
        <v>0.3</v>
      </c>
      <c r="H43" s="477"/>
      <c r="I43" s="481" t="s">
        <v>7</v>
      </c>
      <c r="J43" s="479"/>
      <c r="K43" s="414"/>
      <c r="L43" s="490"/>
      <c r="M43" s="477"/>
      <c r="N43" s="475"/>
      <c r="O43" s="575" t="s">
        <v>374</v>
      </c>
      <c r="P43" s="493" t="s">
        <v>310</v>
      </c>
      <c r="Q43" s="646">
        <v>0.05</v>
      </c>
      <c r="R43" s="427"/>
      <c r="S43" s="481" t="s">
        <v>7</v>
      </c>
      <c r="T43" s="355"/>
      <c r="U43" s="477"/>
      <c r="V43" s="477"/>
      <c r="W43" s="477"/>
      <c r="X43" s="477"/>
      <c r="Y43" s="479"/>
    </row>
    <row r="44" spans="1:25">
      <c r="A44" s="477"/>
      <c r="B44" s="490"/>
      <c r="C44" s="477"/>
      <c r="D44" s="477"/>
      <c r="E44" s="805" t="s">
        <v>513</v>
      </c>
      <c r="F44" s="736" t="s">
        <v>1</v>
      </c>
      <c r="G44" s="803">
        <f>(G42*G43)+(G40*G41*(1-Q$109))</f>
        <v>0.3</v>
      </c>
      <c r="H44" s="477"/>
      <c r="I44" s="481" t="s">
        <v>7</v>
      </c>
      <c r="J44" s="479"/>
      <c r="K44" s="414"/>
      <c r="L44" s="425"/>
      <c r="M44" s="376"/>
      <c r="N44" s="478">
        <f>IF(OR(Q44&lt;=Q40,Q44&gt;$G$17),1,0)</f>
        <v>0</v>
      </c>
      <c r="O44" s="597" t="s">
        <v>371</v>
      </c>
      <c r="P44" s="636" t="s">
        <v>25</v>
      </c>
      <c r="Q44" s="637">
        <v>20</v>
      </c>
      <c r="R44" s="478"/>
      <c r="S44" s="481" t="s">
        <v>7</v>
      </c>
      <c r="T44" s="478"/>
      <c r="U44" s="477"/>
      <c r="V44" s="477"/>
      <c r="W44" s="477"/>
      <c r="X44" s="477"/>
      <c r="Y44" s="479"/>
    </row>
    <row r="45" spans="1:25" ht="17" thickBot="1">
      <c r="A45" s="477"/>
      <c r="B45" s="490"/>
      <c r="C45" s="477"/>
      <c r="D45" s="475"/>
      <c r="E45" s="855" t="s">
        <v>476</v>
      </c>
      <c r="F45" s="821"/>
      <c r="G45" s="585">
        <f>(((1/G35)*G36*G37)+G38)+((((1/G35)*G36*G37)+G38)*G44*(G39/2))</f>
        <v>18525000</v>
      </c>
      <c r="H45" s="486"/>
      <c r="I45" s="481" t="s">
        <v>7</v>
      </c>
      <c r="J45" s="482"/>
      <c r="K45" s="414"/>
      <c r="L45" s="490"/>
      <c r="M45" s="477"/>
      <c r="N45" s="477"/>
      <c r="O45" s="533" t="s">
        <v>372</v>
      </c>
      <c r="P45" s="640" t="s">
        <v>312</v>
      </c>
      <c r="Q45" s="644">
        <v>2</v>
      </c>
      <c r="R45" s="477"/>
      <c r="S45" s="481" t="s">
        <v>7</v>
      </c>
      <c r="T45" s="477"/>
      <c r="U45" s="477"/>
      <c r="V45" s="477"/>
      <c r="W45" s="477"/>
      <c r="X45" s="477"/>
      <c r="Y45" s="479"/>
    </row>
    <row r="46" spans="1:25">
      <c r="A46" s="413"/>
      <c r="B46" s="490"/>
      <c r="C46" s="477"/>
      <c r="D46" s="475"/>
      <c r="E46" s="771" t="str">
        <f>IF($G$20="Complex","Click Here for Complex Input Worksheet","")</f>
        <v/>
      </c>
      <c r="F46" s="822"/>
      <c r="G46" s="772"/>
      <c r="H46" s="434">
        <f>IF(OR(G20="Simple",G20="Intermediate"),1,0)</f>
        <v>1</v>
      </c>
      <c r="I46" s="481" t="s">
        <v>7</v>
      </c>
      <c r="J46" s="482"/>
      <c r="K46" s="414"/>
      <c r="L46" s="425"/>
      <c r="M46" s="488"/>
      <c r="N46" s="478"/>
      <c r="O46" s="599" t="s">
        <v>373</v>
      </c>
      <c r="P46" s="487" t="s">
        <v>0</v>
      </c>
      <c r="Q46" s="645">
        <v>0</v>
      </c>
      <c r="R46" s="478"/>
      <c r="S46" s="481" t="s">
        <v>7</v>
      </c>
      <c r="T46" s="478"/>
      <c r="U46" s="477"/>
      <c r="V46" s="477"/>
      <c r="W46" s="477"/>
      <c r="X46" s="477"/>
      <c r="Y46" s="479"/>
    </row>
    <row r="47" spans="1:25" ht="17" thickBot="1">
      <c r="A47" s="413"/>
      <c r="B47" s="490"/>
      <c r="C47" s="477"/>
      <c r="D47" s="477"/>
      <c r="E47" s="773" t="s">
        <v>476</v>
      </c>
      <c r="F47" s="769" t="s">
        <v>0</v>
      </c>
      <c r="G47" s="774" t="str">
        <f>IF(G20="Complex",'Complex Inputs'!C48+('Complex Inputs'!C48*G44*(G39/2)),"")</f>
        <v/>
      </c>
      <c r="H47" s="477"/>
      <c r="I47" s="782" t="s">
        <v>7</v>
      </c>
      <c r="J47" s="479"/>
      <c r="K47" s="414"/>
      <c r="L47" s="490"/>
      <c r="M47" s="477"/>
      <c r="N47" s="475"/>
      <c r="O47" s="563" t="s">
        <v>374</v>
      </c>
      <c r="P47" s="564" t="s">
        <v>310</v>
      </c>
      <c r="Q47" s="638">
        <v>0.08</v>
      </c>
      <c r="R47" s="427"/>
      <c r="S47" s="481" t="s">
        <v>7</v>
      </c>
      <c r="T47" s="355"/>
      <c r="U47" s="477"/>
      <c r="V47" s="477"/>
      <c r="W47" s="477"/>
      <c r="X47" s="477"/>
      <c r="Y47" s="479"/>
    </row>
    <row r="48" spans="1:25" ht="17" thickBot="1">
      <c r="A48" s="413"/>
      <c r="B48" s="490"/>
      <c r="C48" s="477"/>
      <c r="D48" s="477"/>
      <c r="E48" s="792" t="s">
        <v>514</v>
      </c>
      <c r="F48" s="793" t="s">
        <v>323</v>
      </c>
      <c r="G48" s="794">
        <f>IF($G$20="Simple","",IF($G$20="Intermediate",G45/(G6*1000),G47/(G6*1000)))</f>
        <v>1235</v>
      </c>
      <c r="H48" s="477"/>
      <c r="I48" s="477"/>
      <c r="J48" s="479"/>
      <c r="K48" s="478"/>
      <c r="L48" s="490"/>
      <c r="M48" s="477"/>
      <c r="N48" s="477"/>
      <c r="O48" s="477"/>
      <c r="Q48" s="477"/>
      <c r="R48" s="477"/>
      <c r="S48" s="477"/>
      <c r="T48" s="477"/>
      <c r="U48" s="477"/>
      <c r="V48" s="477"/>
      <c r="W48" s="477"/>
      <c r="X48" s="477"/>
      <c r="Y48" s="479"/>
    </row>
    <row r="49" spans="1:34" ht="17" thickBot="1">
      <c r="A49" s="477"/>
      <c r="B49" s="490"/>
      <c r="C49" s="477"/>
      <c r="D49" s="477"/>
      <c r="E49" s="525" t="s">
        <v>478</v>
      </c>
      <c r="F49" s="823" t="s">
        <v>0</v>
      </c>
      <c r="G49" s="804">
        <f>IF($G$20="Intermediate",G45+((((1/G35)*G36*G37)+G38)*G44*G52),IF($G$20="Complex",G47+('Complex Inputs'!$C$48*G44*G52),""))</f>
        <v>27075000</v>
      </c>
      <c r="H49" s="477"/>
      <c r="I49" s="481" t="s">
        <v>7</v>
      </c>
      <c r="J49" s="479"/>
      <c r="K49" s="478"/>
      <c r="L49" s="425"/>
      <c r="M49" s="478"/>
      <c r="N49" s="478"/>
      <c r="O49" s="428" t="s">
        <v>41</v>
      </c>
      <c r="P49" s="359" t="s">
        <v>264</v>
      </c>
      <c r="Q49" s="408" t="s">
        <v>301</v>
      </c>
      <c r="R49" s="478"/>
      <c r="S49" s="478"/>
      <c r="T49" s="478"/>
      <c r="U49" s="478"/>
      <c r="V49" s="477"/>
      <c r="W49" s="477"/>
      <c r="X49" s="477"/>
      <c r="Y49" s="479"/>
    </row>
    <row r="50" spans="1:34" ht="17" thickBot="1">
      <c r="A50" s="415"/>
      <c r="B50" s="490"/>
      <c r="C50" s="477"/>
      <c r="D50" s="477"/>
      <c r="E50" s="477"/>
      <c r="G50" s="477"/>
      <c r="H50" s="477"/>
      <c r="I50" s="477"/>
      <c r="J50" s="479"/>
      <c r="K50" s="8"/>
      <c r="L50" s="425"/>
      <c r="M50" s="478"/>
      <c r="N50" s="478"/>
      <c r="O50" s="647" t="s">
        <v>40</v>
      </c>
      <c r="P50" s="842"/>
      <c r="Q50" s="648"/>
      <c r="R50" s="478"/>
      <c r="S50" s="478"/>
      <c r="T50" s="478"/>
      <c r="U50" s="477"/>
      <c r="V50" s="477"/>
      <c r="W50" s="477"/>
      <c r="X50" s="477"/>
      <c r="Y50" s="479"/>
      <c r="AA50" s="478"/>
      <c r="AB50" s="477"/>
      <c r="AC50" s="477"/>
      <c r="AD50" s="477"/>
      <c r="AE50" s="477"/>
      <c r="AF50" s="477"/>
      <c r="AG50" s="477"/>
      <c r="AH50" s="478"/>
    </row>
    <row r="51" spans="1:34">
      <c r="B51" s="490"/>
      <c r="C51" s="477"/>
      <c r="D51" s="477"/>
      <c r="E51" s="778" t="s">
        <v>473</v>
      </c>
      <c r="F51" s="779" t="s">
        <v>264</v>
      </c>
      <c r="G51" s="780" t="s">
        <v>301</v>
      </c>
      <c r="H51" s="477"/>
      <c r="I51" s="481" t="s">
        <v>7</v>
      </c>
      <c r="J51" s="479"/>
      <c r="K51" s="8"/>
      <c r="L51" s="425"/>
      <c r="M51" s="375"/>
      <c r="N51" s="478"/>
      <c r="O51" s="639" t="s">
        <v>42</v>
      </c>
      <c r="P51" s="843"/>
      <c r="Q51" s="649" t="s">
        <v>503</v>
      </c>
      <c r="R51" s="478"/>
      <c r="S51" s="481" t="s">
        <v>7</v>
      </c>
      <c r="T51" s="478"/>
      <c r="U51" s="478"/>
      <c r="V51" s="477"/>
      <c r="W51" s="477"/>
      <c r="X51" s="477"/>
      <c r="Y51" s="479"/>
      <c r="AA51" s="478"/>
      <c r="AB51" s="477"/>
      <c r="AC51" s="477"/>
      <c r="AD51" s="477"/>
      <c r="AE51" s="477"/>
      <c r="AF51" s="477"/>
      <c r="AG51" s="478"/>
      <c r="AH51" s="478"/>
    </row>
    <row r="52" spans="1:34" ht="17" thickBot="1">
      <c r="A52" s="477"/>
      <c r="B52" s="490"/>
      <c r="C52" s="371"/>
      <c r="D52" s="477"/>
      <c r="E52" s="533" t="s">
        <v>481</v>
      </c>
      <c r="F52" s="487" t="s">
        <v>4</v>
      </c>
      <c r="G52" s="535">
        <v>2</v>
      </c>
      <c r="H52" s="477"/>
      <c r="I52" s="481" t="s">
        <v>7</v>
      </c>
      <c r="J52" s="479"/>
      <c r="K52" s="8"/>
      <c r="L52" s="425"/>
      <c r="M52" s="376"/>
      <c r="N52" s="478"/>
      <c r="O52" s="601" t="s">
        <v>43</v>
      </c>
      <c r="P52" s="650" t="s">
        <v>0</v>
      </c>
      <c r="Q52" s="557">
        <v>0</v>
      </c>
      <c r="R52" s="478"/>
      <c r="S52" s="481" t="s">
        <v>7</v>
      </c>
      <c r="T52" s="478"/>
      <c r="U52" s="385"/>
      <c r="V52" s="477"/>
      <c r="W52" s="477"/>
      <c r="X52" s="477"/>
      <c r="Y52" s="479"/>
      <c r="AA52" s="478"/>
      <c r="AB52" s="477"/>
      <c r="AC52" s="477"/>
      <c r="AD52" s="477"/>
      <c r="AE52" s="477"/>
      <c r="AF52" s="477"/>
      <c r="AG52" s="478"/>
      <c r="AH52" s="478"/>
    </row>
    <row r="53" spans="1:34" ht="17" thickBot="1">
      <c r="A53" s="477"/>
      <c r="B53" s="490"/>
      <c r="C53" s="477"/>
      <c r="D53" s="477"/>
      <c r="E53" s="533" t="s">
        <v>486</v>
      </c>
      <c r="F53" s="787" t="s">
        <v>1</v>
      </c>
      <c r="G53" s="801">
        <v>0.65</v>
      </c>
      <c r="H53" s="477"/>
      <c r="I53" s="481" t="s">
        <v>7</v>
      </c>
      <c r="J53" s="479"/>
      <c r="K53" s="8"/>
      <c r="L53" s="490"/>
      <c r="M53" s="477"/>
      <c r="N53" s="477"/>
      <c r="O53" s="477"/>
      <c r="Q53" s="477"/>
      <c r="R53" s="477"/>
      <c r="S53" s="477"/>
      <c r="T53" s="477"/>
      <c r="U53" s="477"/>
      <c r="V53" s="477"/>
      <c r="W53" s="477"/>
      <c r="X53" s="477"/>
      <c r="Y53" s="479"/>
      <c r="AA53" s="478"/>
      <c r="AB53" s="477"/>
      <c r="AC53" s="477"/>
      <c r="AD53" s="477"/>
      <c r="AE53" s="477"/>
      <c r="AF53" s="477"/>
      <c r="AG53" s="478"/>
      <c r="AH53" s="478"/>
    </row>
    <row r="54" spans="1:34" ht="17" thickBot="1">
      <c r="A54" s="477"/>
      <c r="B54" s="490"/>
      <c r="C54" s="477"/>
      <c r="D54" s="477"/>
      <c r="E54" s="599" t="s">
        <v>31</v>
      </c>
      <c r="F54" s="469" t="s">
        <v>1</v>
      </c>
      <c r="G54" s="600">
        <v>6.5000000000000002E-2</v>
      </c>
      <c r="H54" s="445"/>
      <c r="I54" s="481" t="s">
        <v>7</v>
      </c>
      <c r="J54" s="479"/>
      <c r="K54" s="478"/>
      <c r="L54" s="490"/>
      <c r="M54" s="338"/>
      <c r="N54" s="477"/>
      <c r="O54" s="428" t="s">
        <v>369</v>
      </c>
      <c r="P54" s="359" t="s">
        <v>264</v>
      </c>
      <c r="Q54" s="408" t="s">
        <v>301</v>
      </c>
      <c r="R54" s="477"/>
      <c r="S54" s="480"/>
      <c r="T54" s="355"/>
      <c r="U54" s="477"/>
      <c r="V54" s="477"/>
      <c r="W54" s="477"/>
      <c r="X54" s="477"/>
      <c r="Y54" s="479"/>
    </row>
    <row r="55" spans="1:34">
      <c r="A55" s="477"/>
      <c r="B55" s="490"/>
      <c r="C55" s="477"/>
      <c r="D55" s="477"/>
      <c r="E55" s="533" t="s">
        <v>485</v>
      </c>
      <c r="F55" s="787" t="s">
        <v>1</v>
      </c>
      <c r="G55" s="802">
        <f>1-G53</f>
        <v>0.35</v>
      </c>
      <c r="H55" s="477"/>
      <c r="I55" s="481" t="s">
        <v>7</v>
      </c>
      <c r="J55" s="479"/>
      <c r="K55" s="416"/>
      <c r="L55" s="425"/>
      <c r="M55" s="375"/>
      <c r="N55" s="477"/>
      <c r="O55" s="745" t="s">
        <v>466</v>
      </c>
      <c r="P55" s="844"/>
      <c r="Q55" s="758" t="s">
        <v>279</v>
      </c>
      <c r="R55" s="477">
        <f>IF(OR($Q$55="Cost-Based",$Q$55="Neither"),1,0)</f>
        <v>1</v>
      </c>
      <c r="S55" s="481" t="s">
        <v>7</v>
      </c>
      <c r="T55" s="369">
        <f>IF(OR($Q$55="Performance-Based",$Q$55="Neither"),1,0)</f>
        <v>0</v>
      </c>
      <c r="U55" s="477"/>
      <c r="V55" s="477"/>
      <c r="W55" s="477"/>
      <c r="X55" s="477"/>
      <c r="Y55" s="479"/>
    </row>
    <row r="56" spans="1:34">
      <c r="A56" s="477"/>
      <c r="B56" s="490"/>
      <c r="C56" s="477"/>
      <c r="D56" s="477"/>
      <c r="E56" s="533" t="s">
        <v>493</v>
      </c>
      <c r="F56" s="736" t="s">
        <v>1</v>
      </c>
      <c r="G56" s="801">
        <v>0.2</v>
      </c>
      <c r="H56" s="477"/>
      <c r="I56" s="481" t="s">
        <v>7</v>
      </c>
      <c r="J56" s="479"/>
      <c r="K56" s="8"/>
      <c r="L56" s="425"/>
      <c r="M56" s="375"/>
      <c r="N56" s="477"/>
      <c r="O56" s="568" t="s">
        <v>280</v>
      </c>
      <c r="P56" s="469"/>
      <c r="Q56" s="759" t="s">
        <v>290</v>
      </c>
      <c r="R56" s="478"/>
      <c r="S56" s="481" t="s">
        <v>7</v>
      </c>
      <c r="T56" s="478"/>
      <c r="U56" s="477"/>
      <c r="V56" s="477"/>
      <c r="W56" s="477"/>
      <c r="X56" s="477"/>
      <c r="Y56" s="479"/>
    </row>
    <row r="57" spans="1:34">
      <c r="A57" s="477"/>
      <c r="B57" s="490"/>
      <c r="C57" s="477"/>
      <c r="D57" s="477"/>
      <c r="E57" s="805" t="s">
        <v>487</v>
      </c>
      <c r="F57" s="791" t="s">
        <v>1</v>
      </c>
      <c r="G57" s="869">
        <f>(G55*G56)+(G53*G54*(1-Q$109))</f>
        <v>9.5128187499999989E-2</v>
      </c>
      <c r="H57" s="477"/>
      <c r="I57" s="872" t="s">
        <v>7</v>
      </c>
      <c r="J57" s="479"/>
      <c r="K57" s="8"/>
      <c r="L57" s="425"/>
      <c r="M57" s="375"/>
      <c r="N57" s="477">
        <f>IF(OR(Q57&lt;0,Q57&gt;1,Q57=""),1,0)</f>
        <v>0</v>
      </c>
      <c r="O57" s="579" t="s">
        <v>195</v>
      </c>
      <c r="P57" s="468" t="s">
        <v>1</v>
      </c>
      <c r="Q57" s="651">
        <v>0.3</v>
      </c>
      <c r="R57" s="478"/>
      <c r="S57" s="481" t="s">
        <v>7</v>
      </c>
      <c r="T57" s="478"/>
      <c r="U57" s="477"/>
      <c r="V57" s="477"/>
      <c r="W57" s="477"/>
      <c r="X57" s="477"/>
      <c r="Y57" s="479"/>
    </row>
    <row r="58" spans="1:34">
      <c r="B58" s="490"/>
      <c r="C58" s="477"/>
      <c r="D58" s="477"/>
      <c r="E58" s="870" t="s">
        <v>474</v>
      </c>
      <c r="F58" s="824"/>
      <c r="G58" s="871"/>
      <c r="H58" s="477"/>
      <c r="I58" s="477"/>
      <c r="J58" s="479"/>
      <c r="K58" s="8"/>
      <c r="L58" s="490"/>
      <c r="M58" s="477"/>
      <c r="N58" s="880">
        <f>IF(OR(Q58&lt;0,Q58&gt;1,Q58=""),1,0)</f>
        <v>0</v>
      </c>
      <c r="O58" s="579" t="s">
        <v>16</v>
      </c>
      <c r="P58" s="468" t="s">
        <v>1</v>
      </c>
      <c r="Q58" s="651">
        <v>1</v>
      </c>
      <c r="R58" s="477"/>
      <c r="S58" s="477"/>
      <c r="T58" s="477"/>
      <c r="U58" s="477"/>
      <c r="V58" s="477"/>
      <c r="W58" s="477"/>
      <c r="X58" s="477"/>
      <c r="Y58" s="479"/>
    </row>
    <row r="59" spans="1:34" ht="17" thickBot="1">
      <c r="B59" s="490"/>
      <c r="C59" s="371"/>
      <c r="D59" s="475"/>
      <c r="E59" s="635" t="s">
        <v>318</v>
      </c>
      <c r="F59" s="468" t="s">
        <v>312</v>
      </c>
      <c r="G59" s="781">
        <v>3</v>
      </c>
      <c r="H59" s="432"/>
      <c r="I59" s="481" t="s">
        <v>7</v>
      </c>
      <c r="J59" s="482"/>
      <c r="K59" s="8"/>
      <c r="L59" s="425"/>
      <c r="M59" s="477"/>
      <c r="N59" s="477"/>
      <c r="O59" s="525" t="s">
        <v>117</v>
      </c>
      <c r="P59" s="587" t="s">
        <v>0</v>
      </c>
      <c r="Q59" s="652">
        <f>IF($Q$104="Yes",IF($Q$56="ITC",IF($G$20="Complex",'Complex Inputs'!$D$121,'Cash Flow'!$C$102)*Inputs!$Q$57*Inputs!$Q$58,IF($Q$56="Cash Grant",IF($G$20="Complex",'Complex Inputs'!$D$121,'Cash Flow'!$C$102)*Inputs!$Q$57,0)),0)</f>
        <v>28296271.507218748</v>
      </c>
      <c r="R59" s="123"/>
      <c r="S59" s="481" t="s">
        <v>7</v>
      </c>
      <c r="T59" s="477"/>
      <c r="U59" s="477"/>
      <c r="V59" s="477"/>
      <c r="W59" s="477"/>
      <c r="X59" s="477"/>
      <c r="Y59" s="479"/>
    </row>
    <row r="60" spans="1:34">
      <c r="B60" s="490"/>
      <c r="C60" s="371"/>
      <c r="D60" s="475"/>
      <c r="E60" s="533" t="s">
        <v>319</v>
      </c>
      <c r="F60" s="825" t="s">
        <v>305</v>
      </c>
      <c r="G60" s="586">
        <v>0.5</v>
      </c>
      <c r="H60" s="486"/>
      <c r="I60" s="481" t="s">
        <v>7</v>
      </c>
      <c r="J60" s="482"/>
      <c r="K60" s="8"/>
      <c r="L60" s="425"/>
      <c r="M60" s="375"/>
      <c r="N60" s="477"/>
      <c r="O60" s="555" t="s">
        <v>282</v>
      </c>
      <c r="P60" s="845"/>
      <c r="Q60" s="653" t="s">
        <v>456</v>
      </c>
      <c r="R60" s="477"/>
      <c r="S60" s="481" t="s">
        <v>7</v>
      </c>
      <c r="T60" s="477"/>
      <c r="U60" s="477"/>
      <c r="V60" s="477"/>
      <c r="W60" s="477"/>
      <c r="X60" s="477"/>
      <c r="Y60" s="479"/>
    </row>
    <row r="61" spans="1:34">
      <c r="B61" s="490"/>
      <c r="C61" s="371"/>
      <c r="D61" s="475"/>
      <c r="E61" s="533" t="s">
        <v>320</v>
      </c>
      <c r="F61" s="469" t="s">
        <v>0</v>
      </c>
      <c r="G61" s="580">
        <v>3000000</v>
      </c>
      <c r="H61" s="432"/>
      <c r="I61" s="481" t="s">
        <v>7</v>
      </c>
      <c r="J61" s="482"/>
      <c r="K61" s="8"/>
      <c r="L61" s="425"/>
      <c r="M61" s="371"/>
      <c r="N61" s="477"/>
      <c r="O61" s="533" t="s">
        <v>121</v>
      </c>
      <c r="P61" s="228" t="s">
        <v>48</v>
      </c>
      <c r="Q61" s="654">
        <v>2.2999999999999998</v>
      </c>
      <c r="R61" s="478"/>
      <c r="S61" s="481" t="s">
        <v>7</v>
      </c>
      <c r="T61" s="477"/>
      <c r="U61" s="477"/>
      <c r="V61" s="477"/>
      <c r="W61" s="477"/>
      <c r="X61" s="477"/>
      <c r="Y61" s="479"/>
    </row>
    <row r="62" spans="1:34">
      <c r="B62" s="490"/>
      <c r="C62" s="371"/>
      <c r="D62" s="475"/>
      <c r="E62" s="533" t="s">
        <v>321</v>
      </c>
      <c r="F62" s="469"/>
      <c r="G62" s="580">
        <v>3000000</v>
      </c>
      <c r="H62" s="432"/>
      <c r="I62" s="481" t="s">
        <v>7</v>
      </c>
      <c r="J62" s="482"/>
      <c r="K62" s="8"/>
      <c r="L62" s="490"/>
      <c r="M62" s="477"/>
      <c r="N62" s="477">
        <f>IF(OR(Q62&lt;0,Q62&gt;1),1,0)</f>
        <v>0</v>
      </c>
      <c r="O62" s="533" t="s">
        <v>142</v>
      </c>
      <c r="P62" s="468" t="s">
        <v>1</v>
      </c>
      <c r="Q62" s="655">
        <v>1</v>
      </c>
      <c r="R62" s="477"/>
      <c r="S62" s="477"/>
      <c r="T62" s="478"/>
      <c r="U62" s="477"/>
      <c r="V62" s="477"/>
      <c r="W62" s="477"/>
      <c r="X62" s="477"/>
      <c r="Y62" s="479"/>
    </row>
    <row r="63" spans="1:34">
      <c r="B63" s="490"/>
      <c r="C63" s="371"/>
      <c r="D63" s="475"/>
      <c r="E63" s="533" t="s">
        <v>322</v>
      </c>
      <c r="F63" s="469" t="s">
        <v>0</v>
      </c>
      <c r="G63" s="580">
        <v>250000</v>
      </c>
      <c r="H63" s="432"/>
      <c r="I63" s="481" t="s">
        <v>7</v>
      </c>
      <c r="J63" s="482"/>
      <c r="K63" s="8"/>
      <c r="L63" s="425"/>
      <c r="M63" s="371"/>
      <c r="N63" s="477">
        <f>IF(OR(Q63&lt;0,Q63&gt;G17),1,0)</f>
        <v>0</v>
      </c>
      <c r="O63" s="533" t="s">
        <v>29</v>
      </c>
      <c r="P63" s="487" t="s">
        <v>28</v>
      </c>
      <c r="Q63" s="535">
        <v>10</v>
      </c>
      <c r="R63" s="478"/>
      <c r="S63" s="481" t="s">
        <v>7</v>
      </c>
      <c r="T63" s="477"/>
      <c r="U63" s="477"/>
      <c r="V63" s="477"/>
      <c r="W63" s="477"/>
      <c r="X63" s="477"/>
      <c r="Y63" s="479"/>
    </row>
    <row r="64" spans="1:34" ht="17" thickBot="1">
      <c r="A64" s="477"/>
      <c r="B64" s="490"/>
      <c r="C64" s="477"/>
      <c r="D64" s="475"/>
      <c r="E64" s="859" t="s">
        <v>484</v>
      </c>
      <c r="F64" s="469" t="s">
        <v>0</v>
      </c>
      <c r="G64" s="770">
        <f>(((G59-G36)*G61)+(G60*G59*G62)+G63)+(((G59-G36)*G61)+(G60*G59*G62)+G63)*G57*(G52/2)</f>
        <v>8487243.453125</v>
      </c>
      <c r="H64" s="432"/>
      <c r="I64" s="481" t="s">
        <v>7</v>
      </c>
      <c r="J64" s="482"/>
      <c r="K64" s="418"/>
      <c r="L64" s="425"/>
      <c r="M64" s="371"/>
      <c r="N64" s="477"/>
      <c r="O64" s="533" t="s">
        <v>126</v>
      </c>
      <c r="P64" s="468" t="s">
        <v>1</v>
      </c>
      <c r="Q64" s="655">
        <v>0.02</v>
      </c>
      <c r="R64" s="478"/>
      <c r="S64" s="481" t="s">
        <v>7</v>
      </c>
      <c r="T64" s="478"/>
      <c r="U64" s="477"/>
      <c r="V64" s="477"/>
      <c r="W64" s="477"/>
      <c r="X64" s="477"/>
      <c r="Y64" s="479"/>
    </row>
    <row r="65" spans="1:26">
      <c r="A65" s="417"/>
      <c r="B65" s="490"/>
      <c r="C65" s="672"/>
      <c r="D65" s="477"/>
      <c r="E65" s="786" t="s">
        <v>475</v>
      </c>
      <c r="F65" s="463" t="s">
        <v>0</v>
      </c>
      <c r="G65" s="592">
        <v>75000000</v>
      </c>
      <c r="H65" s="432"/>
      <c r="I65" s="464" t="s">
        <v>7</v>
      </c>
      <c r="J65" s="482"/>
      <c r="K65" s="478"/>
      <c r="L65" s="425"/>
      <c r="M65" s="371"/>
      <c r="N65" s="477"/>
      <c r="O65" s="523" t="s">
        <v>465</v>
      </c>
      <c r="P65" s="636" t="s">
        <v>0</v>
      </c>
      <c r="Q65" s="656">
        <v>0</v>
      </c>
      <c r="R65" s="123"/>
      <c r="S65" s="481" t="s">
        <v>7</v>
      </c>
      <c r="T65" s="478"/>
      <c r="U65" s="477"/>
      <c r="V65" s="477"/>
      <c r="W65" s="477"/>
      <c r="X65" s="477"/>
      <c r="Y65" s="479"/>
    </row>
    <row r="66" spans="1:26" ht="17" thickBot="1">
      <c r="A66" s="417"/>
      <c r="B66" s="490"/>
      <c r="C66" s="477"/>
      <c r="D66" s="477"/>
      <c r="E66" s="733" t="s">
        <v>515</v>
      </c>
      <c r="F66" s="463" t="s">
        <v>323</v>
      </c>
      <c r="G66" s="593">
        <f>G65/(G6*1000)</f>
        <v>5000</v>
      </c>
      <c r="H66" s="477"/>
      <c r="I66" s="464" t="s">
        <v>7</v>
      </c>
      <c r="J66" s="479"/>
      <c r="K66" s="477"/>
      <c r="L66" s="425"/>
      <c r="M66" s="375"/>
      <c r="N66" s="477"/>
      <c r="O66" s="525" t="s">
        <v>215</v>
      </c>
      <c r="P66" s="538"/>
      <c r="Q66" s="612" t="s">
        <v>12</v>
      </c>
      <c r="R66" s="9"/>
      <c r="S66" s="481" t="s">
        <v>7</v>
      </c>
      <c r="T66" s="478"/>
      <c r="U66" s="477"/>
      <c r="V66" s="477"/>
      <c r="W66" s="477"/>
      <c r="X66" s="477"/>
      <c r="Y66" s="479"/>
    </row>
    <row r="67" spans="1:26" ht="17" thickBot="1">
      <c r="A67" s="417"/>
      <c r="B67" s="490"/>
      <c r="C67" s="377"/>
      <c r="D67" s="477"/>
      <c r="E67" s="591" t="s">
        <v>144</v>
      </c>
      <c r="F67" s="463" t="s">
        <v>0</v>
      </c>
      <c r="G67" s="592">
        <v>1000000</v>
      </c>
      <c r="H67" s="432"/>
      <c r="I67" s="464" t="s">
        <v>7</v>
      </c>
      <c r="J67" s="482"/>
      <c r="K67" s="477"/>
      <c r="L67" s="490"/>
      <c r="M67" s="477"/>
      <c r="N67" s="477"/>
      <c r="O67" s="477"/>
      <c r="Q67" s="477"/>
      <c r="R67" s="477"/>
      <c r="S67" s="477"/>
      <c r="T67" s="477"/>
      <c r="U67" s="477"/>
      <c r="V67" s="477"/>
      <c r="W67" s="477"/>
      <c r="X67" s="477"/>
      <c r="Y67" s="479"/>
    </row>
    <row r="68" spans="1:26" ht="17" thickBot="1">
      <c r="A68" s="417"/>
      <c r="B68" s="490"/>
      <c r="C68" s="336"/>
      <c r="D68" s="477"/>
      <c r="E68" s="591" t="s">
        <v>517</v>
      </c>
      <c r="F68" s="463" t="s">
        <v>0</v>
      </c>
      <c r="G68" s="593">
        <f>(G82*G79*SUM(G32,G49,G64,G65,G67))+G92+G97+G100</f>
        <v>8049792.8595753945</v>
      </c>
      <c r="H68" s="433"/>
      <c r="I68" s="464" t="s">
        <v>7</v>
      </c>
      <c r="J68" s="482"/>
      <c r="K68" s="477"/>
      <c r="L68" s="425"/>
      <c r="M68" s="477"/>
      <c r="N68" s="477"/>
      <c r="O68" s="428" t="s">
        <v>459</v>
      </c>
      <c r="P68" s="681" t="s">
        <v>264</v>
      </c>
      <c r="Q68" s="643" t="s">
        <v>301</v>
      </c>
      <c r="R68" s="478"/>
      <c r="S68" s="477"/>
      <c r="T68" s="477"/>
      <c r="U68" s="477"/>
      <c r="V68" s="477"/>
      <c r="W68" s="477"/>
      <c r="X68" s="477"/>
      <c r="Y68" s="479"/>
    </row>
    <row r="69" spans="1:26">
      <c r="A69" s="417"/>
      <c r="B69" s="490"/>
      <c r="C69" s="336"/>
      <c r="D69" s="477"/>
      <c r="E69" s="775" t="str">
        <f>IF($G$20="Complex","Click Here for Complex Input Worksheet","")</f>
        <v/>
      </c>
      <c r="F69" s="826"/>
      <c r="G69" s="776"/>
      <c r="H69" s="434"/>
      <c r="I69" s="464" t="s">
        <v>7</v>
      </c>
      <c r="J69" s="482"/>
      <c r="K69" s="478"/>
      <c r="L69" s="425"/>
      <c r="M69" s="375"/>
      <c r="N69" s="477"/>
      <c r="O69" s="745" t="s">
        <v>468</v>
      </c>
      <c r="P69" s="845"/>
      <c r="Q69" s="653" t="s">
        <v>470</v>
      </c>
      <c r="R69" s="477"/>
      <c r="S69" s="481" t="s">
        <v>7</v>
      </c>
      <c r="T69" s="477"/>
      <c r="U69" s="477"/>
      <c r="V69" s="477"/>
      <c r="W69" s="477"/>
      <c r="X69" s="477"/>
      <c r="Y69" s="479"/>
    </row>
    <row r="70" spans="1:26">
      <c r="A70" s="477"/>
      <c r="B70" s="490"/>
      <c r="C70" s="477"/>
      <c r="D70" s="477"/>
      <c r="E70" s="859" t="s">
        <v>482</v>
      </c>
      <c r="F70" s="469" t="s">
        <v>0</v>
      </c>
      <c r="G70" s="785">
        <f>IF($G$20="Intermediate",(G65+G67+G68)+(G65+G67)*G57*(G52/2),"")</f>
        <v>91279535.109575391</v>
      </c>
      <c r="H70" s="477"/>
      <c r="I70" s="477"/>
      <c r="J70" s="479"/>
      <c r="K70" s="477"/>
      <c r="L70" s="425"/>
      <c r="M70" s="371"/>
      <c r="N70" s="477">
        <f>IF(OR(Q70&lt;0,Q70&gt;1),1,0)</f>
        <v>0</v>
      </c>
      <c r="O70" s="568" t="s">
        <v>176</v>
      </c>
      <c r="P70" s="469" t="s">
        <v>1</v>
      </c>
      <c r="Q70" s="657">
        <v>0.1</v>
      </c>
      <c r="R70" s="755">
        <f>IF(OR($Q$69="Performance-Based",$Q$69="Neither"),1,0)</f>
        <v>1</v>
      </c>
      <c r="S70" s="481" t="s">
        <v>7</v>
      </c>
      <c r="T70" s="477"/>
      <c r="U70" s="477"/>
      <c r="V70" s="477"/>
      <c r="W70" s="477"/>
      <c r="X70" s="477"/>
      <c r="Y70" s="479"/>
    </row>
    <row r="71" spans="1:26">
      <c r="A71" s="477"/>
      <c r="B71" s="490"/>
      <c r="C71" s="477"/>
      <c r="D71" s="477"/>
      <c r="E71" s="806" t="s">
        <v>483</v>
      </c>
      <c r="F71" s="798" t="str">
        <f>IF($G$20="Simple","","$")</f>
        <v>$</v>
      </c>
      <c r="G71" s="785">
        <f>IF($G$20="Complex",SUM('Complex Inputs'!C118:C120),IF($G$20="Intermediate",G64+G70,""))</f>
        <v>99766778.562700391</v>
      </c>
      <c r="H71" s="477"/>
      <c r="I71" s="481" t="s">
        <v>7</v>
      </c>
      <c r="J71" s="479"/>
      <c r="K71" s="478"/>
      <c r="L71" s="490"/>
      <c r="M71" s="477"/>
      <c r="N71" s="477">
        <f>IF(OR(Q71&lt;0,Q71&gt;1),1,0)</f>
        <v>0</v>
      </c>
      <c r="O71" s="568" t="s">
        <v>23</v>
      </c>
      <c r="P71" s="469" t="s">
        <v>1</v>
      </c>
      <c r="Q71" s="657">
        <v>1</v>
      </c>
      <c r="R71" s="477"/>
      <c r="S71" s="477"/>
      <c r="T71" s="477"/>
      <c r="U71" s="477"/>
      <c r="V71" s="477"/>
      <c r="W71" s="477"/>
      <c r="X71" s="477"/>
      <c r="Y71" s="479"/>
    </row>
    <row r="72" spans="1:26" ht="17" thickBot="1">
      <c r="A72" s="477"/>
      <c r="B72" s="490"/>
      <c r="C72" s="477"/>
      <c r="D72" s="477"/>
      <c r="E72" s="553" t="s">
        <v>495</v>
      </c>
      <c r="F72" s="797" t="s">
        <v>323</v>
      </c>
      <c r="G72" s="796">
        <f>G71/(G6*1000)</f>
        <v>6651.1185708466928</v>
      </c>
      <c r="H72" s="477"/>
      <c r="I72" s="477"/>
      <c r="J72" s="479"/>
      <c r="K72" s="478"/>
      <c r="L72" s="425"/>
      <c r="M72" s="371"/>
      <c r="N72" s="477">
        <f>IF(OR(Q72&lt;1,Q72&gt;G17),1,0)</f>
        <v>0</v>
      </c>
      <c r="O72" s="533" t="s">
        <v>27</v>
      </c>
      <c r="P72" s="487" t="s">
        <v>28</v>
      </c>
      <c r="Q72" s="535">
        <v>5</v>
      </c>
      <c r="R72" s="477"/>
      <c r="S72" s="481" t="s">
        <v>7</v>
      </c>
      <c r="T72" s="478"/>
      <c r="U72" s="477"/>
      <c r="V72" s="477"/>
      <c r="W72" s="477"/>
      <c r="X72" s="477"/>
      <c r="Y72" s="479"/>
      <c r="Z72" s="477"/>
    </row>
    <row r="73" spans="1:26" ht="17" thickBot="1">
      <c r="A73" s="477"/>
      <c r="B73" s="490"/>
      <c r="C73" s="477"/>
      <c r="D73" s="477"/>
      <c r="E73" s="860"/>
      <c r="F73" s="861"/>
      <c r="G73" s="861"/>
      <c r="H73" s="477"/>
      <c r="I73" s="477"/>
      <c r="J73" s="479"/>
      <c r="K73" s="477"/>
      <c r="L73" s="490"/>
      <c r="M73" s="477"/>
      <c r="N73" s="477"/>
      <c r="O73" s="525" t="s">
        <v>386</v>
      </c>
      <c r="P73" s="650" t="s">
        <v>0</v>
      </c>
      <c r="Q73" s="683">
        <f>IF(AND($Q$104="Yes",$Q$69="Cost-Based"),SUM('Cash Flow'!$G$183:$AJ$183),0)</f>
        <v>0</v>
      </c>
      <c r="R73" s="477"/>
      <c r="S73" s="481" t="s">
        <v>7</v>
      </c>
      <c r="T73" s="477"/>
      <c r="U73" s="477"/>
      <c r="V73" s="477"/>
      <c r="W73" s="477"/>
      <c r="X73" s="477"/>
      <c r="Y73" s="479"/>
      <c r="Z73" s="477"/>
    </row>
    <row r="74" spans="1:26" ht="17" thickBot="1">
      <c r="A74" s="477"/>
      <c r="B74" s="490"/>
      <c r="C74" s="477"/>
      <c r="D74" s="477"/>
      <c r="E74" s="6" t="s">
        <v>146</v>
      </c>
      <c r="F74" s="359" t="s">
        <v>264</v>
      </c>
      <c r="G74" s="408" t="s">
        <v>301</v>
      </c>
      <c r="H74" s="434"/>
      <c r="I74" s="673"/>
      <c r="J74" s="482"/>
      <c r="K74" s="477"/>
      <c r="L74" s="425"/>
      <c r="M74" s="375"/>
      <c r="N74" s="477"/>
      <c r="O74" s="635" t="s">
        <v>283</v>
      </c>
      <c r="P74" s="468"/>
      <c r="Q74" s="682" t="s">
        <v>456</v>
      </c>
      <c r="R74" s="9">
        <f>IF(OR($Q$69="Cost-Based",$Q$69="Neither"),1,0)</f>
        <v>1</v>
      </c>
      <c r="S74" s="481" t="s">
        <v>7</v>
      </c>
      <c r="T74" s="477"/>
      <c r="U74" s="477"/>
      <c r="V74" s="477"/>
      <c r="W74" s="477"/>
      <c r="X74" s="477"/>
      <c r="Y74" s="479"/>
      <c r="Z74" s="477"/>
    </row>
    <row r="75" spans="1:26">
      <c r="A75" s="477"/>
      <c r="B75" s="490"/>
      <c r="C75" s="337"/>
      <c r="D75" s="477"/>
      <c r="E75" s="807" t="s">
        <v>442</v>
      </c>
      <c r="F75" s="551" t="s">
        <v>0</v>
      </c>
      <c r="G75" s="594">
        <f>IF($G$20="Simple",($G$21*$G$6*1000)*((((1+$G$44)*15%)*($G$39/2))+(((1+$G$57)*85%)*($G$52/2))),IF($G$20="Intermediate",SUM(G49+G71),IF($G$20="Complex",$G$71+$G$49,0)))+G32</f>
        <v>144341778.56270039</v>
      </c>
      <c r="H75" s="434"/>
      <c r="I75" s="524" t="s">
        <v>7</v>
      </c>
      <c r="J75" s="482"/>
      <c r="K75" s="478"/>
      <c r="L75" s="490"/>
      <c r="M75" s="477"/>
      <c r="N75" s="477"/>
      <c r="O75" s="533" t="s">
        <v>458</v>
      </c>
      <c r="P75" s="73" t="s">
        <v>0</v>
      </c>
      <c r="Q75" s="645">
        <v>0</v>
      </c>
      <c r="R75" s="9"/>
      <c r="S75" s="481" t="s">
        <v>7</v>
      </c>
      <c r="T75" s="478"/>
      <c r="U75" s="477"/>
      <c r="V75" s="477"/>
      <c r="W75" s="477"/>
      <c r="X75" s="477"/>
      <c r="Y75" s="479"/>
      <c r="Z75" s="477"/>
    </row>
    <row r="76" spans="1:26" ht="17" thickBot="1">
      <c r="A76" s="419"/>
      <c r="B76" s="490"/>
      <c r="C76" s="337"/>
      <c r="D76" s="477"/>
      <c r="E76" s="747" t="s">
        <v>516</v>
      </c>
      <c r="F76" s="548" t="s">
        <v>323</v>
      </c>
      <c r="G76" s="596">
        <f>G75/(G6*1000)</f>
        <v>9622.7852375133589</v>
      </c>
      <c r="H76" s="436"/>
      <c r="I76" s="481" t="s">
        <v>7</v>
      </c>
      <c r="J76" s="482"/>
      <c r="K76" s="8"/>
      <c r="L76" s="425"/>
      <c r="M76" s="375"/>
      <c r="N76" s="477"/>
      <c r="O76" s="533" t="s">
        <v>469</v>
      </c>
      <c r="P76" s="435"/>
      <c r="Q76" s="649" t="s">
        <v>120</v>
      </c>
      <c r="R76" s="9">
        <f>IF(OR($Q$69="Cost-Based",$Q$69="Neither",$Q$74="Tax Credit"),1,0)</f>
        <v>1</v>
      </c>
      <c r="S76" s="481" t="s">
        <v>7</v>
      </c>
      <c r="T76" s="477"/>
      <c r="U76" s="477"/>
      <c r="V76" s="477"/>
      <c r="W76" s="477"/>
      <c r="X76" s="477"/>
      <c r="Y76" s="479"/>
      <c r="Z76" s="477"/>
    </row>
    <row r="77" spans="1:26" ht="17" thickBot="1">
      <c r="A77" s="417"/>
      <c r="B77" s="490"/>
      <c r="C77" s="338"/>
      <c r="D77" s="477"/>
      <c r="E77" s="438"/>
      <c r="F77" s="827"/>
      <c r="G77" s="439"/>
      <c r="H77" s="477"/>
      <c r="I77" s="480"/>
      <c r="J77" s="482"/>
      <c r="K77" s="8"/>
      <c r="L77" s="425"/>
      <c r="M77" s="371"/>
      <c r="N77" s="477"/>
      <c r="O77" s="533" t="s">
        <v>460</v>
      </c>
      <c r="P77" s="228" t="s">
        <v>48</v>
      </c>
      <c r="Q77" s="654">
        <v>1.5</v>
      </c>
      <c r="R77" s="9"/>
      <c r="S77" s="481" t="s">
        <v>7</v>
      </c>
      <c r="T77" s="358">
        <f>IF(OR($Q$69="Cost-Based",$Q$74="Tax Credit",$Q$69="Neither"),1,0)</f>
        <v>1</v>
      </c>
      <c r="U77" s="477"/>
      <c r="V77" s="477"/>
      <c r="W77" s="477"/>
      <c r="X77" s="477"/>
      <c r="Y77" s="479"/>
      <c r="Z77" s="477"/>
    </row>
    <row r="78" spans="1:26" ht="17" thickBot="1">
      <c r="B78" s="490"/>
      <c r="C78" s="340"/>
      <c r="D78" s="477"/>
      <c r="E78" s="428" t="s">
        <v>30</v>
      </c>
      <c r="F78" s="359" t="s">
        <v>264</v>
      </c>
      <c r="G78" s="408" t="s">
        <v>301</v>
      </c>
      <c r="H78" s="445"/>
      <c r="I78" s="402"/>
      <c r="J78" s="482"/>
      <c r="K78" s="8"/>
      <c r="L78" s="490"/>
      <c r="M78" s="477"/>
      <c r="N78" s="881">
        <f>IF(OR(Q78&lt;0,Q78&gt;1),1,0)</f>
        <v>0</v>
      </c>
      <c r="O78" s="533" t="s">
        <v>142</v>
      </c>
      <c r="P78" s="469" t="s">
        <v>1</v>
      </c>
      <c r="Q78" s="655">
        <v>1</v>
      </c>
      <c r="R78" s="477"/>
      <c r="S78" s="477"/>
      <c r="T78" s="358"/>
      <c r="U78" s="477"/>
      <c r="V78" s="477"/>
      <c r="W78" s="477"/>
      <c r="X78" s="477"/>
      <c r="Y78" s="479"/>
      <c r="Z78" s="477"/>
    </row>
    <row r="79" spans="1:26">
      <c r="B79" s="490"/>
      <c r="C79" s="373"/>
      <c r="D79" s="477">
        <f>IF(OR(G79="",G79&lt;0,G79&gt;1),1,0)</f>
        <v>0</v>
      </c>
      <c r="E79" s="533" t="s">
        <v>218</v>
      </c>
      <c r="F79" s="469" t="s">
        <v>1</v>
      </c>
      <c r="G79" s="534">
        <v>0.5</v>
      </c>
      <c r="H79" s="446"/>
      <c r="I79" s="481" t="s">
        <v>7</v>
      </c>
      <c r="J79" s="431"/>
      <c r="K79" s="8"/>
      <c r="L79" s="425"/>
      <c r="M79" s="371"/>
      <c r="N79" s="477">
        <f>IF(OR(Q79&lt;0,Q79&gt;G17),1,0)</f>
        <v>0</v>
      </c>
      <c r="O79" s="533" t="s">
        <v>461</v>
      </c>
      <c r="P79" s="487" t="s">
        <v>28</v>
      </c>
      <c r="Q79" s="535">
        <v>10</v>
      </c>
      <c r="R79" s="9"/>
      <c r="S79" s="481" t="s">
        <v>7</v>
      </c>
      <c r="T79" s="477"/>
      <c r="U79" s="196"/>
      <c r="V79" s="196"/>
      <c r="W79" s="196"/>
      <c r="X79" s="477"/>
      <c r="Y79" s="479"/>
      <c r="Z79" s="477"/>
    </row>
    <row r="80" spans="1:26" ht="17" thickBot="1">
      <c r="B80" s="490"/>
      <c r="C80" s="340"/>
      <c r="D80" s="477"/>
      <c r="E80" s="533" t="s">
        <v>447</v>
      </c>
      <c r="F80" s="468" t="s">
        <v>4</v>
      </c>
      <c r="G80" s="535">
        <v>15</v>
      </c>
      <c r="H80" s="484"/>
      <c r="I80" s="481" t="s">
        <v>7</v>
      </c>
      <c r="J80" s="431"/>
      <c r="K80" s="8"/>
      <c r="L80" s="425"/>
      <c r="M80" s="371"/>
      <c r="N80" s="477"/>
      <c r="O80" s="533" t="s">
        <v>462</v>
      </c>
      <c r="P80" s="468" t="s">
        <v>1</v>
      </c>
      <c r="Q80" s="655">
        <v>0.02</v>
      </c>
      <c r="R80" s="478"/>
      <c r="S80" s="481" t="s">
        <v>7</v>
      </c>
      <c r="T80" s="358"/>
      <c r="U80" s="477"/>
      <c r="V80" s="477"/>
      <c r="W80" s="477"/>
      <c r="X80" s="477"/>
      <c r="Y80" s="479"/>
      <c r="Z80" s="477"/>
    </row>
    <row r="81" spans="2:26">
      <c r="B81" s="490"/>
      <c r="C81" s="477"/>
      <c r="D81" s="477">
        <f>IF(OR(G81&lt;0,G81=""),1,0)</f>
        <v>0</v>
      </c>
      <c r="E81" s="533" t="s">
        <v>180</v>
      </c>
      <c r="F81" s="469" t="s">
        <v>1</v>
      </c>
      <c r="G81" s="536">
        <v>7.0000000000000007E-2</v>
      </c>
      <c r="H81" s="447"/>
      <c r="I81" s="481" t="s">
        <v>7</v>
      </c>
      <c r="J81" s="431"/>
      <c r="K81" s="8"/>
      <c r="L81" s="425"/>
      <c r="M81" s="371"/>
      <c r="N81" s="478"/>
      <c r="O81" s="756" t="s">
        <v>467</v>
      </c>
      <c r="P81" s="614" t="s">
        <v>323</v>
      </c>
      <c r="Q81" s="757">
        <v>0</v>
      </c>
      <c r="R81" s="477"/>
      <c r="S81" s="481" t="s">
        <v>7</v>
      </c>
      <c r="T81" s="477"/>
      <c r="U81" s="477"/>
      <c r="V81" s="477"/>
      <c r="W81" s="477"/>
      <c r="X81" s="477"/>
      <c r="Y81" s="479"/>
      <c r="Z81" s="477"/>
    </row>
    <row r="82" spans="2:26" ht="17" thickBot="1">
      <c r="B82" s="490"/>
      <c r="C82" s="371"/>
      <c r="D82" s="477">
        <f>IF(OR(G82&lt;0,G82=""),1,0)</f>
        <v>0</v>
      </c>
      <c r="E82" s="537" t="s">
        <v>44</v>
      </c>
      <c r="F82" s="538" t="s">
        <v>1</v>
      </c>
      <c r="G82" s="539">
        <v>0.03</v>
      </c>
      <c r="H82" s="483"/>
      <c r="I82" s="481" t="s">
        <v>7</v>
      </c>
      <c r="J82" s="482"/>
      <c r="K82" s="8"/>
      <c r="L82" s="490"/>
      <c r="M82" s="477"/>
      <c r="N82" s="477"/>
      <c r="O82" s="533" t="s">
        <v>457</v>
      </c>
      <c r="P82" s="487" t="s">
        <v>0</v>
      </c>
      <c r="Q82" s="580">
        <v>0</v>
      </c>
      <c r="R82" s="477"/>
      <c r="S82" s="481" t="s">
        <v>7</v>
      </c>
      <c r="T82" s="478"/>
      <c r="U82" s="477"/>
      <c r="V82" s="477"/>
      <c r="W82" s="477"/>
      <c r="X82" s="477"/>
      <c r="Y82" s="479"/>
      <c r="Z82" s="477"/>
    </row>
    <row r="83" spans="2:26" ht="17" thickBot="1">
      <c r="B83" s="490"/>
      <c r="C83" s="340"/>
      <c r="D83" s="477"/>
      <c r="E83" s="540" t="s">
        <v>193</v>
      </c>
      <c r="F83" s="541"/>
      <c r="G83" s="542">
        <v>1.2</v>
      </c>
      <c r="H83" s="448"/>
      <c r="I83" s="481" t="s">
        <v>7</v>
      </c>
      <c r="J83" s="482"/>
      <c r="K83" s="8"/>
      <c r="L83" s="425"/>
      <c r="M83" s="375"/>
      <c r="N83" s="477"/>
      <c r="O83" s="525" t="s">
        <v>214</v>
      </c>
      <c r="P83" s="538"/>
      <c r="Q83" s="612" t="s">
        <v>12</v>
      </c>
      <c r="R83" s="9"/>
      <c r="S83" s="481" t="s">
        <v>7</v>
      </c>
      <c r="T83" s="477"/>
      <c r="U83" s="477"/>
      <c r="V83" s="477"/>
      <c r="W83" s="477"/>
      <c r="X83" s="477"/>
      <c r="Y83" s="479"/>
      <c r="Z83" s="477"/>
    </row>
    <row r="84" spans="2:26" ht="17" thickBot="1">
      <c r="B84" s="490"/>
      <c r="C84" s="477"/>
      <c r="D84" s="477"/>
      <c r="E84" s="543" t="s">
        <v>194</v>
      </c>
      <c r="F84" s="449">
        <f>MAX('Cash Flow'!G45:AJ45)</f>
        <v>15</v>
      </c>
      <c r="G84" s="544">
        <f>ROUND('Cash Flow'!$F$44,2)</f>
        <v>1.79</v>
      </c>
      <c r="H84" s="450"/>
      <c r="I84" s="481" t="s">
        <v>7</v>
      </c>
      <c r="J84" s="482"/>
      <c r="K84" s="8"/>
      <c r="L84" s="490"/>
      <c r="M84" s="477"/>
      <c r="N84" s="477"/>
      <c r="O84" s="477"/>
      <c r="Q84" s="477"/>
      <c r="R84" s="477"/>
      <c r="S84" s="477"/>
      <c r="T84" s="477"/>
      <c r="U84" s="477"/>
      <c r="V84" s="477"/>
      <c r="W84" s="477"/>
      <c r="X84" s="477"/>
      <c r="Y84" s="479"/>
      <c r="Z84" s="477"/>
    </row>
    <row r="85" spans="2:26" ht="17" thickBot="1">
      <c r="B85" s="490"/>
      <c r="C85" s="371"/>
      <c r="D85" s="477"/>
      <c r="E85" s="543" t="s">
        <v>299</v>
      </c>
      <c r="F85" s="435" t="s">
        <v>165</v>
      </c>
      <c r="G85" s="545" t="str">
        <f>IF($G$84&gt;=$G$83,"Pass","Fail")</f>
        <v>Pass</v>
      </c>
      <c r="H85" s="403"/>
      <c r="I85" s="481" t="s">
        <v>7</v>
      </c>
      <c r="J85" s="431"/>
      <c r="K85" s="8"/>
      <c r="L85" s="490"/>
      <c r="M85" s="477"/>
      <c r="N85" s="477"/>
      <c r="O85" s="360" t="s">
        <v>349</v>
      </c>
      <c r="P85" s="502" t="s">
        <v>302</v>
      </c>
      <c r="Q85" s="502"/>
      <c r="R85" s="502"/>
      <c r="S85" s="502"/>
      <c r="T85" s="502"/>
      <c r="U85" s="502"/>
      <c r="V85" s="502"/>
      <c r="W85" s="408"/>
      <c r="X85" s="477"/>
      <c r="Y85" s="479"/>
      <c r="Z85" s="477"/>
    </row>
    <row r="86" spans="2:26">
      <c r="B86" s="490"/>
      <c r="C86" s="373"/>
      <c r="D86" s="477"/>
      <c r="E86" s="543" t="s">
        <v>223</v>
      </c>
      <c r="F86" s="435"/>
      <c r="G86" s="546">
        <v>1.45</v>
      </c>
      <c r="H86" s="448"/>
      <c r="I86" s="481" t="s">
        <v>7</v>
      </c>
      <c r="J86" s="482"/>
      <c r="K86" s="8"/>
      <c r="L86" s="490"/>
      <c r="M86" s="477"/>
      <c r="N86" s="477"/>
      <c r="O86" s="523" t="s">
        <v>349</v>
      </c>
      <c r="P86" s="846" t="s">
        <v>120</v>
      </c>
      <c r="Q86" s="477"/>
      <c r="R86" s="477"/>
      <c r="S86" s="524" t="s">
        <v>7</v>
      </c>
      <c r="T86" s="477"/>
      <c r="U86" s="477"/>
      <c r="V86" s="477"/>
      <c r="W86" s="477"/>
      <c r="X86" s="477"/>
      <c r="Y86" s="479"/>
      <c r="Z86" s="477"/>
    </row>
    <row r="87" spans="2:26" ht="17" thickBot="1">
      <c r="B87" s="490"/>
      <c r="C87" s="477"/>
      <c r="D87" s="477"/>
      <c r="E87" s="543" t="s">
        <v>222</v>
      </c>
      <c r="F87" s="449"/>
      <c r="G87" s="544">
        <f>ROUND('Cash Flow'!$E$44,2)</f>
        <v>2.1</v>
      </c>
      <c r="H87" s="450"/>
      <c r="I87" s="481" t="s">
        <v>7</v>
      </c>
      <c r="J87" s="482"/>
      <c r="K87" s="478"/>
      <c r="L87" s="490"/>
      <c r="M87" s="477"/>
      <c r="N87" s="477"/>
      <c r="O87" s="525" t="s">
        <v>496</v>
      </c>
      <c r="P87" s="847">
        <v>0</v>
      </c>
      <c r="Q87" s="477"/>
      <c r="R87" s="477"/>
      <c r="S87" s="481" t="s">
        <v>7</v>
      </c>
      <c r="T87" s="477"/>
      <c r="U87" s="477"/>
      <c r="V87" s="477"/>
      <c r="W87" s="477"/>
      <c r="X87" s="477"/>
      <c r="Y87" s="479"/>
      <c r="Z87" s="477"/>
    </row>
    <row r="88" spans="2:26" ht="17" thickBot="1">
      <c r="B88" s="490"/>
      <c r="C88" s="371"/>
      <c r="D88" s="477"/>
      <c r="E88" s="547" t="s">
        <v>300</v>
      </c>
      <c r="F88" s="548" t="s">
        <v>165</v>
      </c>
      <c r="G88" s="549" t="str">
        <f>IF($G$87&gt;=$G$86,"Pass","Fail")</f>
        <v>Pass</v>
      </c>
      <c r="H88" s="403"/>
      <c r="I88" s="481" t="s">
        <v>7</v>
      </c>
      <c r="J88" s="482"/>
      <c r="K88" s="478"/>
      <c r="L88" s="490"/>
      <c r="M88" s="477"/>
      <c r="N88" s="477"/>
      <c r="O88" s="491"/>
      <c r="P88" s="833"/>
      <c r="Q88" s="74"/>
      <c r="R88" s="74"/>
      <c r="S88" s="74"/>
      <c r="T88" s="74"/>
      <c r="U88" s="74"/>
      <c r="V88" s="74"/>
      <c r="W88" s="74"/>
      <c r="X88" s="477"/>
      <c r="Y88" s="479"/>
      <c r="Z88" s="477"/>
    </row>
    <row r="89" spans="2:26" ht="17" thickBot="1">
      <c r="B89" s="490"/>
      <c r="C89" s="477"/>
      <c r="D89" s="477"/>
      <c r="E89" s="550" t="s">
        <v>343</v>
      </c>
      <c r="F89" s="551" t="s">
        <v>1</v>
      </c>
      <c r="G89" s="552">
        <f>1-G79</f>
        <v>0.5</v>
      </c>
      <c r="H89" s="451"/>
      <c r="I89" s="481" t="s">
        <v>7</v>
      </c>
      <c r="J89" s="482"/>
      <c r="K89" s="478"/>
      <c r="L89" s="490"/>
      <c r="M89" s="478"/>
      <c r="N89" s="478"/>
      <c r="O89" s="360" t="s">
        <v>387</v>
      </c>
      <c r="P89" s="502"/>
      <c r="Q89" s="684"/>
      <c r="R89" s="684"/>
      <c r="S89" s="684"/>
      <c r="T89" s="684"/>
      <c r="U89" s="684"/>
      <c r="V89" s="502"/>
      <c r="W89" s="408"/>
      <c r="X89" s="477"/>
      <c r="Y89" s="479"/>
      <c r="Z89" s="477"/>
    </row>
    <row r="90" spans="2:26" ht="17" thickBot="1">
      <c r="B90" s="490"/>
      <c r="C90" s="477"/>
      <c r="D90" s="477">
        <f>IF(OR(G90&lt;0,G90=""),1,0)</f>
        <v>0</v>
      </c>
      <c r="E90" s="553" t="s">
        <v>240</v>
      </c>
      <c r="F90" s="538" t="s">
        <v>1</v>
      </c>
      <c r="G90" s="554">
        <v>0.15</v>
      </c>
      <c r="H90" s="447"/>
      <c r="I90" s="481" t="s">
        <v>7</v>
      </c>
      <c r="J90" s="482"/>
      <c r="K90" s="478"/>
      <c r="L90" s="490"/>
      <c r="M90" s="478"/>
      <c r="N90" s="478"/>
      <c r="O90" s="719" t="s">
        <v>24</v>
      </c>
      <c r="P90" s="848" t="s">
        <v>19</v>
      </c>
      <c r="Q90" s="876" t="s">
        <v>20</v>
      </c>
      <c r="R90" s="891" t="s">
        <v>21</v>
      </c>
      <c r="S90" s="892"/>
      <c r="T90" s="893"/>
      <c r="U90" s="876" t="s">
        <v>22</v>
      </c>
      <c r="V90" s="693" t="s">
        <v>388</v>
      </c>
      <c r="W90" s="720" t="s">
        <v>389</v>
      </c>
      <c r="X90" s="477"/>
      <c r="Y90" s="479"/>
      <c r="Z90" s="477"/>
    </row>
    <row r="91" spans="2:26">
      <c r="B91" s="490"/>
      <c r="C91" s="477"/>
      <c r="D91" s="477"/>
      <c r="E91" s="555" t="s">
        <v>286</v>
      </c>
      <c r="F91" s="551" t="s">
        <v>1</v>
      </c>
      <c r="G91" s="556">
        <f>(G90*F105)+(F104*G81*(1-Q109))</f>
        <v>0.10155195949961535</v>
      </c>
      <c r="H91" s="477"/>
      <c r="I91" s="481" t="s">
        <v>7</v>
      </c>
      <c r="J91" s="479"/>
      <c r="K91" s="478"/>
      <c r="L91" s="490">
        <f>IF(AND($Q$104="Yes",$G$20="Simple"),1,0)</f>
        <v>0</v>
      </c>
      <c r="M91" s="478"/>
      <c r="N91" s="279">
        <f>IF(AND($G$20="Simple",SUM(P91:W91)=1),1,IF(AND($G$20="Simple",SUM(P91:W91)&lt;&gt;1),2,0))</f>
        <v>0</v>
      </c>
      <c r="O91" s="721" t="s">
        <v>119</v>
      </c>
      <c r="P91" s="849">
        <v>0.65</v>
      </c>
      <c r="Q91" s="875">
        <v>0.05</v>
      </c>
      <c r="R91" s="885">
        <v>0.04</v>
      </c>
      <c r="S91" s="886"/>
      <c r="T91" s="887"/>
      <c r="U91" s="875">
        <v>0</v>
      </c>
      <c r="V91" s="694">
        <v>0.08</v>
      </c>
      <c r="W91" s="722">
        <v>0.18</v>
      </c>
      <c r="X91" s="477"/>
      <c r="Y91" s="316" t="s">
        <v>7</v>
      </c>
      <c r="Z91" s="477"/>
    </row>
    <row r="92" spans="2:26" ht="17" thickBot="1">
      <c r="B92" s="490"/>
      <c r="C92" s="371"/>
      <c r="D92" s="477"/>
      <c r="E92" s="537" t="s">
        <v>150</v>
      </c>
      <c r="F92" s="538" t="s">
        <v>0</v>
      </c>
      <c r="G92" s="557">
        <v>0</v>
      </c>
      <c r="H92" s="443"/>
      <c r="I92" s="481" t="s">
        <v>7</v>
      </c>
      <c r="J92" s="479"/>
      <c r="K92" s="478"/>
      <c r="L92" s="490">
        <f>IF(AND($Q$104="Yes",$G$20="Intermediate"),1,0)</f>
        <v>1</v>
      </c>
      <c r="M92" s="478"/>
      <c r="N92" s="279">
        <f>IF(AND($G$20="Intermediate",SUM(P92:W92)=1),1,IF(AND($G$20="Intermediate",SUM(P92:W92)&lt;&gt;1),2,0))</f>
        <v>1</v>
      </c>
      <c r="O92" s="721" t="str">
        <f>E23</f>
        <v>Exploration Costs Attributed to Project</v>
      </c>
      <c r="P92" s="850">
        <v>0</v>
      </c>
      <c r="Q92" s="877">
        <v>0</v>
      </c>
      <c r="R92" s="894">
        <v>0</v>
      </c>
      <c r="S92" s="895"/>
      <c r="T92" s="896"/>
      <c r="U92" s="875">
        <v>0.75</v>
      </c>
      <c r="V92" s="695">
        <v>0</v>
      </c>
      <c r="W92" s="722">
        <v>0.25</v>
      </c>
      <c r="X92" s="477"/>
      <c r="Y92" s="316" t="s">
        <v>7</v>
      </c>
      <c r="Z92" s="477"/>
    </row>
    <row r="93" spans="2:26" ht="17" thickBot="1">
      <c r="B93" s="490"/>
      <c r="C93" s="477"/>
      <c r="D93" s="477"/>
      <c r="E93" s="477"/>
      <c r="G93" s="477"/>
      <c r="H93" s="477"/>
      <c r="I93" s="477"/>
      <c r="J93" s="479"/>
      <c r="K93" s="478"/>
      <c r="L93" s="490"/>
      <c r="M93" s="478"/>
      <c r="N93" s="279">
        <f>IF(AND($G$20="Intermediate",SUM(P93:W93)=1),1,IF(AND($G$20="Intermediate",SUM(P93:W93)&lt;&gt;1),2,0))</f>
        <v>1</v>
      </c>
      <c r="O93" s="721" t="str">
        <f>E34</f>
        <v>Confirmation Drilling Costs</v>
      </c>
      <c r="P93" s="851">
        <v>0.34</v>
      </c>
      <c r="Q93" s="875">
        <v>0</v>
      </c>
      <c r="R93" s="885">
        <v>0</v>
      </c>
      <c r="S93" s="886"/>
      <c r="T93" s="887"/>
      <c r="U93" s="875">
        <v>0</v>
      </c>
      <c r="V93" s="694">
        <v>0.33</v>
      </c>
      <c r="W93" s="722">
        <v>0.33</v>
      </c>
      <c r="X93" s="477"/>
      <c r="Y93" s="316" t="s">
        <v>7</v>
      </c>
      <c r="Z93" s="477"/>
    </row>
    <row r="94" spans="2:26" ht="17" thickBot="1">
      <c r="B94" s="425"/>
      <c r="C94" s="478"/>
      <c r="D94" s="478"/>
      <c r="E94" s="428" t="s">
        <v>34</v>
      </c>
      <c r="F94" s="359" t="s">
        <v>264</v>
      </c>
      <c r="G94" s="408" t="s">
        <v>301</v>
      </c>
      <c r="H94" s="478"/>
      <c r="I94" s="478"/>
      <c r="J94" s="465"/>
      <c r="K94" s="478"/>
      <c r="L94" s="490"/>
      <c r="M94" s="478"/>
      <c r="N94" s="279">
        <f>IF(AND($G$20="Intermediate",SUM(P94:W94)=1),1,IF(AND($G$20="Intermediate",SUM(P94:W94)&lt;&gt;1),2,0))</f>
        <v>1</v>
      </c>
      <c r="O94" s="721" t="str">
        <f>E65</f>
        <v>Power Plant &amp; Interconnection</v>
      </c>
      <c r="P94" s="849">
        <v>1</v>
      </c>
      <c r="Q94" s="875">
        <v>0</v>
      </c>
      <c r="R94" s="885">
        <v>0</v>
      </c>
      <c r="S94" s="886"/>
      <c r="T94" s="887"/>
      <c r="U94" s="875">
        <v>0</v>
      </c>
      <c r="V94" s="695">
        <v>0</v>
      </c>
      <c r="W94" s="723">
        <v>0</v>
      </c>
      <c r="X94" s="477"/>
      <c r="Y94" s="316" t="s">
        <v>7</v>
      </c>
      <c r="Z94" s="501"/>
    </row>
    <row r="95" spans="2:26">
      <c r="B95" s="425"/>
      <c r="C95" s="478"/>
      <c r="D95" s="478"/>
      <c r="E95" s="603" t="s">
        <v>35</v>
      </c>
      <c r="F95" s="828"/>
      <c r="G95" s="604"/>
      <c r="H95" s="478"/>
      <c r="I95" s="478"/>
      <c r="J95" s="465"/>
      <c r="K95" s="478"/>
      <c r="L95" s="490"/>
      <c r="M95" s="478"/>
      <c r="N95" s="279">
        <f>IF(AND($G$20="Intermediate",SUM(P95:W95)=1),1,IF(AND($G$20="Intermediate",SUM(P95:W95)&lt;&gt;1),2,0))</f>
        <v>1</v>
      </c>
      <c r="O95" s="721" t="str">
        <f>E67</f>
        <v>Interconnection</v>
      </c>
      <c r="P95" s="849">
        <v>0</v>
      </c>
      <c r="Q95" s="875">
        <v>1</v>
      </c>
      <c r="R95" s="885">
        <v>0</v>
      </c>
      <c r="S95" s="886"/>
      <c r="T95" s="887"/>
      <c r="U95" s="875">
        <v>0</v>
      </c>
      <c r="V95" s="695">
        <v>0</v>
      </c>
      <c r="W95" s="723">
        <v>0</v>
      </c>
      <c r="X95" s="477"/>
      <c r="Y95" s="316" t="s">
        <v>7</v>
      </c>
      <c r="Z95" s="501"/>
    </row>
    <row r="96" spans="2:26">
      <c r="B96" s="425"/>
      <c r="C96" s="376"/>
      <c r="D96" s="478"/>
      <c r="E96" s="533" t="s">
        <v>39</v>
      </c>
      <c r="F96" s="469" t="s">
        <v>32</v>
      </c>
      <c r="G96" s="535">
        <v>6</v>
      </c>
      <c r="H96" s="478"/>
      <c r="I96" s="481" t="s">
        <v>7</v>
      </c>
      <c r="J96" s="465"/>
      <c r="K96" s="478"/>
      <c r="L96" s="490"/>
      <c r="M96" s="478"/>
      <c r="N96" s="279">
        <f>IF(AND($G$20="Intermediate",SUM(P96:W96)=1),1,IF(AND($G$20="Intermediate",SUM(P96:W96)&lt;&gt;1),2,0))</f>
        <v>1</v>
      </c>
      <c r="O96" s="721" t="str">
        <f>E68</f>
        <v>Reserves, Lender Fees &amp; Closing Costs</v>
      </c>
      <c r="P96" s="849">
        <v>0</v>
      </c>
      <c r="Q96" s="875">
        <v>0</v>
      </c>
      <c r="R96" s="885">
        <v>0.5</v>
      </c>
      <c r="S96" s="886"/>
      <c r="T96" s="887"/>
      <c r="U96" s="875">
        <v>0.5</v>
      </c>
      <c r="V96" s="695">
        <v>0</v>
      </c>
      <c r="W96" s="723">
        <v>0</v>
      </c>
      <c r="X96" s="477"/>
      <c r="Y96" s="316" t="s">
        <v>7</v>
      </c>
      <c r="Z96" s="501"/>
    </row>
    <row r="97" spans="1:27" ht="17" thickBot="1">
      <c r="B97" s="425"/>
      <c r="C97" s="478"/>
      <c r="D97" s="478"/>
      <c r="E97" s="525" t="s">
        <v>38</v>
      </c>
      <c r="F97" s="538" t="s">
        <v>0</v>
      </c>
      <c r="G97" s="605">
        <f>-'Cash Flow'!$G$88/12*$G$96</f>
        <v>3542585.1457514493</v>
      </c>
      <c r="H97" s="478"/>
      <c r="I97" s="481" t="s">
        <v>7</v>
      </c>
      <c r="J97" s="465"/>
      <c r="K97" s="478"/>
      <c r="L97" s="490">
        <f>IF(OR(G20="Simple",G20="Intermediate"),1,0)</f>
        <v>1</v>
      </c>
      <c r="M97" s="478"/>
      <c r="N97" s="478"/>
      <c r="O97" s="724" t="str">
        <f>IF($G$20="Complex","Click Here for Complex Input Worksheets","")</f>
        <v/>
      </c>
      <c r="P97" s="852"/>
      <c r="Q97" s="874"/>
      <c r="R97" s="888"/>
      <c r="S97" s="889"/>
      <c r="T97" s="890"/>
      <c r="U97" s="725"/>
      <c r="V97" s="726"/>
      <c r="W97" s="727"/>
      <c r="X97" s="477"/>
      <c r="Y97" s="316" t="s">
        <v>7</v>
      </c>
      <c r="Z97" s="501"/>
    </row>
    <row r="98" spans="1:27" ht="17" thickBot="1">
      <c r="B98" s="425"/>
      <c r="C98" s="478"/>
      <c r="D98" s="478"/>
      <c r="E98" s="603" t="s">
        <v>58</v>
      </c>
      <c r="F98" s="828"/>
      <c r="G98" s="606"/>
      <c r="H98" s="478"/>
      <c r="I98" s="478"/>
      <c r="J98" s="465"/>
      <c r="K98" s="478"/>
      <c r="L98" s="490"/>
      <c r="M98" s="477"/>
      <c r="N98" s="477"/>
      <c r="O98" s="477"/>
      <c r="Q98" s="477"/>
      <c r="R98" s="477"/>
      <c r="S98" s="477"/>
      <c r="T98" s="477"/>
      <c r="U98" s="477"/>
      <c r="V98" s="477"/>
      <c r="W98" s="477"/>
      <c r="X98" s="477"/>
      <c r="Y98" s="479"/>
      <c r="Z98" s="501"/>
      <c r="AA98" s="477"/>
    </row>
    <row r="99" spans="1:27" ht="17" thickBot="1">
      <c r="B99" s="425"/>
      <c r="C99" s="376"/>
      <c r="D99" s="478"/>
      <c r="E99" s="599" t="s">
        <v>36</v>
      </c>
      <c r="F99" s="469" t="s">
        <v>32</v>
      </c>
      <c r="G99" s="535">
        <v>6</v>
      </c>
      <c r="H99" s="478"/>
      <c r="I99" s="481" t="s">
        <v>7</v>
      </c>
      <c r="J99" s="465"/>
      <c r="K99" s="478"/>
      <c r="L99" s="490"/>
      <c r="M99" s="477"/>
      <c r="N99" s="477"/>
      <c r="O99" s="691" t="s">
        <v>397</v>
      </c>
      <c r="P99" s="841"/>
      <c r="Q99" s="692"/>
      <c r="R99" s="692"/>
      <c r="S99" s="692"/>
      <c r="T99" s="692"/>
      <c r="U99" s="642"/>
      <c r="V99" s="642"/>
      <c r="W99" s="702"/>
      <c r="X99" s="477"/>
      <c r="Y99" s="479"/>
    </row>
    <row r="100" spans="1:27">
      <c r="B100" s="425"/>
      <c r="C100" s="478"/>
      <c r="D100" s="478"/>
      <c r="E100" s="599" t="s">
        <v>37</v>
      </c>
      <c r="F100" s="469" t="s">
        <v>0</v>
      </c>
      <c r="G100" s="595">
        <f>-(AVERAGE('Cash Flow'!G39:AJ39)/12*$G$99)</f>
        <v>2571274.0620270707</v>
      </c>
      <c r="H100" s="478"/>
      <c r="I100" s="481" t="s">
        <v>7</v>
      </c>
      <c r="J100" s="465"/>
      <c r="L100" s="490"/>
      <c r="M100" s="477"/>
      <c r="N100" s="477"/>
      <c r="O100" s="703" t="s">
        <v>395</v>
      </c>
      <c r="P100" s="853">
        <v>0.15</v>
      </c>
      <c r="Q100" s="314"/>
      <c r="R100" s="314"/>
      <c r="S100" s="314"/>
      <c r="T100" s="314"/>
      <c r="U100" s="704" t="s">
        <v>401</v>
      </c>
      <c r="V100" s="714" t="s">
        <v>402</v>
      </c>
      <c r="W100" s="317"/>
      <c r="X100" s="477"/>
      <c r="Y100" s="316" t="s">
        <v>7</v>
      </c>
    </row>
    <row r="101" spans="1:27" ht="17" thickBot="1">
      <c r="B101" s="425"/>
      <c r="C101" s="376"/>
      <c r="D101" s="478"/>
      <c r="E101" s="601" t="s">
        <v>130</v>
      </c>
      <c r="F101" s="538" t="s">
        <v>1</v>
      </c>
      <c r="G101" s="607">
        <v>1.6E-2</v>
      </c>
      <c r="H101" s="478"/>
      <c r="I101" s="481" t="s">
        <v>7</v>
      </c>
      <c r="J101" s="465"/>
      <c r="K101" s="478"/>
      <c r="L101" s="490"/>
      <c r="M101" s="477"/>
      <c r="N101" s="477"/>
      <c r="O101" s="705" t="s">
        <v>396</v>
      </c>
      <c r="P101" s="854">
        <v>0.35</v>
      </c>
      <c r="Q101" s="74"/>
      <c r="R101" s="74"/>
      <c r="S101" s="74"/>
      <c r="T101" s="74"/>
      <c r="U101" s="690" t="s">
        <v>403</v>
      </c>
      <c r="V101" s="710">
        <v>4</v>
      </c>
      <c r="W101" s="323"/>
      <c r="X101" s="477"/>
      <c r="Y101" s="316" t="s">
        <v>7</v>
      </c>
    </row>
    <row r="102" spans="1:27" ht="17" thickBot="1">
      <c r="B102" s="490"/>
      <c r="C102" s="477"/>
      <c r="D102" s="477"/>
      <c r="E102" s="477"/>
      <c r="G102" s="477"/>
      <c r="H102" s="477"/>
      <c r="I102" s="477"/>
      <c r="J102" s="479"/>
      <c r="K102" s="478"/>
      <c r="L102" s="490"/>
      <c r="M102" s="477"/>
      <c r="N102" s="477"/>
      <c r="O102" s="477"/>
      <c r="Q102" s="477"/>
      <c r="R102" s="477"/>
      <c r="S102" s="477"/>
      <c r="T102" s="477"/>
      <c r="U102" s="478"/>
      <c r="V102" s="477"/>
      <c r="W102" s="477"/>
      <c r="X102" s="477"/>
      <c r="Y102" s="479"/>
      <c r="Z102" s="477"/>
    </row>
    <row r="103" spans="1:27" ht="17" thickBot="1">
      <c r="B103" s="490"/>
      <c r="C103" s="477"/>
      <c r="D103" s="477"/>
      <c r="E103" s="453" t="s">
        <v>221</v>
      </c>
      <c r="F103" s="829"/>
      <c r="G103" s="454"/>
      <c r="H103" s="477"/>
      <c r="I103" s="477"/>
      <c r="J103" s="479"/>
      <c r="K103" s="478"/>
      <c r="L103" s="425"/>
      <c r="M103" s="477"/>
      <c r="N103" s="477"/>
      <c r="O103" s="428" t="s">
        <v>139</v>
      </c>
      <c r="P103" s="359" t="s">
        <v>264</v>
      </c>
      <c r="Q103" s="408" t="s">
        <v>301</v>
      </c>
      <c r="R103" s="456"/>
      <c r="S103" s="480"/>
      <c r="T103" s="477"/>
      <c r="U103" s="477"/>
      <c r="V103" s="477"/>
      <c r="W103" s="477"/>
      <c r="X103" s="477"/>
      <c r="Y103" s="479"/>
      <c r="Z103" s="477"/>
    </row>
    <row r="104" spans="1:27" s="477" customFormat="1" ht="17" thickBot="1">
      <c r="A104" s="1"/>
      <c r="B104" s="490"/>
      <c r="E104" s="555" t="s">
        <v>219</v>
      </c>
      <c r="F104" s="729">
        <f>G104/$G$107</f>
        <v>0.44707168201153163</v>
      </c>
      <c r="G104" s="658">
        <f>'Cash Flow'!F85</f>
        <v>64531121.7265625</v>
      </c>
      <c r="I104" s="481" t="s">
        <v>7</v>
      </c>
      <c r="J104" s="479"/>
      <c r="K104" s="478"/>
      <c r="L104" s="490"/>
      <c r="M104" s="374"/>
      <c r="O104" s="608" t="s">
        <v>15</v>
      </c>
      <c r="P104" s="830"/>
      <c r="Q104" s="609" t="s">
        <v>12</v>
      </c>
      <c r="R104" s="457"/>
      <c r="S104" s="481" t="s">
        <v>7</v>
      </c>
      <c r="Y104" s="479"/>
    </row>
    <row r="105" spans="1:27" s="477" customFormat="1">
      <c r="B105" s="490"/>
      <c r="E105" s="533" t="s">
        <v>220</v>
      </c>
      <c r="F105" s="728">
        <f>G105/$G$107</f>
        <v>0.55292831798846842</v>
      </c>
      <c r="G105" s="633">
        <f>-'Cash Flow'!$F$55</f>
        <v>79810656.836137891</v>
      </c>
      <c r="I105" s="481" t="s">
        <v>7</v>
      </c>
      <c r="J105" s="479"/>
      <c r="K105" s="478"/>
      <c r="L105" s="425"/>
      <c r="M105" s="371"/>
      <c r="N105" s="477">
        <f>IF(OR(Q105&lt;0,Q105=""),1,0)</f>
        <v>0</v>
      </c>
      <c r="O105" s="559" t="s">
        <v>5</v>
      </c>
      <c r="P105" s="551" t="s">
        <v>1</v>
      </c>
      <c r="Q105" s="610">
        <v>0.35</v>
      </c>
      <c r="R105" s="483"/>
      <c r="S105" s="481" t="s">
        <v>7</v>
      </c>
      <c r="T105" s="355"/>
      <c r="U105" s="478"/>
      <c r="Y105" s="479"/>
    </row>
    <row r="106" spans="1:27" s="477" customFormat="1" ht="17" thickBot="1">
      <c r="B106" s="490"/>
      <c r="E106" s="659" t="s">
        <v>441</v>
      </c>
      <c r="F106" s="730">
        <f>G106/$G$107</f>
        <v>0</v>
      </c>
      <c r="G106" s="746">
        <f>IF($Q$66="Yes",$Q$65*(1-$Q$105),$Q$65)+IF($Q$83="Yes",IF($Q$82=0,($Q$81*1000*$G$6)*(1-$Q$107),MIN($Q$82*(1-$Q$107),($Q$81*1000*$G$6)*(1-$Q$107))),IF($Q$82=0,$Q$81*1000*$G$6,MIN($Q$82,$Q$81*1000*$G$6)))</f>
        <v>0</v>
      </c>
      <c r="H106" s="437"/>
      <c r="I106" s="481" t="s">
        <v>7</v>
      </c>
      <c r="J106" s="479"/>
      <c r="K106" s="478"/>
      <c r="L106" s="490"/>
      <c r="M106" s="374"/>
      <c r="O106" s="611" t="s">
        <v>255</v>
      </c>
      <c r="P106" s="831"/>
      <c r="Q106" s="612" t="s">
        <v>288</v>
      </c>
      <c r="R106" s="457"/>
      <c r="S106" s="481" t="s">
        <v>7</v>
      </c>
      <c r="Y106" s="479"/>
    </row>
    <row r="107" spans="1:27" s="477" customFormat="1" ht="18" thickTop="1" thickBot="1">
      <c r="B107" s="862"/>
      <c r="C107" s="74"/>
      <c r="D107" s="74"/>
      <c r="E107" s="660" t="s">
        <v>119</v>
      </c>
      <c r="F107" s="587" t="s">
        <v>0</v>
      </c>
      <c r="G107" s="661">
        <f>SUM(G104:G106)</f>
        <v>144341778.56270039</v>
      </c>
      <c r="H107" s="74"/>
      <c r="I107" s="863" t="s">
        <v>7</v>
      </c>
      <c r="J107" s="323"/>
      <c r="K107" s="478"/>
      <c r="L107" s="490"/>
      <c r="M107" s="371"/>
      <c r="N107" s="477">
        <f>IF(OR(Q107&lt;0,Q107=""),1,0)</f>
        <v>0</v>
      </c>
      <c r="O107" s="559" t="s">
        <v>6</v>
      </c>
      <c r="P107" s="551" t="s">
        <v>1</v>
      </c>
      <c r="Q107" s="610">
        <v>8.5000000000000006E-2</v>
      </c>
      <c r="R107" s="483"/>
      <c r="S107" s="481" t="s">
        <v>7</v>
      </c>
      <c r="T107" s="355"/>
      <c r="Y107" s="479"/>
    </row>
    <row r="108" spans="1:27" s="477" customFormat="1" ht="17" thickBot="1">
      <c r="F108" s="812"/>
      <c r="K108" s="478"/>
      <c r="L108" s="490"/>
      <c r="M108" s="374"/>
      <c r="O108" s="611" t="s">
        <v>256</v>
      </c>
      <c r="P108" s="831"/>
      <c r="Q108" s="612" t="s">
        <v>288</v>
      </c>
      <c r="R108" s="457"/>
      <c r="S108" s="481" t="s">
        <v>7</v>
      </c>
      <c r="T108" s="355"/>
      <c r="Y108" s="479"/>
    </row>
    <row r="109" spans="1:27" s="477" customFormat="1">
      <c r="F109" s="812"/>
      <c r="K109" s="478"/>
      <c r="L109" s="490"/>
      <c r="O109" s="613" t="s">
        <v>26</v>
      </c>
      <c r="P109" s="614" t="s">
        <v>1</v>
      </c>
      <c r="Q109" s="615">
        <f>IF($Q$104="Yes",$Q$105+(Q107*(1-$Q$105)),0%)</f>
        <v>0.40525</v>
      </c>
      <c r="R109" s="459"/>
      <c r="S109" s="481" t="s">
        <v>7</v>
      </c>
      <c r="T109" s="355"/>
      <c r="Y109" s="479"/>
    </row>
    <row r="110" spans="1:27" s="477" customFormat="1" ht="17" thickBot="1">
      <c r="F110" s="812"/>
      <c r="K110" s="478"/>
      <c r="L110" s="490"/>
      <c r="O110" s="525" t="s">
        <v>86</v>
      </c>
      <c r="P110" s="832"/>
      <c r="Q110" s="616" t="s">
        <v>92</v>
      </c>
      <c r="R110" s="458"/>
      <c r="S110" s="481" t="s">
        <v>7</v>
      </c>
      <c r="Y110" s="479"/>
    </row>
    <row r="111" spans="1:27" s="477" customFormat="1" ht="17" thickBot="1">
      <c r="F111" s="812"/>
      <c r="K111" s="478"/>
      <c r="L111" s="491"/>
      <c r="M111" s="74"/>
      <c r="N111" s="74"/>
      <c r="O111" s="74"/>
      <c r="P111" s="833"/>
      <c r="Q111" s="74"/>
      <c r="R111" s="74"/>
      <c r="S111" s="74"/>
      <c r="T111" s="74"/>
      <c r="U111" s="74"/>
      <c r="V111" s="74"/>
      <c r="W111" s="74"/>
      <c r="X111" s="74"/>
      <c r="Y111" s="323"/>
    </row>
    <row r="112" spans="1:27" s="477" customFormat="1">
      <c r="F112" s="812"/>
      <c r="K112" s="478"/>
      <c r="P112" s="812"/>
    </row>
    <row r="113" spans="1:26" s="477" customFormat="1" ht="17" thickBot="1">
      <c r="F113" s="812"/>
      <c r="K113" s="478"/>
      <c r="P113" s="812"/>
    </row>
    <row r="114" spans="1:26">
      <c r="A114" s="420"/>
      <c r="B114" s="361"/>
      <c r="C114" s="495"/>
      <c r="D114" s="495"/>
      <c r="E114" s="366" t="s">
        <v>265</v>
      </c>
      <c r="F114" s="834"/>
      <c r="G114" s="495"/>
      <c r="H114" s="495"/>
      <c r="I114" s="495"/>
      <c r="J114" s="495"/>
      <c r="K114" s="495"/>
      <c r="L114" s="495"/>
      <c r="M114" s="495"/>
      <c r="N114" s="495"/>
      <c r="O114" s="495"/>
      <c r="P114" s="834"/>
      <c r="Q114" s="495"/>
      <c r="R114" s="495"/>
      <c r="S114" s="495"/>
      <c r="T114" s="495"/>
      <c r="U114" s="495"/>
      <c r="V114" s="495"/>
      <c r="W114" s="495"/>
      <c r="X114" s="495"/>
      <c r="Y114" s="669"/>
      <c r="Z114" s="477"/>
    </row>
    <row r="115" spans="1:26">
      <c r="B115" s="362"/>
      <c r="C115" s="496"/>
      <c r="D115" s="496"/>
      <c r="E115" s="363" t="s">
        <v>267</v>
      </c>
      <c r="F115" s="835"/>
      <c r="G115" s="496"/>
      <c r="H115" s="496"/>
      <c r="I115" s="496"/>
      <c r="J115" s="496"/>
      <c r="K115" s="496"/>
      <c r="L115" s="496"/>
      <c r="M115" s="496"/>
      <c r="N115" s="496"/>
      <c r="O115" s="496"/>
      <c r="P115" s="835"/>
      <c r="Q115" s="496"/>
      <c r="R115" s="496"/>
      <c r="S115" s="496"/>
      <c r="T115" s="496"/>
      <c r="U115" s="496"/>
      <c r="V115" s="496"/>
      <c r="W115" s="496"/>
      <c r="X115" s="496"/>
      <c r="Y115" s="498"/>
      <c r="Z115" s="477"/>
    </row>
    <row r="116" spans="1:26">
      <c r="B116" s="362"/>
      <c r="C116" s="496"/>
      <c r="D116" s="496"/>
      <c r="E116" s="363" t="s">
        <v>268</v>
      </c>
      <c r="F116" s="835"/>
      <c r="G116" s="496"/>
      <c r="H116" s="496"/>
      <c r="I116" s="496"/>
      <c r="J116" s="496"/>
      <c r="K116" s="496"/>
      <c r="L116" s="496"/>
      <c r="M116" s="496"/>
      <c r="N116" s="496"/>
      <c r="O116" s="496"/>
      <c r="P116" s="835"/>
      <c r="Q116" s="496"/>
      <c r="R116" s="496"/>
      <c r="S116" s="496"/>
      <c r="T116" s="496"/>
      <c r="U116" s="496"/>
      <c r="V116" s="496"/>
      <c r="W116" s="496"/>
      <c r="X116" s="496"/>
      <c r="Y116" s="498"/>
      <c r="Z116" s="477"/>
    </row>
    <row r="117" spans="1:26">
      <c r="B117" s="362"/>
      <c r="C117" s="496"/>
      <c r="D117" s="496"/>
      <c r="E117" s="363" t="s">
        <v>269</v>
      </c>
      <c r="F117" s="835"/>
      <c r="G117" s="496"/>
      <c r="H117" s="496"/>
      <c r="I117" s="496"/>
      <c r="J117" s="496"/>
      <c r="K117" s="496"/>
      <c r="L117" s="496"/>
      <c r="M117" s="496"/>
      <c r="N117" s="496"/>
      <c r="O117" s="496"/>
      <c r="P117" s="835"/>
      <c r="Q117" s="496"/>
      <c r="R117" s="496"/>
      <c r="S117" s="496"/>
      <c r="T117" s="496"/>
      <c r="U117" s="496"/>
      <c r="V117" s="496"/>
      <c r="W117" s="496"/>
      <c r="X117" s="496"/>
      <c r="Y117" s="498"/>
      <c r="Z117" s="477"/>
    </row>
    <row r="118" spans="1:26">
      <c r="B118" s="362"/>
      <c r="C118" s="496"/>
      <c r="D118" s="496"/>
      <c r="E118" s="363" t="s">
        <v>270</v>
      </c>
      <c r="F118" s="835"/>
      <c r="G118" s="496"/>
      <c r="H118" s="496"/>
      <c r="I118" s="496"/>
      <c r="J118" s="496"/>
      <c r="K118" s="496"/>
      <c r="L118" s="497"/>
      <c r="M118" s="496"/>
      <c r="N118" s="496"/>
      <c r="O118" s="496"/>
      <c r="P118" s="835"/>
      <c r="Q118" s="496"/>
      <c r="R118" s="496"/>
      <c r="S118" s="496"/>
      <c r="T118" s="496"/>
      <c r="U118" s="667"/>
      <c r="V118" s="496"/>
      <c r="W118" s="496"/>
      <c r="X118" s="496"/>
      <c r="Y118" s="498"/>
      <c r="Z118" s="477"/>
    </row>
    <row r="119" spans="1:26">
      <c r="B119" s="362"/>
      <c r="C119" s="496"/>
      <c r="D119" s="496"/>
      <c r="E119" s="363" t="s">
        <v>284</v>
      </c>
      <c r="F119" s="835"/>
      <c r="G119" s="496"/>
      <c r="H119" s="496"/>
      <c r="I119" s="496"/>
      <c r="J119" s="496"/>
      <c r="K119" s="496"/>
      <c r="L119" s="496"/>
      <c r="M119" s="496"/>
      <c r="N119" s="496"/>
      <c r="O119" s="496"/>
      <c r="P119" s="835"/>
      <c r="Q119" s="496"/>
      <c r="R119" s="496"/>
      <c r="S119" s="496"/>
      <c r="T119" s="496"/>
      <c r="U119" s="668"/>
      <c r="V119" s="496"/>
      <c r="W119" s="496"/>
      <c r="X119" s="496"/>
      <c r="Y119" s="498"/>
      <c r="Z119" s="477"/>
    </row>
    <row r="120" spans="1:26">
      <c r="B120" s="362"/>
      <c r="C120" s="496"/>
      <c r="D120" s="496"/>
      <c r="E120" s="363" t="s">
        <v>285</v>
      </c>
      <c r="F120" s="835"/>
      <c r="G120" s="496"/>
      <c r="H120" s="496"/>
      <c r="I120" s="496"/>
      <c r="J120" s="496"/>
      <c r="K120" s="496"/>
      <c r="L120" s="496"/>
      <c r="M120" s="496"/>
      <c r="N120" s="496"/>
      <c r="O120" s="496"/>
      <c r="P120" s="835"/>
      <c r="Q120" s="496"/>
      <c r="R120" s="496"/>
      <c r="S120" s="496"/>
      <c r="T120" s="496"/>
      <c r="U120" s="497"/>
      <c r="V120" s="496"/>
      <c r="W120" s="496"/>
      <c r="X120" s="496"/>
      <c r="Y120" s="498"/>
      <c r="Z120" s="477"/>
    </row>
    <row r="121" spans="1:26">
      <c r="B121" s="362"/>
      <c r="C121" s="496"/>
      <c r="D121" s="496"/>
      <c r="E121" s="363" t="s">
        <v>271</v>
      </c>
      <c r="F121" s="835"/>
      <c r="G121" s="496"/>
      <c r="H121" s="496"/>
      <c r="I121" s="496"/>
      <c r="J121" s="496"/>
      <c r="K121" s="496"/>
      <c r="L121" s="496"/>
      <c r="M121" s="496"/>
      <c r="N121" s="496"/>
      <c r="O121" s="496"/>
      <c r="P121" s="835"/>
      <c r="Q121" s="496"/>
      <c r="R121" s="496"/>
      <c r="S121" s="496"/>
      <c r="T121" s="496"/>
      <c r="U121" s="497"/>
      <c r="V121" s="496"/>
      <c r="W121" s="496"/>
      <c r="X121" s="496"/>
      <c r="Y121" s="498"/>
      <c r="Z121" s="477"/>
    </row>
    <row r="122" spans="1:26">
      <c r="B122" s="362"/>
      <c r="C122" s="496"/>
      <c r="D122" s="496"/>
      <c r="E122" s="363" t="s">
        <v>272</v>
      </c>
      <c r="F122" s="835"/>
      <c r="G122" s="496"/>
      <c r="H122" s="496"/>
      <c r="I122" s="496"/>
      <c r="J122" s="496"/>
      <c r="K122" s="497"/>
      <c r="L122" s="496"/>
      <c r="M122" s="496"/>
      <c r="N122" s="496"/>
      <c r="O122" s="496"/>
      <c r="P122" s="835"/>
      <c r="Q122" s="496"/>
      <c r="R122" s="496"/>
      <c r="S122" s="496"/>
      <c r="T122" s="496"/>
      <c r="U122" s="497"/>
      <c r="V122" s="496"/>
      <c r="W122" s="496"/>
      <c r="X122" s="496"/>
      <c r="Y122" s="498"/>
      <c r="Z122" s="477"/>
    </row>
    <row r="123" spans="1:26">
      <c r="B123" s="362"/>
      <c r="C123" s="496"/>
      <c r="D123" s="496"/>
      <c r="E123" s="363" t="s">
        <v>273</v>
      </c>
      <c r="F123" s="835"/>
      <c r="G123" s="496"/>
      <c r="H123" s="496"/>
      <c r="I123" s="496"/>
      <c r="J123" s="496"/>
      <c r="K123" s="497"/>
      <c r="L123" s="496"/>
      <c r="M123" s="496"/>
      <c r="N123" s="496"/>
      <c r="O123" s="496"/>
      <c r="P123" s="835"/>
      <c r="Q123" s="496"/>
      <c r="R123" s="496"/>
      <c r="S123" s="496"/>
      <c r="T123" s="496"/>
      <c r="U123" s="497"/>
      <c r="V123" s="496"/>
      <c r="W123" s="496"/>
      <c r="X123" s="496"/>
      <c r="Y123" s="498"/>
      <c r="Z123" s="477"/>
    </row>
    <row r="124" spans="1:26">
      <c r="B124" s="362"/>
      <c r="C124" s="496"/>
      <c r="D124" s="496"/>
      <c r="E124" s="363" t="s">
        <v>274</v>
      </c>
      <c r="F124" s="835"/>
      <c r="G124" s="496"/>
      <c r="H124" s="496"/>
      <c r="I124" s="496"/>
      <c r="J124" s="496"/>
      <c r="K124" s="497"/>
      <c r="L124" s="496"/>
      <c r="M124" s="496"/>
      <c r="N124" s="496"/>
      <c r="O124" s="496"/>
      <c r="P124" s="835"/>
      <c r="Q124" s="496"/>
      <c r="R124" s="496"/>
      <c r="S124" s="496"/>
      <c r="T124" s="496"/>
      <c r="U124" s="496"/>
      <c r="V124" s="496"/>
      <c r="W124" s="496"/>
      <c r="X124" s="496"/>
      <c r="Y124" s="498"/>
      <c r="Z124" s="477"/>
    </row>
    <row r="125" spans="1:26">
      <c r="B125" s="362"/>
      <c r="C125" s="496"/>
      <c r="D125" s="496"/>
      <c r="E125" s="363" t="s">
        <v>275</v>
      </c>
      <c r="F125" s="835"/>
      <c r="G125" s="496"/>
      <c r="H125" s="496"/>
      <c r="I125" s="496"/>
      <c r="J125" s="496"/>
      <c r="K125" s="497"/>
      <c r="L125" s="496"/>
      <c r="M125" s="496"/>
      <c r="N125" s="496"/>
      <c r="O125" s="496"/>
      <c r="P125" s="835"/>
      <c r="Q125" s="496"/>
      <c r="R125" s="496"/>
      <c r="S125" s="496"/>
      <c r="T125" s="496"/>
      <c r="U125" s="497"/>
      <c r="V125" s="496"/>
      <c r="W125" s="496"/>
      <c r="X125" s="496"/>
      <c r="Y125" s="498"/>
      <c r="Z125" s="477"/>
    </row>
    <row r="126" spans="1:26" ht="17" thickBot="1">
      <c r="B126" s="364"/>
      <c r="C126" s="499"/>
      <c r="D126" s="499"/>
      <c r="E126" s="365" t="s">
        <v>266</v>
      </c>
      <c r="F126" s="836"/>
      <c r="G126" s="499"/>
      <c r="H126" s="499"/>
      <c r="I126" s="499"/>
      <c r="J126" s="499"/>
      <c r="K126" s="499"/>
      <c r="L126" s="499"/>
      <c r="M126" s="499"/>
      <c r="N126" s="499"/>
      <c r="O126" s="499"/>
      <c r="P126" s="836"/>
      <c r="Q126" s="499"/>
      <c r="R126" s="499"/>
      <c r="S126" s="499"/>
      <c r="T126" s="499"/>
      <c r="U126" s="499"/>
      <c r="V126" s="499"/>
      <c r="W126" s="499"/>
      <c r="X126" s="499"/>
      <c r="Y126" s="500"/>
      <c r="Z126" s="477"/>
    </row>
    <row r="127" spans="1:26">
      <c r="K127" s="501"/>
      <c r="Z127" s="477"/>
    </row>
    <row r="128" spans="1:26">
      <c r="K128" s="501"/>
      <c r="Z128" s="477"/>
    </row>
    <row r="129" spans="1:26">
      <c r="K129" s="501"/>
      <c r="L129" s="501"/>
      <c r="M129" s="677"/>
      <c r="N129" s="501"/>
      <c r="O129" s="501"/>
      <c r="P129" s="837"/>
      <c r="Q129" s="501"/>
      <c r="R129" s="501"/>
      <c r="S129" s="501"/>
      <c r="T129" s="501"/>
      <c r="U129" s="501"/>
      <c r="V129" s="501"/>
      <c r="W129" s="501"/>
      <c r="X129" s="501"/>
      <c r="Y129" s="501"/>
      <c r="Z129" s="477"/>
    </row>
    <row r="130" spans="1:26">
      <c r="K130" s="501"/>
      <c r="L130" s="501"/>
      <c r="M130" s="501"/>
      <c r="N130" s="501"/>
      <c r="O130" s="501"/>
      <c r="P130" s="837"/>
      <c r="Q130" s="501"/>
      <c r="R130" s="501"/>
      <c r="S130" s="501"/>
      <c r="T130" s="501"/>
      <c r="U130" s="501"/>
      <c r="V130" s="501"/>
      <c r="W130" s="501"/>
      <c r="X130" s="501"/>
      <c r="Y130" s="501"/>
      <c r="Z130" s="477"/>
    </row>
    <row r="131" spans="1:26">
      <c r="K131" s="501"/>
      <c r="T131" s="369">
        <f>IF(AND($Q$55="Cost-Based",$Q$56="ITC"),1,0)</f>
        <v>1</v>
      </c>
      <c r="U131" s="501"/>
      <c r="V131" s="501"/>
      <c r="W131" s="501"/>
      <c r="X131" s="501"/>
      <c r="Y131" s="501"/>
    </row>
    <row r="132" spans="1:26">
      <c r="K132" s="501"/>
      <c r="T132" s="478"/>
    </row>
    <row r="133" spans="1:26">
      <c r="K133" s="501"/>
      <c r="T133" s="478"/>
    </row>
    <row r="134" spans="1:26">
      <c r="K134" s="501"/>
      <c r="T134" s="9"/>
    </row>
    <row r="135" spans="1:26">
      <c r="K135" s="501"/>
      <c r="L135" s="501"/>
      <c r="M135" s="501"/>
      <c r="N135" s="501"/>
      <c r="O135" s="501"/>
      <c r="P135" s="837"/>
      <c r="Q135" s="501"/>
      <c r="R135" s="501"/>
      <c r="S135" s="501"/>
      <c r="T135" s="501"/>
      <c r="U135" s="501"/>
      <c r="V135" s="501"/>
      <c r="W135" s="501"/>
      <c r="X135" s="501"/>
      <c r="Y135" s="501"/>
    </row>
    <row r="136" spans="1:26">
      <c r="K136" s="501"/>
      <c r="L136" s="501"/>
      <c r="M136" s="501"/>
      <c r="N136" s="501"/>
      <c r="O136" s="501"/>
      <c r="P136" s="837"/>
      <c r="Q136" s="501"/>
      <c r="R136" s="501"/>
      <c r="S136" s="501"/>
      <c r="T136" s="501"/>
      <c r="U136" s="501"/>
      <c r="V136" s="501"/>
      <c r="W136" s="501"/>
      <c r="X136" s="501"/>
      <c r="Y136" s="501"/>
    </row>
    <row r="137" spans="1:26">
      <c r="A137" s="501"/>
      <c r="B137" s="501"/>
      <c r="C137" s="501"/>
      <c r="D137" s="501"/>
      <c r="E137" s="501"/>
      <c r="F137" s="837"/>
      <c r="G137" s="501"/>
      <c r="H137" s="501"/>
      <c r="I137" s="501"/>
      <c r="J137" s="501"/>
      <c r="K137" s="501"/>
      <c r="L137" s="501"/>
      <c r="M137" s="501"/>
      <c r="N137" s="501"/>
      <c r="O137" s="501"/>
      <c r="P137" s="837"/>
      <c r="Q137" s="501"/>
      <c r="R137" s="501"/>
      <c r="S137" s="501"/>
      <c r="T137" s="501"/>
      <c r="U137" s="501"/>
      <c r="V137" s="501"/>
      <c r="W137" s="501"/>
      <c r="X137" s="501"/>
      <c r="Y137" s="501"/>
    </row>
    <row r="138" spans="1:26">
      <c r="A138" s="501"/>
      <c r="B138" s="501"/>
      <c r="C138" s="501"/>
      <c r="D138" s="501"/>
      <c r="E138" s="501"/>
      <c r="F138" s="837"/>
      <c r="G138" s="501"/>
      <c r="H138" s="501"/>
      <c r="I138" s="501"/>
      <c r="J138" s="501"/>
      <c r="K138" s="501"/>
      <c r="L138" s="501"/>
      <c r="M138" s="501"/>
      <c r="N138" s="501"/>
      <c r="O138" s="501"/>
      <c r="P138" s="837"/>
      <c r="Q138" s="501"/>
      <c r="R138" s="501"/>
      <c r="S138" s="501"/>
      <c r="T138" s="501"/>
      <c r="U138" s="501"/>
      <c r="V138" s="501"/>
      <c r="W138" s="501"/>
      <c r="X138" s="501"/>
      <c r="Y138" s="501"/>
    </row>
    <row r="147" spans="5:5">
      <c r="E147" s="788"/>
    </row>
  </sheetData>
  <protectedRanges>
    <protectedRange sqref="P86:P87 U92 W92 P93:W93 P94:U96 P100:P101 V100:V101" name="Depreciation Inputs"/>
    <protectedRange sqref="Q6:Q8 Q11:Q13 Q17 Q20:Q22 Q24:Q25 Q27:Q28 Q30 Q32:Q36 Q40:Q47 Q51:Q52 Q74 Q76:Q77 Q60:Q61 Q55:Q57 Q69:Q70 Q63:Q66 Q72 Q79:Q83" name="Inputs Set 2"/>
    <protectedRange sqref="G6:G7 G9:G10 G12 G14:G15 G17 G20:G21 G65 G67 G54 G79:G83 G86 G90 G92 G96 G99 G101 Q104:Q108 G59:G63 G24:G28 G30 G35:G41 G43 G52 G53 G56" name="Inputs Set 1"/>
    <protectedRange sqref="Q81" name="Column Q Inputs"/>
  </protectedRanges>
  <mergeCells count="10">
    <mergeCell ref="C2:T2"/>
    <mergeCell ref="O4:P4"/>
    <mergeCell ref="R95:T95"/>
    <mergeCell ref="R96:T96"/>
    <mergeCell ref="R97:T97"/>
    <mergeCell ref="R90:T90"/>
    <mergeCell ref="R91:T91"/>
    <mergeCell ref="R92:T92"/>
    <mergeCell ref="R93:T93"/>
    <mergeCell ref="R94:T94"/>
  </mergeCells>
  <conditionalFormatting sqref="C20">
    <cfRule type="expression" dxfId="202" priority="194">
      <formula>$G$20="(use dropdown)"</formula>
    </cfRule>
    <cfRule type="expression" dxfId="201" priority="816">
      <formula>$G$20&lt;&gt;""</formula>
    </cfRule>
  </conditionalFormatting>
  <conditionalFormatting sqref="M8">
    <cfRule type="expression" dxfId="200" priority="653">
      <formula>$Q$8&lt;&gt;""</formula>
    </cfRule>
  </conditionalFormatting>
  <conditionalFormatting sqref="M7">
    <cfRule type="expression" dxfId="199" priority="652">
      <formula>$Q$7&lt;&gt;""</formula>
    </cfRule>
  </conditionalFormatting>
  <conditionalFormatting sqref="G85">
    <cfRule type="expression" dxfId="198" priority="615">
      <formula>$G$85="Fail"</formula>
    </cfRule>
  </conditionalFormatting>
  <conditionalFormatting sqref="O52:Q52 S52">
    <cfRule type="expression" dxfId="197" priority="610">
      <formula>$Q$51="Salvage"</formula>
    </cfRule>
  </conditionalFormatting>
  <conditionalFormatting sqref="G88">
    <cfRule type="expression" dxfId="196" priority="556">
      <formula>$G$88="Fail"</formula>
    </cfRule>
  </conditionalFormatting>
  <conditionalFormatting sqref="G21">
    <cfRule type="expression" dxfId="195" priority="520">
      <formula>$G$20="Simple"</formula>
    </cfRule>
  </conditionalFormatting>
  <conditionalFormatting sqref="O12:P12">
    <cfRule type="expression" dxfId="194" priority="495">
      <formula>$T$12=1</formula>
    </cfRule>
  </conditionalFormatting>
  <conditionalFormatting sqref="O13:P13">
    <cfRule type="expression" dxfId="193" priority="494">
      <formula>$T$13=1</formula>
    </cfRule>
  </conditionalFormatting>
  <conditionalFormatting sqref="O14">
    <cfRule type="expression" dxfId="192" priority="493">
      <formula>$T$14=1</formula>
    </cfRule>
  </conditionalFormatting>
  <conditionalFormatting sqref="Q12">
    <cfRule type="expression" dxfId="191" priority="490">
      <formula>$T$12=1</formula>
    </cfRule>
  </conditionalFormatting>
  <conditionalFormatting sqref="Q13">
    <cfRule type="expression" dxfId="190" priority="489">
      <formula>$T$13=1</formula>
    </cfRule>
  </conditionalFormatting>
  <conditionalFormatting sqref="P14:Q14">
    <cfRule type="expression" dxfId="189" priority="488">
      <formula>$T$14=1</formula>
    </cfRule>
  </conditionalFormatting>
  <conditionalFormatting sqref="O11:P11">
    <cfRule type="expression" dxfId="188" priority="486">
      <formula>$T$11=1</formula>
    </cfRule>
  </conditionalFormatting>
  <conditionalFormatting sqref="Q11">
    <cfRule type="expression" dxfId="187" priority="485">
      <formula>$T$11=1</formula>
    </cfRule>
  </conditionalFormatting>
  <conditionalFormatting sqref="O59:Q59 S59 O56:Q57 S56:S57">
    <cfRule type="expression" dxfId="186" priority="473">
      <formula>$T$55=1</formula>
    </cfRule>
  </conditionalFormatting>
  <conditionalFormatting sqref="O74:Q75 S79:S80 S77 S74:S75 O79:Q80 O77:Q77">
    <cfRule type="expression" dxfId="185" priority="469">
      <formula>$R$74=1</formula>
    </cfRule>
  </conditionalFormatting>
  <conditionalFormatting sqref="S36:S37 S30:S35">
    <cfRule type="expression" dxfId="184" priority="458">
      <formula>$Q$17="Intermediate"</formula>
    </cfRule>
  </conditionalFormatting>
  <conditionalFormatting sqref="E21:F21">
    <cfRule type="expression" dxfId="183" priority="452">
      <formula>$G$20="Simple"</formula>
    </cfRule>
  </conditionalFormatting>
  <conditionalFormatting sqref="O76:Q76 S76">
    <cfRule type="expression" dxfId="182" priority="2350">
      <formula>$T$77=1</formula>
    </cfRule>
  </conditionalFormatting>
  <conditionalFormatting sqref="S11">
    <cfRule type="expression" dxfId="181" priority="437">
      <formula>$T$11=1</formula>
    </cfRule>
  </conditionalFormatting>
  <conditionalFormatting sqref="S12">
    <cfRule type="expression" dxfId="180" priority="436">
      <formula>$T$12=1</formula>
    </cfRule>
  </conditionalFormatting>
  <conditionalFormatting sqref="S13">
    <cfRule type="expression" dxfId="179" priority="435">
      <formula>$T$13=1</formula>
    </cfRule>
  </conditionalFormatting>
  <conditionalFormatting sqref="S14">
    <cfRule type="expression" dxfId="178" priority="434">
      <formula>$T$14=1</formula>
    </cfRule>
  </conditionalFormatting>
  <conditionalFormatting sqref="E91:G91">
    <cfRule type="expression" dxfId="177" priority="431">
      <formula>$G$79=0%</formula>
    </cfRule>
  </conditionalFormatting>
  <conditionalFormatting sqref="M6">
    <cfRule type="expression" dxfId="176" priority="425">
      <formula>$N$6=1</formula>
    </cfRule>
  </conditionalFormatting>
  <conditionalFormatting sqref="M17">
    <cfRule type="expression" dxfId="175" priority="416">
      <formula>$Q$17&lt;&gt;""</formula>
    </cfRule>
  </conditionalFormatting>
  <conditionalFormatting sqref="M11">
    <cfRule type="expression" dxfId="174" priority="379">
      <formula>$Q$11=""</formula>
    </cfRule>
  </conditionalFormatting>
  <conditionalFormatting sqref="M12">
    <cfRule type="expression" dxfId="173" priority="378">
      <formula>$N$12=1</formula>
    </cfRule>
  </conditionalFormatting>
  <conditionalFormatting sqref="M13">
    <cfRule type="expression" dxfId="172" priority="377">
      <formula>$N$13=1</formula>
    </cfRule>
  </conditionalFormatting>
  <conditionalFormatting sqref="M55">
    <cfRule type="expression" dxfId="171" priority="376">
      <formula>$Q$55=""</formula>
    </cfRule>
  </conditionalFormatting>
  <conditionalFormatting sqref="M56">
    <cfRule type="expression" dxfId="170" priority="375">
      <formula>$Q$56=""</formula>
    </cfRule>
  </conditionalFormatting>
  <conditionalFormatting sqref="M60">
    <cfRule type="expression" dxfId="169" priority="374">
      <formula>$Q$60=""</formula>
    </cfRule>
  </conditionalFormatting>
  <conditionalFormatting sqref="M51 M57 M83 M66 M69:M70 M74">
    <cfRule type="expression" dxfId="168" priority="373">
      <formula>$N51=1</formula>
    </cfRule>
  </conditionalFormatting>
  <conditionalFormatting sqref="M61">
    <cfRule type="expression" dxfId="167" priority="365">
      <formula>$Q$61&lt;0</formula>
    </cfRule>
  </conditionalFormatting>
  <conditionalFormatting sqref="M63">
    <cfRule type="expression" dxfId="166" priority="364">
      <formula>$N$63=1</formula>
    </cfRule>
  </conditionalFormatting>
  <conditionalFormatting sqref="M64">
    <cfRule type="expression" dxfId="165" priority="363">
      <formula>$Q$64=""</formula>
    </cfRule>
  </conditionalFormatting>
  <conditionalFormatting sqref="M81 M65">
    <cfRule type="expression" dxfId="164" priority="361">
      <formula>$Q65&lt;0</formula>
    </cfRule>
  </conditionalFormatting>
  <conditionalFormatting sqref="M40 M44">
    <cfRule type="expression" dxfId="163" priority="359">
      <formula>$N40=1</formula>
    </cfRule>
  </conditionalFormatting>
  <conditionalFormatting sqref="M72">
    <cfRule type="expression" dxfId="162" priority="357">
      <formula>$N$72=1</formula>
    </cfRule>
  </conditionalFormatting>
  <conditionalFormatting sqref="M77">
    <cfRule type="expression" dxfId="161" priority="356">
      <formula>$Q$77&lt;0</formula>
    </cfRule>
  </conditionalFormatting>
  <conditionalFormatting sqref="M79">
    <cfRule type="expression" dxfId="160" priority="355">
      <formula>$N$79=1</formula>
    </cfRule>
  </conditionalFormatting>
  <conditionalFormatting sqref="M80">
    <cfRule type="expression" dxfId="159" priority="354">
      <formula>$Q$80=""</formula>
    </cfRule>
  </conditionalFormatting>
  <conditionalFormatting sqref="M42 M46">
    <cfRule type="expression" dxfId="158" priority="350">
      <formula>$Q42&gt;=0</formula>
    </cfRule>
  </conditionalFormatting>
  <conditionalFormatting sqref="M52">
    <cfRule type="expression" dxfId="157" priority="338">
      <formula>$Q$51="Salvage"</formula>
    </cfRule>
    <cfRule type="expression" dxfId="156" priority="348">
      <formula>$Q$52&lt;0</formula>
    </cfRule>
  </conditionalFormatting>
  <conditionalFormatting sqref="C101">
    <cfRule type="expression" dxfId="155" priority="345">
      <formula>$G$101&lt;0</formula>
    </cfRule>
  </conditionalFormatting>
  <conditionalFormatting sqref="M56:M57">
    <cfRule type="expression" dxfId="154" priority="344">
      <formula>$Q$55="Performance-Based"</formula>
    </cfRule>
  </conditionalFormatting>
  <conditionalFormatting sqref="M91">
    <cfRule type="expression" dxfId="153" priority="334">
      <formula>$N$91=2</formula>
    </cfRule>
    <cfRule type="expression" dxfId="152" priority="335">
      <formula>$N$91=1</formula>
    </cfRule>
  </conditionalFormatting>
  <conditionalFormatting sqref="M92:M96">
    <cfRule type="expression" dxfId="151" priority="330">
      <formula>$N92=2</formula>
    </cfRule>
    <cfRule type="expression" dxfId="150" priority="331">
      <formula>$N92=1</formula>
    </cfRule>
  </conditionalFormatting>
  <conditionalFormatting sqref="Y91 O91:R91 U91:W91">
    <cfRule type="expression" dxfId="149" priority="329">
      <formula>$L91=0</formula>
    </cfRule>
  </conditionalFormatting>
  <conditionalFormatting sqref="C67 C96 C99">
    <cfRule type="expression" dxfId="148" priority="322">
      <formula>$G67&lt;0</formula>
    </cfRule>
  </conditionalFormatting>
  <conditionalFormatting sqref="S105:S110 O105:Q110">
    <cfRule type="expression" dxfId="147" priority="2608">
      <formula>$Q$104="No"</formula>
    </cfRule>
  </conditionalFormatting>
  <conditionalFormatting sqref="I85 I88">
    <cfRule type="expression" dxfId="146" priority="291">
      <formula>$G85="Fail"</formula>
    </cfRule>
  </conditionalFormatting>
  <conditionalFormatting sqref="E85">
    <cfRule type="expression" dxfId="145" priority="286">
      <formula>$G$85="Fail"</formula>
    </cfRule>
  </conditionalFormatting>
  <conditionalFormatting sqref="E88">
    <cfRule type="expression" dxfId="144" priority="285">
      <formula>$G$88="Fail"</formula>
    </cfRule>
  </conditionalFormatting>
  <conditionalFormatting sqref="C7">
    <cfRule type="expression" dxfId="143" priority="284">
      <formula>$G$7&gt;0</formula>
    </cfRule>
  </conditionalFormatting>
  <conditionalFormatting sqref="E15:G15 I15">
    <cfRule type="expression" dxfId="142" priority="271">
      <formula>$G$14="Year-by-Year"</formula>
    </cfRule>
  </conditionalFormatting>
  <conditionalFormatting sqref="E16:G16 I16">
    <cfRule type="expression" dxfId="141" priority="270">
      <formula>$G$14="Annual"</formula>
    </cfRule>
  </conditionalFormatting>
  <conditionalFormatting sqref="E11:G11 I11">
    <cfRule type="expression" dxfId="140" priority="268">
      <formula>$G$9="Annual"</formula>
    </cfRule>
  </conditionalFormatting>
  <conditionalFormatting sqref="C20:C21">
    <cfRule type="expression" dxfId="139" priority="267">
      <formula>$G$20&lt;&gt;"(use dropdown)"</formula>
    </cfRule>
  </conditionalFormatting>
  <conditionalFormatting sqref="C21">
    <cfRule type="expression" dxfId="138" priority="15" stopIfTrue="1">
      <formula>$G$20="Complex"</formula>
    </cfRule>
    <cfRule type="expression" dxfId="137" priority="258">
      <formula>AND($G$20="Simple",$G$21&gt;0)</formula>
    </cfRule>
    <cfRule type="expression" dxfId="136" priority="259">
      <formula>AND($G$20="Simple",$G$21&lt;=0)</formula>
    </cfRule>
  </conditionalFormatting>
  <conditionalFormatting sqref="C10">
    <cfRule type="expression" dxfId="135" priority="213">
      <formula>AND($G$10&gt;=0,$G$10&lt;=1)</formula>
    </cfRule>
    <cfRule type="expression" dxfId="134" priority="254">
      <formula>OR($G$10&lt;0,$G$10&gt;1)</formula>
    </cfRule>
  </conditionalFormatting>
  <conditionalFormatting sqref="M20">
    <cfRule type="expression" dxfId="133" priority="169">
      <formula>$Q$20&lt;0</formula>
    </cfRule>
    <cfRule type="expression" dxfId="132" priority="248">
      <formula>$Q$20&gt;=0</formula>
    </cfRule>
  </conditionalFormatting>
  <conditionalFormatting sqref="M21">
    <cfRule type="expression" dxfId="131" priority="247">
      <formula>$Q$21&lt;0</formula>
    </cfRule>
  </conditionalFormatting>
  <conditionalFormatting sqref="M24">
    <cfRule type="expression" dxfId="130" priority="166">
      <formula>$Q$24&lt;0</formula>
    </cfRule>
    <cfRule type="expression" dxfId="129" priority="244">
      <formula>$Q$24&gt;=0</formula>
    </cfRule>
  </conditionalFormatting>
  <conditionalFormatting sqref="C86">
    <cfRule type="expression" dxfId="128" priority="3966">
      <formula>$G$86&lt;1</formula>
    </cfRule>
  </conditionalFormatting>
  <conditionalFormatting sqref="M110">
    <cfRule type="expression" dxfId="127" priority="3969">
      <formula>$Q$106=""</formula>
    </cfRule>
  </conditionalFormatting>
  <conditionalFormatting sqref="M109">
    <cfRule type="expression" dxfId="126" priority="3971">
      <formula>$Q$104="No"</formula>
    </cfRule>
    <cfRule type="expression" dxfId="125" priority="3972">
      <formula>$N$105=1</formula>
    </cfRule>
  </conditionalFormatting>
  <conditionalFormatting sqref="C92 C85:C86 C88 C82">
    <cfRule type="expression" dxfId="124" priority="3982">
      <formula>$G$79=0</formula>
    </cfRule>
  </conditionalFormatting>
  <conditionalFormatting sqref="M108">
    <cfRule type="expression" dxfId="123" priority="3986">
      <formula>$Q$104=""</formula>
    </cfRule>
  </conditionalFormatting>
  <conditionalFormatting sqref="M106">
    <cfRule type="expression" dxfId="122" priority="224">
      <formula>#REF!=""</formula>
    </cfRule>
  </conditionalFormatting>
  <conditionalFormatting sqref="C9">
    <cfRule type="expression" dxfId="121" priority="212">
      <formula>$G$9&lt;&gt;""</formula>
    </cfRule>
  </conditionalFormatting>
  <conditionalFormatting sqref="C14">
    <cfRule type="expression" dxfId="120" priority="211">
      <formula>$G$14&lt;&gt;""</formula>
    </cfRule>
  </conditionalFormatting>
  <conditionalFormatting sqref="C15">
    <cfRule type="expression" dxfId="119" priority="208">
      <formula>$G$15&gt;=0</formula>
    </cfRule>
    <cfRule type="expression" dxfId="118" priority="209">
      <formula>$G$15&lt;0</formula>
    </cfRule>
  </conditionalFormatting>
  <conditionalFormatting sqref="M43">
    <cfRule type="expression" dxfId="117" priority="206">
      <formula>$Q$43&gt;=0</formula>
    </cfRule>
    <cfRule type="expression" dxfId="116" priority="207">
      <formula>$Q$43&lt;0</formula>
    </cfRule>
  </conditionalFormatting>
  <conditionalFormatting sqref="M47">
    <cfRule type="expression" dxfId="115" priority="204">
      <formula>$Q$47&gt;=0</formula>
    </cfRule>
    <cfRule type="expression" dxfId="114" priority="205">
      <formula>$Q$47&lt;0</formula>
    </cfRule>
  </conditionalFormatting>
  <conditionalFormatting sqref="C25">
    <cfRule type="expression" dxfId="113" priority="199">
      <formula>OR($G$25&lt;0,$G$25&gt;1)</formula>
    </cfRule>
    <cfRule type="expression" dxfId="112" priority="200">
      <formula>AND($G$25&gt;=0,$G$25&lt;=1)</formula>
    </cfRule>
  </conditionalFormatting>
  <conditionalFormatting sqref="C27">
    <cfRule type="expression" dxfId="111" priority="197">
      <formula>$G$27&lt;0</formula>
    </cfRule>
    <cfRule type="expression" dxfId="110" priority="198">
      <formula>$G$27&gt;=0</formula>
    </cfRule>
  </conditionalFormatting>
  <conditionalFormatting sqref="C28">
    <cfRule type="expression" dxfId="109" priority="195">
      <formula>$G$28&lt;0</formula>
    </cfRule>
    <cfRule type="expression" dxfId="108" priority="196">
      <formula>$G$28&gt;=0</formula>
    </cfRule>
  </conditionalFormatting>
  <conditionalFormatting sqref="C35">
    <cfRule type="expression" dxfId="107" priority="190">
      <formula>OR($G$35&lt;0,$G$35&gt;1)</formula>
    </cfRule>
  </conditionalFormatting>
  <conditionalFormatting sqref="C37">
    <cfRule type="expression" dxfId="106" priority="188">
      <formula>$G$37&lt;0</formula>
    </cfRule>
  </conditionalFormatting>
  <conditionalFormatting sqref="C38">
    <cfRule type="expression" dxfId="105" priority="186">
      <formula>$G$38&lt;0</formula>
    </cfRule>
  </conditionalFormatting>
  <conditionalFormatting sqref="C59">
    <cfRule type="expression" dxfId="104" priority="182">
      <formula>$G$59&lt;0</formula>
    </cfRule>
  </conditionalFormatting>
  <conditionalFormatting sqref="C61">
    <cfRule type="expression" dxfId="103" priority="180">
      <formula>$G$61&lt;0</formula>
    </cfRule>
  </conditionalFormatting>
  <conditionalFormatting sqref="C62">
    <cfRule type="expression" dxfId="102" priority="178">
      <formula>$G$62&lt;0</formula>
    </cfRule>
  </conditionalFormatting>
  <conditionalFormatting sqref="C63">
    <cfRule type="expression" dxfId="101" priority="176">
      <formula>$G$63&lt;0</formula>
    </cfRule>
  </conditionalFormatting>
  <conditionalFormatting sqref="C60">
    <cfRule type="expression" dxfId="100" priority="172">
      <formula>OR($G$60&lt;0,$G$60&gt;1)</formula>
    </cfRule>
  </conditionalFormatting>
  <conditionalFormatting sqref="E10:G10 I10">
    <cfRule type="expression" dxfId="99" priority="269">
      <formula>$G$9="Year-by-Year"</formula>
    </cfRule>
  </conditionalFormatting>
  <conditionalFormatting sqref="M22">
    <cfRule type="expression" dxfId="98" priority="168">
      <formula>$Q$22&lt;=0</formula>
    </cfRule>
    <cfRule type="expression" dxfId="97" priority="246">
      <formula>$Q$22&gt;0</formula>
    </cfRule>
  </conditionalFormatting>
  <conditionalFormatting sqref="M25">
    <cfRule type="expression" dxfId="96" priority="163">
      <formula>$Q$25&lt;0</formula>
    </cfRule>
    <cfRule type="expression" dxfId="95" priority="164">
      <formula>$Q$25&gt;=0</formula>
    </cfRule>
  </conditionalFormatting>
  <conditionalFormatting sqref="M27">
    <cfRule type="expression" dxfId="94" priority="161">
      <formula>$Q$27&lt;0</formula>
    </cfRule>
    <cfRule type="expression" dxfId="93" priority="162">
      <formula>$Q$27&gt;=0</formula>
    </cfRule>
  </conditionalFormatting>
  <conditionalFormatting sqref="M28">
    <cfRule type="expression" dxfId="92" priority="159">
      <formula>$Q$28&lt;0</formula>
    </cfRule>
    <cfRule type="expression" dxfId="91" priority="160">
      <formula>$Q$28&gt;=0</formula>
    </cfRule>
  </conditionalFormatting>
  <conditionalFormatting sqref="M30">
    <cfRule type="expression" dxfId="90" priority="153">
      <formula>$Q$30&lt;0</formula>
    </cfRule>
  </conditionalFormatting>
  <conditionalFormatting sqref="M32">
    <cfRule type="expression" dxfId="89" priority="151">
      <formula>$Q$32&lt;0</formula>
    </cfRule>
  </conditionalFormatting>
  <conditionalFormatting sqref="M34">
    <cfRule type="expression" dxfId="88" priority="150">
      <formula>$Q$34=""</formula>
    </cfRule>
  </conditionalFormatting>
  <conditionalFormatting sqref="M36">
    <cfRule type="expression" dxfId="87" priority="148">
      <formula>$Q$36&lt;0</formula>
    </cfRule>
  </conditionalFormatting>
  <conditionalFormatting sqref="C54 C41">
    <cfRule type="expression" dxfId="86" priority="146">
      <formula>$G$54&lt;0</formula>
    </cfRule>
    <cfRule type="expression" dxfId="85" priority="147">
      <formula>$G$54&gt;=0</formula>
    </cfRule>
  </conditionalFormatting>
  <conditionalFormatting sqref="C80">
    <cfRule type="expression" dxfId="84" priority="142">
      <formula>OR($G$80&lt;0,$G$80&gt;$G$17)</formula>
    </cfRule>
    <cfRule type="expression" dxfId="83" priority="143">
      <formula>AND($G$80&gt;0,$G$80&lt;=$G$17)</formula>
    </cfRule>
  </conditionalFormatting>
  <conditionalFormatting sqref="C81">
    <cfRule type="expression" dxfId="82" priority="140">
      <formula>$D$81=1</formula>
    </cfRule>
    <cfRule type="expression" dxfId="81" priority="141">
      <formula>$D$81=0</formula>
    </cfRule>
  </conditionalFormatting>
  <conditionalFormatting sqref="C83">
    <cfRule type="expression" dxfId="80" priority="138">
      <formula>$G$83&lt;=1</formula>
    </cfRule>
    <cfRule type="expression" dxfId="79" priority="139">
      <formula>$G$83&gt;1</formula>
    </cfRule>
  </conditionalFormatting>
  <conditionalFormatting sqref="C85">
    <cfRule type="expression" dxfId="78" priority="137">
      <formula>$G$85="Fail"</formula>
    </cfRule>
  </conditionalFormatting>
  <conditionalFormatting sqref="C88">
    <cfRule type="expression" dxfId="77" priority="133">
      <formula>$G$88="Fail"</formula>
    </cfRule>
  </conditionalFormatting>
  <conditionalFormatting sqref="C82">
    <cfRule type="expression" dxfId="76" priority="128">
      <formula>$G$82&lt;0</formula>
    </cfRule>
    <cfRule type="expression" dxfId="75" priority="129">
      <formula>$G$82&gt;=0</formula>
    </cfRule>
  </conditionalFormatting>
  <conditionalFormatting sqref="C90">
    <cfRule type="expression" dxfId="74" priority="126">
      <formula>$D$90=0</formula>
    </cfRule>
    <cfRule type="expression" dxfId="73" priority="127">
      <formula>$D$90=1</formula>
    </cfRule>
  </conditionalFormatting>
  <conditionalFormatting sqref="C92">
    <cfRule type="expression" dxfId="72" priority="124">
      <formula>$G$92&lt;0</formula>
    </cfRule>
    <cfRule type="expression" dxfId="71" priority="125">
      <formula>$G$92&gt;=0</formula>
    </cfRule>
  </conditionalFormatting>
  <conditionalFormatting sqref="M105">
    <cfRule type="expression" dxfId="70" priority="122">
      <formula>$N$105=1</formula>
    </cfRule>
    <cfRule type="expression" dxfId="69" priority="123">
      <formula>$N$105=0</formula>
    </cfRule>
  </conditionalFormatting>
  <conditionalFormatting sqref="M107">
    <cfRule type="expression" dxfId="68" priority="120">
      <formula>$N$107=0</formula>
    </cfRule>
    <cfRule type="expression" dxfId="67" priority="121">
      <formula>$N$107=1</formula>
    </cfRule>
  </conditionalFormatting>
  <conditionalFormatting sqref="C12">
    <cfRule type="expression" dxfId="66" priority="117">
      <formula>$G$12&lt;=0</formula>
    </cfRule>
    <cfRule type="expression" dxfId="65" priority="118">
      <formula>$G$12&gt;0</formula>
    </cfRule>
  </conditionalFormatting>
  <conditionalFormatting sqref="E46:G47 I46:I47">
    <cfRule type="expression" dxfId="64" priority="115">
      <formula>$H$46=1</formula>
    </cfRule>
  </conditionalFormatting>
  <conditionalFormatting sqref="O87:P87">
    <cfRule type="expression" dxfId="63" priority="110">
      <formula>$P$90="No"</formula>
    </cfRule>
  </conditionalFormatting>
  <conditionalFormatting sqref="S87">
    <cfRule type="expression" dxfId="62" priority="109">
      <formula>$P$91="No"</formula>
    </cfRule>
  </conditionalFormatting>
  <conditionalFormatting sqref="M104">
    <cfRule type="expression" dxfId="61" priority="4735">
      <formula>$Q$28=""</formula>
    </cfRule>
  </conditionalFormatting>
  <conditionalFormatting sqref="M33">
    <cfRule type="expression" dxfId="60" priority="4800">
      <formula>$Q33&lt;0</formula>
    </cfRule>
  </conditionalFormatting>
  <conditionalFormatting sqref="E70:F70 I59:I64 I45 E45:G45 E58:G64 I35:I38 E35:G38 I71">
    <cfRule type="expression" dxfId="59" priority="5350">
      <formula>$H$36=1</formula>
    </cfRule>
  </conditionalFormatting>
  <conditionalFormatting sqref="G68 G66">
    <cfRule type="expression" dxfId="58" priority="5466">
      <formula>#REF!="Complex"</formula>
    </cfRule>
  </conditionalFormatting>
  <conditionalFormatting sqref="O29:Q37">
    <cfRule type="expression" dxfId="57" priority="107">
      <formula>$Q$17="Simple"</formula>
    </cfRule>
  </conditionalFormatting>
  <conditionalFormatting sqref="M35">
    <cfRule type="expression" dxfId="56" priority="105">
      <formula>$Q$35&lt;0</formula>
    </cfRule>
  </conditionalFormatting>
  <conditionalFormatting sqref="M30 M32:M36">
    <cfRule type="expression" dxfId="55" priority="104">
      <formula>$Q$17="Simple"</formula>
    </cfRule>
  </conditionalFormatting>
  <conditionalFormatting sqref="Y93:Y96 O93:R96 U93:W96">
    <cfRule type="expression" dxfId="54" priority="96">
      <formula>$L$92=0</formula>
    </cfRule>
  </conditionalFormatting>
  <conditionalFormatting sqref="Y97 O97:R97 U97:W97">
    <cfRule type="expression" dxfId="53" priority="93">
      <formula>$L$97=1</formula>
    </cfRule>
  </conditionalFormatting>
  <conditionalFormatting sqref="C65 C67 C59:C63 C37:C38 C35">
    <cfRule type="expression" dxfId="52" priority="92">
      <formula>$D$35=1</formula>
    </cfRule>
  </conditionalFormatting>
  <conditionalFormatting sqref="I6">
    <cfRule type="expression" dxfId="51" priority="88">
      <formula>#REF!="Solar Thermal Electric"</formula>
    </cfRule>
  </conditionalFormatting>
  <conditionalFormatting sqref="C6">
    <cfRule type="expression" dxfId="50" priority="6849">
      <formula>#REF!&gt;0</formula>
    </cfRule>
  </conditionalFormatting>
  <conditionalFormatting sqref="M11:M13">
    <cfRule type="expression" dxfId="49" priority="6889">
      <formula>$G$17=$Q$6</formula>
    </cfRule>
  </conditionalFormatting>
  <conditionalFormatting sqref="S29">
    <cfRule type="expression" dxfId="48" priority="87">
      <formula>$Q$17="Simple"</formula>
    </cfRule>
  </conditionalFormatting>
  <conditionalFormatting sqref="Q101:V101 Y101">
    <cfRule type="expression" dxfId="47" priority="65">
      <formula>$V$100="Percentage Method"</formula>
    </cfRule>
  </conditionalFormatting>
  <conditionalFormatting sqref="C17">
    <cfRule type="expression" dxfId="46" priority="63">
      <formula>$D$17=1</formula>
    </cfRule>
  </conditionalFormatting>
  <conditionalFormatting sqref="C52 C39">
    <cfRule type="expression" dxfId="45" priority="47">
      <formula>$G$52&lt;1</formula>
    </cfRule>
  </conditionalFormatting>
  <conditionalFormatting sqref="O75:Q75 O79:Q80 O77:Q77">
    <cfRule type="expression" dxfId="44" priority="7847">
      <formula>$Q$74="No"</formula>
    </cfRule>
  </conditionalFormatting>
  <conditionalFormatting sqref="O75:Q75 S75">
    <cfRule type="expression" dxfId="43" priority="46">
      <formula>$R$38=1</formula>
    </cfRule>
  </conditionalFormatting>
  <conditionalFormatting sqref="O75:Q75">
    <cfRule type="expression" dxfId="42" priority="45">
      <formula>$Q$38="No"</formula>
    </cfRule>
  </conditionalFormatting>
  <conditionalFormatting sqref="O75:Q75 S75">
    <cfRule type="expression" dxfId="41" priority="44">
      <formula>$R$37=1</formula>
    </cfRule>
  </conditionalFormatting>
  <conditionalFormatting sqref="S63:S64 O63:Q64 S60:S61 O60:Q61">
    <cfRule type="expression" dxfId="40" priority="8713">
      <formula>$R$55=1</formula>
    </cfRule>
  </conditionalFormatting>
  <conditionalFormatting sqref="M63:M64 M60:M61">
    <cfRule type="expression" dxfId="39" priority="8750">
      <formula>$Q$55="Cost-Based"</formula>
    </cfRule>
  </conditionalFormatting>
  <conditionalFormatting sqref="L65 H74 H69 K56">
    <cfRule type="expression" dxfId="38" priority="11989">
      <formula>$G$20="Complex"</formula>
    </cfRule>
  </conditionalFormatting>
  <conditionalFormatting sqref="V94:W96 Y92 O92:R92 U92:W92 W93 F69:G69 G70 E71:G72 I49 E48:G49 E25:G29 I25:I28">
    <cfRule type="expression" dxfId="37" priority="11993">
      <formula>$G$20="Simple"</formula>
    </cfRule>
  </conditionalFormatting>
  <conditionalFormatting sqref="G68 E65:F65 E67:F68 E66:G66">
    <cfRule type="expression" dxfId="36" priority="12004">
      <formula>$G$20="Intermediate"</formula>
    </cfRule>
  </conditionalFormatting>
  <conditionalFormatting sqref="G65 G67">
    <cfRule type="expression" dxfId="35" priority="12008">
      <formula>$G$20="Intermediate"</formula>
    </cfRule>
  </conditionalFormatting>
  <conditionalFormatting sqref="I74 I69">
    <cfRule type="expression" dxfId="34" priority="12010">
      <formula>$G$20="Complex"</formula>
    </cfRule>
  </conditionalFormatting>
  <conditionalFormatting sqref="I65:I68">
    <cfRule type="expression" dxfId="33" priority="12012">
      <formula>$G$20="Intermediate"</formula>
    </cfRule>
  </conditionalFormatting>
  <conditionalFormatting sqref="E69">
    <cfRule type="expression" dxfId="32" priority="12013">
      <formula>$G$20="Complex"</formula>
    </cfRule>
  </conditionalFormatting>
  <conditionalFormatting sqref="C65">
    <cfRule type="expression" dxfId="31" priority="12014">
      <formula>AND($G$20="Intermediate",$G$65&lt;=0)</formula>
    </cfRule>
  </conditionalFormatting>
  <conditionalFormatting sqref="E65:G68 I65:I68">
    <cfRule type="expression" dxfId="30" priority="12017">
      <formula>OR($G$20="Simple",$G$20="Complex")</formula>
    </cfRule>
  </conditionalFormatting>
  <conditionalFormatting sqref="F69:G69">
    <cfRule type="expression" dxfId="29" priority="12055">
      <formula>$G$20="Intermediate"</formula>
    </cfRule>
  </conditionalFormatting>
  <conditionalFormatting sqref="C69 C46">
    <cfRule type="expression" dxfId="28" priority="12061">
      <formula>AND($G$20="Complex",$G$71&gt;0)</formula>
    </cfRule>
    <cfRule type="expression" dxfId="27" priority="12062">
      <formula>$G$20="Complex"</formula>
    </cfRule>
  </conditionalFormatting>
  <conditionalFormatting sqref="C39 C41 C52 C54 C25 C27:C28">
    <cfRule type="expression" dxfId="26" priority="14" stopIfTrue="1">
      <formula>$G$20="Complex"</formula>
    </cfRule>
  </conditionalFormatting>
  <conditionalFormatting sqref="L60 K50">
    <cfRule type="expression" dxfId="25" priority="13643">
      <formula>$G$20="Simple"</formula>
    </cfRule>
  </conditionalFormatting>
  <conditionalFormatting sqref="L63:L64 L61 K51:K53 K55">
    <cfRule type="expression" dxfId="24" priority="13645">
      <formula>$G$20="Intermediate"</formula>
    </cfRule>
  </conditionalFormatting>
  <conditionalFormatting sqref="C25 C27:C28">
    <cfRule type="expression" dxfId="23" priority="11" stopIfTrue="1">
      <formula>$G$20="Simple"</formula>
    </cfRule>
  </conditionalFormatting>
  <conditionalFormatting sqref="C79">
    <cfRule type="expression" dxfId="22" priority="14474">
      <formula>$D79=1</formula>
    </cfRule>
    <cfRule type="expression" dxfId="21" priority="14475">
      <formula>$D$79=0</formula>
    </cfRule>
  </conditionalFormatting>
  <conditionalFormatting sqref="S72:S73 O72:Q73 S70 O70:Q70">
    <cfRule type="expression" dxfId="20" priority="14672">
      <formula>$R$70=1</formula>
    </cfRule>
  </conditionalFormatting>
  <conditionalFormatting sqref="M72 M70">
    <cfRule type="expression" dxfId="19" priority="14710">
      <formula>$Q$69="Performance-Based"</formula>
    </cfRule>
  </conditionalFormatting>
  <conditionalFormatting sqref="M74 M79:M80 M77">
    <cfRule type="expression" dxfId="18" priority="14855">
      <formula>$Q$69="Cost-Based"</formula>
    </cfRule>
  </conditionalFormatting>
  <conditionalFormatting sqref="M76">
    <cfRule type="expression" dxfId="17" priority="15097">
      <formula>$Q$74="Tax Credit"</formula>
    </cfRule>
    <cfRule type="expression" dxfId="16" priority="15098">
      <formula>$Q76=""</formula>
    </cfRule>
  </conditionalFormatting>
  <conditionalFormatting sqref="O62:Q62">
    <cfRule type="expression" dxfId="15" priority="5">
      <formula>$R$55=1</formula>
    </cfRule>
  </conditionalFormatting>
  <conditionalFormatting sqref="O58:Q58">
    <cfRule type="expression" dxfId="14" priority="4">
      <formula>$T$55=1</formula>
    </cfRule>
  </conditionalFormatting>
  <conditionalFormatting sqref="O71:Q71">
    <cfRule type="expression" dxfId="13" priority="3">
      <formula>$R$70=1</formula>
    </cfRule>
  </conditionalFormatting>
  <conditionalFormatting sqref="O78:Q78">
    <cfRule type="expression" dxfId="12" priority="2">
      <formula>$R$74=1</formula>
    </cfRule>
  </conditionalFormatting>
  <conditionalFormatting sqref="O78:Q78">
    <cfRule type="expression" dxfId="11" priority="1">
      <formula>$Q$74="No"</formula>
    </cfRule>
  </conditionalFormatting>
  <dataValidations count="17">
    <dataValidation type="decimal" errorStyle="warning" operator="greaterThanOrEqual" allowBlank="1" showInputMessage="1" showErrorMessage="1" errorTitle="Project Fails to Meet DSCR" error="This project's cash flow is insufficient to support the amount of user-defined debt, and fails to meet the lender's requirements.    _x000a_Please read the note field(s) highlighted in yellow for options to cure this deficiency._x000a_" sqref="G87" xr:uid="{00000000-0002-0000-0100-000000000000}">
      <formula1>G86</formula1>
    </dataValidation>
    <dataValidation type="list" allowBlank="1" showInputMessage="1" showErrorMessage="1" sqref="Q76 Q66 Q104 P86 Q83" xr:uid="{00000000-0002-0000-0100-000001000000}">
      <formula1>"Yes, No"</formula1>
    </dataValidation>
    <dataValidation type="list" allowBlank="1" showInputMessage="1" showErrorMessage="1" sqref="Q74 Q60" xr:uid="{00000000-0002-0000-0100-000002000000}">
      <formula1>"Cash, Tax Credit"</formula1>
    </dataValidation>
    <dataValidation type="list" allowBlank="1" showInputMessage="1" showErrorMessage="1" sqref="Q69 Q55" xr:uid="{00000000-0002-0000-0100-000003000000}">
      <formula1>"Cost-Based, Performance-Based, Neither"</formula1>
    </dataValidation>
    <dataValidation type="list" allowBlank="1" showInputMessage="1" showErrorMessage="1" sqref="Q106 Q108" xr:uid="{00000000-0002-0000-0100-000004000000}">
      <formula1>"As Generated, Carried Forward"</formula1>
    </dataValidation>
    <dataValidation type="list" allowBlank="1" showInputMessage="1" showErrorMessage="1" sqref="V100" xr:uid="{00000000-0002-0000-0100-000005000000}">
      <formula1>"Cost Method, Percentage Method"</formula1>
    </dataValidation>
    <dataValidation type="list" allowBlank="1" showInputMessage="1" showErrorMessage="1" sqref="V101" xr:uid="{00000000-0002-0000-0100-000006000000}">
      <formula1>"No Switch,1,2,3,4,5,6,7,8,9,10,11,12,13,14,15,16,17,18,198,20,21,22,23,24,25"</formula1>
    </dataValidation>
    <dataValidation errorStyle="warning" allowBlank="1" showInputMessage="1" showErrorMessage="1" sqref="G85" xr:uid="{00000000-0002-0000-0100-000007000000}"/>
    <dataValidation errorStyle="warning" operator="equal" allowBlank="1" showInputMessage="1" showErrorMessage="1" errorTitle="Project Fails to Meet DSCR" error="This project's cash flow is insufficient to support the amount of user-defined debt, and fails to meet the lender's requirements.    _x000a_Please read the note field(s) highlighted in yellow for options to cure this deficiency._x000a__x000a_" sqref="H85 H88" xr:uid="{00000000-0002-0000-0100-000008000000}"/>
    <dataValidation errorStyle="warning" operator="greaterThanOrEqual" allowBlank="1" showInputMessage="1" showErrorMessage="1" errorTitle="test" error="test" sqref="G83" xr:uid="{00000000-0002-0000-0100-000009000000}"/>
    <dataValidation type="list" allowBlank="1" showInputMessage="1" showErrorMessage="1" sqref="G25" xr:uid="{00000000-0002-0000-0100-00000A000000}">
      <formula1>"5%, 10%, 15%, 20%, 25%, 30%, 35%, 40%, 45%, 50%"</formula1>
    </dataValidation>
    <dataValidation type="list" allowBlank="1" showInputMessage="1" showErrorMessage="1" sqref="G20" xr:uid="{00000000-0002-0000-0100-00000B000000}">
      <formula1>"Simple, Intermediate, Complex"</formula1>
    </dataValidation>
    <dataValidation type="list" allowBlank="1" showInputMessage="1" showErrorMessage="1" sqref="Q56" xr:uid="{00000000-0002-0000-0100-00000C000000}">
      <formula1>"ITC, Cash Grant"</formula1>
    </dataValidation>
    <dataValidation type="list" allowBlank="1" showInputMessage="1" showErrorMessage="1" sqref="G14 G9" xr:uid="{00000000-0002-0000-0100-00000D000000}">
      <formula1>"Annual, Year-by-Year"</formula1>
    </dataValidation>
    <dataValidation type="list" allowBlank="1" showInputMessage="1" showErrorMessage="1" sqref="Q51" xr:uid="{00000000-0002-0000-0100-00000E000000}">
      <formula1>"Operations, Salvage"</formula1>
    </dataValidation>
    <dataValidation type="list" allowBlank="1" showInputMessage="1" showErrorMessage="1" sqref="Q17" xr:uid="{00000000-0002-0000-0100-00000F000000}">
      <formula1>"Simple, Intermediate"</formula1>
    </dataValidation>
    <dataValidation type="list" allowBlank="1" showInputMessage="1" showErrorMessage="1" sqref="Q11" xr:uid="{00000000-0002-0000-0100-000010000000}">
      <formula1>"Year One, Year-by-Year"</formula1>
    </dataValidation>
  </dataValidations>
  <hyperlinks>
    <hyperlink ref="E69" location="complex_plant" display="complex_plant" xr:uid="{00000000-0004-0000-0100-000000000000}"/>
    <hyperlink ref="O14" location="'Complex Inputs'!A126" display="'Complex Inputs'!A126" xr:uid="{00000000-0004-0000-0100-000001000000}"/>
    <hyperlink ref="E46" location="complex_wellfield" display="complex_wellfield" xr:uid="{00000000-0004-0000-0100-000002000000}"/>
    <hyperlink ref="E11" location="production_degradation_input" display="production_degradation_input" xr:uid="{00000000-0004-0000-0100-000003000000}"/>
    <hyperlink ref="E16" location="Thermal_Resource_Degradation_Input" display="Thermal_Resource_Degradation_Input" xr:uid="{00000000-0004-0000-0100-000004000000}"/>
    <hyperlink ref="O97" location="depreciation_allocation" display="depreciation_allocation" xr:uid="{00000000-0004-0000-0100-000005000000}"/>
  </hyperlink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O66"/>
  <sheetViews>
    <sheetView showGridLines="0" zoomScale="70" zoomScaleNormal="70" workbookViewId="0">
      <pane xSplit="4" ySplit="5" topLeftCell="E6" activePane="bottomRight" state="frozen"/>
      <selection pane="topRight" activeCell="E1" sqref="E1"/>
      <selection pane="bottomLeft" activeCell="A6" sqref="A6"/>
      <selection pane="bottomRight" activeCell="G11" sqref="G11"/>
    </sheetView>
  </sheetViews>
  <sheetFormatPr baseColWidth="10" defaultColWidth="8.83203125" defaultRowHeight="14"/>
  <cols>
    <col min="1" max="1" width="2.5" style="136" customWidth="1"/>
    <col min="2" max="2" width="57.5" style="136" customWidth="1"/>
    <col min="3" max="3" width="8.5" style="136" bestFit="1" customWidth="1"/>
    <col min="4" max="4" width="22.6640625" style="136" bestFit="1" customWidth="1"/>
    <col min="5" max="5" width="3.83203125" style="136" customWidth="1"/>
    <col min="6" max="15" width="26.33203125" style="136" bestFit="1" customWidth="1"/>
    <col min="16" max="243" width="9.1640625" style="136"/>
    <col min="244" max="244" width="21.5" style="136" customWidth="1"/>
    <col min="245" max="245" width="16.5" style="136" customWidth="1"/>
    <col min="246" max="246" width="18" style="136" customWidth="1"/>
    <col min="247" max="247" width="23.6640625" style="136" customWidth="1"/>
    <col min="248" max="248" width="26" style="136" customWidth="1"/>
    <col min="249" max="249" width="21.5" style="136" customWidth="1"/>
    <col min="250" max="250" width="20.83203125" style="136" customWidth="1"/>
    <col min="251" max="251" width="0" style="136" hidden="1" customWidth="1"/>
    <col min="252" max="499" width="9.1640625" style="136"/>
    <col min="500" max="500" width="21.5" style="136" customWidth="1"/>
    <col min="501" max="501" width="16.5" style="136" customWidth="1"/>
    <col min="502" max="502" width="18" style="136" customWidth="1"/>
    <col min="503" max="503" width="23.6640625" style="136" customWidth="1"/>
    <col min="504" max="504" width="26" style="136" customWidth="1"/>
    <col min="505" max="505" width="21.5" style="136" customWidth="1"/>
    <col min="506" max="506" width="20.83203125" style="136" customWidth="1"/>
    <col min="507" max="507" width="0" style="136" hidden="1" customWidth="1"/>
    <col min="508" max="755" width="9.1640625" style="136"/>
    <col min="756" max="756" width="21.5" style="136" customWidth="1"/>
    <col min="757" max="757" width="16.5" style="136" customWidth="1"/>
    <col min="758" max="758" width="18" style="136" customWidth="1"/>
    <col min="759" max="759" width="23.6640625" style="136" customWidth="1"/>
    <col min="760" max="760" width="26" style="136" customWidth="1"/>
    <col min="761" max="761" width="21.5" style="136" customWidth="1"/>
    <col min="762" max="762" width="20.83203125" style="136" customWidth="1"/>
    <col min="763" max="763" width="0" style="136" hidden="1" customWidth="1"/>
    <col min="764" max="1011" width="9.1640625" style="136"/>
    <col min="1012" max="1012" width="21.5" style="136" customWidth="1"/>
    <col min="1013" max="1013" width="16.5" style="136" customWidth="1"/>
    <col min="1014" max="1014" width="18" style="136" customWidth="1"/>
    <col min="1015" max="1015" width="23.6640625" style="136" customWidth="1"/>
    <col min="1016" max="1016" width="26" style="136" customWidth="1"/>
    <col min="1017" max="1017" width="21.5" style="136" customWidth="1"/>
    <col min="1018" max="1018" width="20.83203125" style="136" customWidth="1"/>
    <col min="1019" max="1019" width="0" style="136" hidden="1" customWidth="1"/>
    <col min="1020" max="1267" width="9.1640625" style="136"/>
    <col min="1268" max="1268" width="21.5" style="136" customWidth="1"/>
    <col min="1269" max="1269" width="16.5" style="136" customWidth="1"/>
    <col min="1270" max="1270" width="18" style="136" customWidth="1"/>
    <col min="1271" max="1271" width="23.6640625" style="136" customWidth="1"/>
    <col min="1272" max="1272" width="26" style="136" customWidth="1"/>
    <col min="1273" max="1273" width="21.5" style="136" customWidth="1"/>
    <col min="1274" max="1274" width="20.83203125" style="136" customWidth="1"/>
    <col min="1275" max="1275" width="0" style="136" hidden="1" customWidth="1"/>
    <col min="1276" max="1523" width="9.1640625" style="136"/>
    <col min="1524" max="1524" width="21.5" style="136" customWidth="1"/>
    <col min="1525" max="1525" width="16.5" style="136" customWidth="1"/>
    <col min="1526" max="1526" width="18" style="136" customWidth="1"/>
    <col min="1527" max="1527" width="23.6640625" style="136" customWidth="1"/>
    <col min="1528" max="1528" width="26" style="136" customWidth="1"/>
    <col min="1529" max="1529" width="21.5" style="136" customWidth="1"/>
    <col min="1530" max="1530" width="20.83203125" style="136" customWidth="1"/>
    <col min="1531" max="1531" width="0" style="136" hidden="1" customWidth="1"/>
    <col min="1532" max="1779" width="9.1640625" style="136"/>
    <col min="1780" max="1780" width="21.5" style="136" customWidth="1"/>
    <col min="1781" max="1781" width="16.5" style="136" customWidth="1"/>
    <col min="1782" max="1782" width="18" style="136" customWidth="1"/>
    <col min="1783" max="1783" width="23.6640625" style="136" customWidth="1"/>
    <col min="1784" max="1784" width="26" style="136" customWidth="1"/>
    <col min="1785" max="1785" width="21.5" style="136" customWidth="1"/>
    <col min="1786" max="1786" width="20.83203125" style="136" customWidth="1"/>
    <col min="1787" max="1787" width="0" style="136" hidden="1" customWidth="1"/>
    <col min="1788" max="2035" width="9.1640625" style="136"/>
    <col min="2036" max="2036" width="21.5" style="136" customWidth="1"/>
    <col min="2037" max="2037" width="16.5" style="136" customWidth="1"/>
    <col min="2038" max="2038" width="18" style="136" customWidth="1"/>
    <col min="2039" max="2039" width="23.6640625" style="136" customWidth="1"/>
    <col min="2040" max="2040" width="26" style="136" customWidth="1"/>
    <col min="2041" max="2041" width="21.5" style="136" customWidth="1"/>
    <col min="2042" max="2042" width="20.83203125" style="136" customWidth="1"/>
    <col min="2043" max="2043" width="0" style="136" hidden="1" customWidth="1"/>
    <col min="2044" max="2291" width="9.1640625" style="136"/>
    <col min="2292" max="2292" width="21.5" style="136" customWidth="1"/>
    <col min="2293" max="2293" width="16.5" style="136" customWidth="1"/>
    <col min="2294" max="2294" width="18" style="136" customWidth="1"/>
    <col min="2295" max="2295" width="23.6640625" style="136" customWidth="1"/>
    <col min="2296" max="2296" width="26" style="136" customWidth="1"/>
    <col min="2297" max="2297" width="21.5" style="136" customWidth="1"/>
    <col min="2298" max="2298" width="20.83203125" style="136" customWidth="1"/>
    <col min="2299" max="2299" width="0" style="136" hidden="1" customWidth="1"/>
    <col min="2300" max="2547" width="9.1640625" style="136"/>
    <col min="2548" max="2548" width="21.5" style="136" customWidth="1"/>
    <col min="2549" max="2549" width="16.5" style="136" customWidth="1"/>
    <col min="2550" max="2550" width="18" style="136" customWidth="1"/>
    <col min="2551" max="2551" width="23.6640625" style="136" customWidth="1"/>
    <col min="2552" max="2552" width="26" style="136" customWidth="1"/>
    <col min="2553" max="2553" width="21.5" style="136" customWidth="1"/>
    <col min="2554" max="2554" width="20.83203125" style="136" customWidth="1"/>
    <col min="2555" max="2555" width="0" style="136" hidden="1" customWidth="1"/>
    <col min="2556" max="2803" width="9.1640625" style="136"/>
    <col min="2804" max="2804" width="21.5" style="136" customWidth="1"/>
    <col min="2805" max="2805" width="16.5" style="136" customWidth="1"/>
    <col min="2806" max="2806" width="18" style="136" customWidth="1"/>
    <col min="2807" max="2807" width="23.6640625" style="136" customWidth="1"/>
    <col min="2808" max="2808" width="26" style="136" customWidth="1"/>
    <col min="2809" max="2809" width="21.5" style="136" customWidth="1"/>
    <col min="2810" max="2810" width="20.83203125" style="136" customWidth="1"/>
    <col min="2811" max="2811" width="0" style="136" hidden="1" customWidth="1"/>
    <col min="2812" max="3059" width="9.1640625" style="136"/>
    <col min="3060" max="3060" width="21.5" style="136" customWidth="1"/>
    <col min="3061" max="3061" width="16.5" style="136" customWidth="1"/>
    <col min="3062" max="3062" width="18" style="136" customWidth="1"/>
    <col min="3063" max="3063" width="23.6640625" style="136" customWidth="1"/>
    <col min="3064" max="3064" width="26" style="136" customWidth="1"/>
    <col min="3065" max="3065" width="21.5" style="136" customWidth="1"/>
    <col min="3066" max="3066" width="20.83203125" style="136" customWidth="1"/>
    <col min="3067" max="3067" width="0" style="136" hidden="1" customWidth="1"/>
    <col min="3068" max="3315" width="9.1640625" style="136"/>
    <col min="3316" max="3316" width="21.5" style="136" customWidth="1"/>
    <col min="3317" max="3317" width="16.5" style="136" customWidth="1"/>
    <col min="3318" max="3318" width="18" style="136" customWidth="1"/>
    <col min="3319" max="3319" width="23.6640625" style="136" customWidth="1"/>
    <col min="3320" max="3320" width="26" style="136" customWidth="1"/>
    <col min="3321" max="3321" width="21.5" style="136" customWidth="1"/>
    <col min="3322" max="3322" width="20.83203125" style="136" customWidth="1"/>
    <col min="3323" max="3323" width="0" style="136" hidden="1" customWidth="1"/>
    <col min="3324" max="3571" width="9.1640625" style="136"/>
    <col min="3572" max="3572" width="21.5" style="136" customWidth="1"/>
    <col min="3573" max="3573" width="16.5" style="136" customWidth="1"/>
    <col min="3574" max="3574" width="18" style="136" customWidth="1"/>
    <col min="3575" max="3575" width="23.6640625" style="136" customWidth="1"/>
    <col min="3576" max="3576" width="26" style="136" customWidth="1"/>
    <col min="3577" max="3577" width="21.5" style="136" customWidth="1"/>
    <col min="3578" max="3578" width="20.83203125" style="136" customWidth="1"/>
    <col min="3579" max="3579" width="0" style="136" hidden="1" customWidth="1"/>
    <col min="3580" max="3827" width="9.1640625" style="136"/>
    <col min="3828" max="3828" width="21.5" style="136" customWidth="1"/>
    <col min="3829" max="3829" width="16.5" style="136" customWidth="1"/>
    <col min="3830" max="3830" width="18" style="136" customWidth="1"/>
    <col min="3831" max="3831" width="23.6640625" style="136" customWidth="1"/>
    <col min="3832" max="3832" width="26" style="136" customWidth="1"/>
    <col min="3833" max="3833" width="21.5" style="136" customWidth="1"/>
    <col min="3834" max="3834" width="20.83203125" style="136" customWidth="1"/>
    <col min="3835" max="3835" width="0" style="136" hidden="1" customWidth="1"/>
    <col min="3836" max="4083" width="9.1640625" style="136"/>
    <col min="4084" max="4084" width="21.5" style="136" customWidth="1"/>
    <col min="4085" max="4085" width="16.5" style="136" customWidth="1"/>
    <col min="4086" max="4086" width="18" style="136" customWidth="1"/>
    <col min="4087" max="4087" width="23.6640625" style="136" customWidth="1"/>
    <col min="4088" max="4088" width="26" style="136" customWidth="1"/>
    <col min="4089" max="4089" width="21.5" style="136" customWidth="1"/>
    <col min="4090" max="4090" width="20.83203125" style="136" customWidth="1"/>
    <col min="4091" max="4091" width="0" style="136" hidden="1" customWidth="1"/>
    <col min="4092" max="4339" width="9.1640625" style="136"/>
    <col min="4340" max="4340" width="21.5" style="136" customWidth="1"/>
    <col min="4341" max="4341" width="16.5" style="136" customWidth="1"/>
    <col min="4342" max="4342" width="18" style="136" customWidth="1"/>
    <col min="4343" max="4343" width="23.6640625" style="136" customWidth="1"/>
    <col min="4344" max="4344" width="26" style="136" customWidth="1"/>
    <col min="4345" max="4345" width="21.5" style="136" customWidth="1"/>
    <col min="4346" max="4346" width="20.83203125" style="136" customWidth="1"/>
    <col min="4347" max="4347" width="0" style="136" hidden="1" customWidth="1"/>
    <col min="4348" max="4595" width="9.1640625" style="136"/>
    <col min="4596" max="4596" width="21.5" style="136" customWidth="1"/>
    <col min="4597" max="4597" width="16.5" style="136" customWidth="1"/>
    <col min="4598" max="4598" width="18" style="136" customWidth="1"/>
    <col min="4599" max="4599" width="23.6640625" style="136" customWidth="1"/>
    <col min="4600" max="4600" width="26" style="136" customWidth="1"/>
    <col min="4601" max="4601" width="21.5" style="136" customWidth="1"/>
    <col min="4602" max="4602" width="20.83203125" style="136" customWidth="1"/>
    <col min="4603" max="4603" width="0" style="136" hidden="1" customWidth="1"/>
    <col min="4604" max="4851" width="9.1640625" style="136"/>
    <col min="4852" max="4852" width="21.5" style="136" customWidth="1"/>
    <col min="4853" max="4853" width="16.5" style="136" customWidth="1"/>
    <col min="4854" max="4854" width="18" style="136" customWidth="1"/>
    <col min="4855" max="4855" width="23.6640625" style="136" customWidth="1"/>
    <col min="4856" max="4856" width="26" style="136" customWidth="1"/>
    <col min="4857" max="4857" width="21.5" style="136" customWidth="1"/>
    <col min="4858" max="4858" width="20.83203125" style="136" customWidth="1"/>
    <col min="4859" max="4859" width="0" style="136" hidden="1" customWidth="1"/>
    <col min="4860" max="5107" width="9.1640625" style="136"/>
    <col min="5108" max="5108" width="21.5" style="136" customWidth="1"/>
    <col min="5109" max="5109" width="16.5" style="136" customWidth="1"/>
    <col min="5110" max="5110" width="18" style="136" customWidth="1"/>
    <col min="5111" max="5111" width="23.6640625" style="136" customWidth="1"/>
    <col min="5112" max="5112" width="26" style="136" customWidth="1"/>
    <col min="5113" max="5113" width="21.5" style="136" customWidth="1"/>
    <col min="5114" max="5114" width="20.83203125" style="136" customWidth="1"/>
    <col min="5115" max="5115" width="0" style="136" hidden="1" customWidth="1"/>
    <col min="5116" max="5363" width="9.1640625" style="136"/>
    <col min="5364" max="5364" width="21.5" style="136" customWidth="1"/>
    <col min="5365" max="5365" width="16.5" style="136" customWidth="1"/>
    <col min="5366" max="5366" width="18" style="136" customWidth="1"/>
    <col min="5367" max="5367" width="23.6640625" style="136" customWidth="1"/>
    <col min="5368" max="5368" width="26" style="136" customWidth="1"/>
    <col min="5369" max="5369" width="21.5" style="136" customWidth="1"/>
    <col min="5370" max="5370" width="20.83203125" style="136" customWidth="1"/>
    <col min="5371" max="5371" width="0" style="136" hidden="1" customWidth="1"/>
    <col min="5372" max="5619" width="9.1640625" style="136"/>
    <col min="5620" max="5620" width="21.5" style="136" customWidth="1"/>
    <col min="5621" max="5621" width="16.5" style="136" customWidth="1"/>
    <col min="5622" max="5622" width="18" style="136" customWidth="1"/>
    <col min="5623" max="5623" width="23.6640625" style="136" customWidth="1"/>
    <col min="5624" max="5624" width="26" style="136" customWidth="1"/>
    <col min="5625" max="5625" width="21.5" style="136" customWidth="1"/>
    <col min="5626" max="5626" width="20.83203125" style="136" customWidth="1"/>
    <col min="5627" max="5627" width="0" style="136" hidden="1" customWidth="1"/>
    <col min="5628" max="5875" width="9.1640625" style="136"/>
    <col min="5876" max="5876" width="21.5" style="136" customWidth="1"/>
    <col min="5877" max="5877" width="16.5" style="136" customWidth="1"/>
    <col min="5878" max="5878" width="18" style="136" customWidth="1"/>
    <col min="5879" max="5879" width="23.6640625" style="136" customWidth="1"/>
    <col min="5880" max="5880" width="26" style="136" customWidth="1"/>
    <col min="5881" max="5881" width="21.5" style="136" customWidth="1"/>
    <col min="5882" max="5882" width="20.83203125" style="136" customWidth="1"/>
    <col min="5883" max="5883" width="0" style="136" hidden="1" customWidth="1"/>
    <col min="5884" max="6131" width="9.1640625" style="136"/>
    <col min="6132" max="6132" width="21.5" style="136" customWidth="1"/>
    <col min="6133" max="6133" width="16.5" style="136" customWidth="1"/>
    <col min="6134" max="6134" width="18" style="136" customWidth="1"/>
    <col min="6135" max="6135" width="23.6640625" style="136" customWidth="1"/>
    <col min="6136" max="6136" width="26" style="136" customWidth="1"/>
    <col min="6137" max="6137" width="21.5" style="136" customWidth="1"/>
    <col min="6138" max="6138" width="20.83203125" style="136" customWidth="1"/>
    <col min="6139" max="6139" width="0" style="136" hidden="1" customWidth="1"/>
    <col min="6140" max="6387" width="9.1640625" style="136"/>
    <col min="6388" max="6388" width="21.5" style="136" customWidth="1"/>
    <col min="6389" max="6389" width="16.5" style="136" customWidth="1"/>
    <col min="6390" max="6390" width="18" style="136" customWidth="1"/>
    <col min="6391" max="6391" width="23.6640625" style="136" customWidth="1"/>
    <col min="6392" max="6392" width="26" style="136" customWidth="1"/>
    <col min="6393" max="6393" width="21.5" style="136" customWidth="1"/>
    <col min="6394" max="6394" width="20.83203125" style="136" customWidth="1"/>
    <col min="6395" max="6395" width="0" style="136" hidden="1" customWidth="1"/>
    <col min="6396" max="6643" width="9.1640625" style="136"/>
    <col min="6644" max="6644" width="21.5" style="136" customWidth="1"/>
    <col min="6645" max="6645" width="16.5" style="136" customWidth="1"/>
    <col min="6646" max="6646" width="18" style="136" customWidth="1"/>
    <col min="6647" max="6647" width="23.6640625" style="136" customWidth="1"/>
    <col min="6648" max="6648" width="26" style="136" customWidth="1"/>
    <col min="6649" max="6649" width="21.5" style="136" customWidth="1"/>
    <col min="6650" max="6650" width="20.83203125" style="136" customWidth="1"/>
    <col min="6651" max="6651" width="0" style="136" hidden="1" customWidth="1"/>
    <col min="6652" max="6899" width="9.1640625" style="136"/>
    <col min="6900" max="6900" width="21.5" style="136" customWidth="1"/>
    <col min="6901" max="6901" width="16.5" style="136" customWidth="1"/>
    <col min="6902" max="6902" width="18" style="136" customWidth="1"/>
    <col min="6903" max="6903" width="23.6640625" style="136" customWidth="1"/>
    <col min="6904" max="6904" width="26" style="136" customWidth="1"/>
    <col min="6905" max="6905" width="21.5" style="136" customWidth="1"/>
    <col min="6906" max="6906" width="20.83203125" style="136" customWidth="1"/>
    <col min="6907" max="6907" width="0" style="136" hidden="1" customWidth="1"/>
    <col min="6908" max="7155" width="9.1640625" style="136"/>
    <col min="7156" max="7156" width="21.5" style="136" customWidth="1"/>
    <col min="7157" max="7157" width="16.5" style="136" customWidth="1"/>
    <col min="7158" max="7158" width="18" style="136" customWidth="1"/>
    <col min="7159" max="7159" width="23.6640625" style="136" customWidth="1"/>
    <col min="7160" max="7160" width="26" style="136" customWidth="1"/>
    <col min="7161" max="7161" width="21.5" style="136" customWidth="1"/>
    <col min="7162" max="7162" width="20.83203125" style="136" customWidth="1"/>
    <col min="7163" max="7163" width="0" style="136" hidden="1" customWidth="1"/>
    <col min="7164" max="7411" width="9.1640625" style="136"/>
    <col min="7412" max="7412" width="21.5" style="136" customWidth="1"/>
    <col min="7413" max="7413" width="16.5" style="136" customWidth="1"/>
    <col min="7414" max="7414" width="18" style="136" customWidth="1"/>
    <col min="7415" max="7415" width="23.6640625" style="136" customWidth="1"/>
    <col min="7416" max="7416" width="26" style="136" customWidth="1"/>
    <col min="7417" max="7417" width="21.5" style="136" customWidth="1"/>
    <col min="7418" max="7418" width="20.83203125" style="136" customWidth="1"/>
    <col min="7419" max="7419" width="0" style="136" hidden="1" customWidth="1"/>
    <col min="7420" max="7667" width="9.1640625" style="136"/>
    <col min="7668" max="7668" width="21.5" style="136" customWidth="1"/>
    <col min="7669" max="7669" width="16.5" style="136" customWidth="1"/>
    <col min="7670" max="7670" width="18" style="136" customWidth="1"/>
    <col min="7671" max="7671" width="23.6640625" style="136" customWidth="1"/>
    <col min="7672" max="7672" width="26" style="136" customWidth="1"/>
    <col min="7673" max="7673" width="21.5" style="136" customWidth="1"/>
    <col min="7674" max="7674" width="20.83203125" style="136" customWidth="1"/>
    <col min="7675" max="7675" width="0" style="136" hidden="1" customWidth="1"/>
    <col min="7676" max="7923" width="9.1640625" style="136"/>
    <col min="7924" max="7924" width="21.5" style="136" customWidth="1"/>
    <col min="7925" max="7925" width="16.5" style="136" customWidth="1"/>
    <col min="7926" max="7926" width="18" style="136" customWidth="1"/>
    <col min="7927" max="7927" width="23.6640625" style="136" customWidth="1"/>
    <col min="7928" max="7928" width="26" style="136" customWidth="1"/>
    <col min="7929" max="7929" width="21.5" style="136" customWidth="1"/>
    <col min="7930" max="7930" width="20.83203125" style="136" customWidth="1"/>
    <col min="7931" max="7931" width="0" style="136" hidden="1" customWidth="1"/>
    <col min="7932" max="8179" width="9.1640625" style="136"/>
    <col min="8180" max="8180" width="21.5" style="136" customWidth="1"/>
    <col min="8181" max="8181" width="16.5" style="136" customWidth="1"/>
    <col min="8182" max="8182" width="18" style="136" customWidth="1"/>
    <col min="8183" max="8183" width="23.6640625" style="136" customWidth="1"/>
    <col min="8184" max="8184" width="26" style="136" customWidth="1"/>
    <col min="8185" max="8185" width="21.5" style="136" customWidth="1"/>
    <col min="8186" max="8186" width="20.83203125" style="136" customWidth="1"/>
    <col min="8187" max="8187" width="0" style="136" hidden="1" customWidth="1"/>
    <col min="8188" max="8435" width="9.1640625" style="136"/>
    <col min="8436" max="8436" width="21.5" style="136" customWidth="1"/>
    <col min="8437" max="8437" width="16.5" style="136" customWidth="1"/>
    <col min="8438" max="8438" width="18" style="136" customWidth="1"/>
    <col min="8439" max="8439" width="23.6640625" style="136" customWidth="1"/>
    <col min="8440" max="8440" width="26" style="136" customWidth="1"/>
    <col min="8441" max="8441" width="21.5" style="136" customWidth="1"/>
    <col min="8442" max="8442" width="20.83203125" style="136" customWidth="1"/>
    <col min="8443" max="8443" width="0" style="136" hidden="1" customWidth="1"/>
    <col min="8444" max="8691" width="9.1640625" style="136"/>
    <col min="8692" max="8692" width="21.5" style="136" customWidth="1"/>
    <col min="8693" max="8693" width="16.5" style="136" customWidth="1"/>
    <col min="8694" max="8694" width="18" style="136" customWidth="1"/>
    <col min="8695" max="8695" width="23.6640625" style="136" customWidth="1"/>
    <col min="8696" max="8696" width="26" style="136" customWidth="1"/>
    <col min="8697" max="8697" width="21.5" style="136" customWidth="1"/>
    <col min="8698" max="8698" width="20.83203125" style="136" customWidth="1"/>
    <col min="8699" max="8699" width="0" style="136" hidden="1" customWidth="1"/>
    <col min="8700" max="8947" width="9.1640625" style="136"/>
    <col min="8948" max="8948" width="21.5" style="136" customWidth="1"/>
    <col min="8949" max="8949" width="16.5" style="136" customWidth="1"/>
    <col min="8950" max="8950" width="18" style="136" customWidth="1"/>
    <col min="8951" max="8951" width="23.6640625" style="136" customWidth="1"/>
    <col min="8952" max="8952" width="26" style="136" customWidth="1"/>
    <col min="8953" max="8953" width="21.5" style="136" customWidth="1"/>
    <col min="8954" max="8954" width="20.83203125" style="136" customWidth="1"/>
    <col min="8955" max="8955" width="0" style="136" hidden="1" customWidth="1"/>
    <col min="8956" max="9203" width="9.1640625" style="136"/>
    <col min="9204" max="9204" width="21.5" style="136" customWidth="1"/>
    <col min="9205" max="9205" width="16.5" style="136" customWidth="1"/>
    <col min="9206" max="9206" width="18" style="136" customWidth="1"/>
    <col min="9207" max="9207" width="23.6640625" style="136" customWidth="1"/>
    <col min="9208" max="9208" width="26" style="136" customWidth="1"/>
    <col min="9209" max="9209" width="21.5" style="136" customWidth="1"/>
    <col min="9210" max="9210" width="20.83203125" style="136" customWidth="1"/>
    <col min="9211" max="9211" width="0" style="136" hidden="1" customWidth="1"/>
    <col min="9212" max="9459" width="9.1640625" style="136"/>
    <col min="9460" max="9460" width="21.5" style="136" customWidth="1"/>
    <col min="9461" max="9461" width="16.5" style="136" customWidth="1"/>
    <col min="9462" max="9462" width="18" style="136" customWidth="1"/>
    <col min="9463" max="9463" width="23.6640625" style="136" customWidth="1"/>
    <col min="9464" max="9464" width="26" style="136" customWidth="1"/>
    <col min="9465" max="9465" width="21.5" style="136" customWidth="1"/>
    <col min="9466" max="9466" width="20.83203125" style="136" customWidth="1"/>
    <col min="9467" max="9467" width="0" style="136" hidden="1" customWidth="1"/>
    <col min="9468" max="9715" width="9.1640625" style="136"/>
    <col min="9716" max="9716" width="21.5" style="136" customWidth="1"/>
    <col min="9717" max="9717" width="16.5" style="136" customWidth="1"/>
    <col min="9718" max="9718" width="18" style="136" customWidth="1"/>
    <col min="9719" max="9719" width="23.6640625" style="136" customWidth="1"/>
    <col min="9720" max="9720" width="26" style="136" customWidth="1"/>
    <col min="9721" max="9721" width="21.5" style="136" customWidth="1"/>
    <col min="9722" max="9722" width="20.83203125" style="136" customWidth="1"/>
    <col min="9723" max="9723" width="0" style="136" hidden="1" customWidth="1"/>
    <col min="9724" max="9971" width="9.1640625" style="136"/>
    <col min="9972" max="9972" width="21.5" style="136" customWidth="1"/>
    <col min="9973" max="9973" width="16.5" style="136" customWidth="1"/>
    <col min="9974" max="9974" width="18" style="136" customWidth="1"/>
    <col min="9975" max="9975" width="23.6640625" style="136" customWidth="1"/>
    <col min="9976" max="9976" width="26" style="136" customWidth="1"/>
    <col min="9977" max="9977" width="21.5" style="136" customWidth="1"/>
    <col min="9978" max="9978" width="20.83203125" style="136" customWidth="1"/>
    <col min="9979" max="9979" width="0" style="136" hidden="1" customWidth="1"/>
    <col min="9980" max="10227" width="9.1640625" style="136"/>
    <col min="10228" max="10228" width="21.5" style="136" customWidth="1"/>
    <col min="10229" max="10229" width="16.5" style="136" customWidth="1"/>
    <col min="10230" max="10230" width="18" style="136" customWidth="1"/>
    <col min="10231" max="10231" width="23.6640625" style="136" customWidth="1"/>
    <col min="10232" max="10232" width="26" style="136" customWidth="1"/>
    <col min="10233" max="10233" width="21.5" style="136" customWidth="1"/>
    <col min="10234" max="10234" width="20.83203125" style="136" customWidth="1"/>
    <col min="10235" max="10235" width="0" style="136" hidden="1" customWidth="1"/>
    <col min="10236" max="10483" width="9.1640625" style="136"/>
    <col min="10484" max="10484" width="21.5" style="136" customWidth="1"/>
    <col min="10485" max="10485" width="16.5" style="136" customWidth="1"/>
    <col min="10486" max="10486" width="18" style="136" customWidth="1"/>
    <col min="10487" max="10487" width="23.6640625" style="136" customWidth="1"/>
    <col min="10488" max="10488" width="26" style="136" customWidth="1"/>
    <col min="10489" max="10489" width="21.5" style="136" customWidth="1"/>
    <col min="10490" max="10490" width="20.83203125" style="136" customWidth="1"/>
    <col min="10491" max="10491" width="0" style="136" hidden="1" customWidth="1"/>
    <col min="10492" max="10739" width="9.1640625" style="136"/>
    <col min="10740" max="10740" width="21.5" style="136" customWidth="1"/>
    <col min="10741" max="10741" width="16.5" style="136" customWidth="1"/>
    <col min="10742" max="10742" width="18" style="136" customWidth="1"/>
    <col min="10743" max="10743" width="23.6640625" style="136" customWidth="1"/>
    <col min="10744" max="10744" width="26" style="136" customWidth="1"/>
    <col min="10745" max="10745" width="21.5" style="136" customWidth="1"/>
    <col min="10746" max="10746" width="20.83203125" style="136" customWidth="1"/>
    <col min="10747" max="10747" width="0" style="136" hidden="1" customWidth="1"/>
    <col min="10748" max="10995" width="9.1640625" style="136"/>
    <col min="10996" max="10996" width="21.5" style="136" customWidth="1"/>
    <col min="10997" max="10997" width="16.5" style="136" customWidth="1"/>
    <col min="10998" max="10998" width="18" style="136" customWidth="1"/>
    <col min="10999" max="10999" width="23.6640625" style="136" customWidth="1"/>
    <col min="11000" max="11000" width="26" style="136" customWidth="1"/>
    <col min="11001" max="11001" width="21.5" style="136" customWidth="1"/>
    <col min="11002" max="11002" width="20.83203125" style="136" customWidth="1"/>
    <col min="11003" max="11003" width="0" style="136" hidden="1" customWidth="1"/>
    <col min="11004" max="11251" width="9.1640625" style="136"/>
    <col min="11252" max="11252" width="21.5" style="136" customWidth="1"/>
    <col min="11253" max="11253" width="16.5" style="136" customWidth="1"/>
    <col min="11254" max="11254" width="18" style="136" customWidth="1"/>
    <col min="11255" max="11255" width="23.6640625" style="136" customWidth="1"/>
    <col min="11256" max="11256" width="26" style="136" customWidth="1"/>
    <col min="11257" max="11257" width="21.5" style="136" customWidth="1"/>
    <col min="11258" max="11258" width="20.83203125" style="136" customWidth="1"/>
    <col min="11259" max="11259" width="0" style="136" hidden="1" customWidth="1"/>
    <col min="11260" max="11507" width="9.1640625" style="136"/>
    <col min="11508" max="11508" width="21.5" style="136" customWidth="1"/>
    <col min="11509" max="11509" width="16.5" style="136" customWidth="1"/>
    <col min="11510" max="11510" width="18" style="136" customWidth="1"/>
    <col min="11511" max="11511" width="23.6640625" style="136" customWidth="1"/>
    <col min="11512" max="11512" width="26" style="136" customWidth="1"/>
    <col min="11513" max="11513" width="21.5" style="136" customWidth="1"/>
    <col min="11514" max="11514" width="20.83203125" style="136" customWidth="1"/>
    <col min="11515" max="11515" width="0" style="136" hidden="1" customWidth="1"/>
    <col min="11516" max="11763" width="9.1640625" style="136"/>
    <col min="11764" max="11764" width="21.5" style="136" customWidth="1"/>
    <col min="11765" max="11765" width="16.5" style="136" customWidth="1"/>
    <col min="11766" max="11766" width="18" style="136" customWidth="1"/>
    <col min="11767" max="11767" width="23.6640625" style="136" customWidth="1"/>
    <col min="11768" max="11768" width="26" style="136" customWidth="1"/>
    <col min="11769" max="11769" width="21.5" style="136" customWidth="1"/>
    <col min="11770" max="11770" width="20.83203125" style="136" customWidth="1"/>
    <col min="11771" max="11771" width="0" style="136" hidden="1" customWidth="1"/>
    <col min="11772" max="12019" width="9.1640625" style="136"/>
    <col min="12020" max="12020" width="21.5" style="136" customWidth="1"/>
    <col min="12021" max="12021" width="16.5" style="136" customWidth="1"/>
    <col min="12022" max="12022" width="18" style="136" customWidth="1"/>
    <col min="12023" max="12023" width="23.6640625" style="136" customWidth="1"/>
    <col min="12024" max="12024" width="26" style="136" customWidth="1"/>
    <col min="12025" max="12025" width="21.5" style="136" customWidth="1"/>
    <col min="12026" max="12026" width="20.83203125" style="136" customWidth="1"/>
    <col min="12027" max="12027" width="0" style="136" hidden="1" customWidth="1"/>
    <col min="12028" max="12275" width="9.1640625" style="136"/>
    <col min="12276" max="12276" width="21.5" style="136" customWidth="1"/>
    <col min="12277" max="12277" width="16.5" style="136" customWidth="1"/>
    <col min="12278" max="12278" width="18" style="136" customWidth="1"/>
    <col min="12279" max="12279" width="23.6640625" style="136" customWidth="1"/>
    <col min="12280" max="12280" width="26" style="136" customWidth="1"/>
    <col min="12281" max="12281" width="21.5" style="136" customWidth="1"/>
    <col min="12282" max="12282" width="20.83203125" style="136" customWidth="1"/>
    <col min="12283" max="12283" width="0" style="136" hidden="1" customWidth="1"/>
    <col min="12284" max="12531" width="9.1640625" style="136"/>
    <col min="12532" max="12532" width="21.5" style="136" customWidth="1"/>
    <col min="12533" max="12533" width="16.5" style="136" customWidth="1"/>
    <col min="12534" max="12534" width="18" style="136" customWidth="1"/>
    <col min="12535" max="12535" width="23.6640625" style="136" customWidth="1"/>
    <col min="12536" max="12536" width="26" style="136" customWidth="1"/>
    <col min="12537" max="12537" width="21.5" style="136" customWidth="1"/>
    <col min="12538" max="12538" width="20.83203125" style="136" customWidth="1"/>
    <col min="12539" max="12539" width="0" style="136" hidden="1" customWidth="1"/>
    <col min="12540" max="12787" width="9.1640625" style="136"/>
    <col min="12788" max="12788" width="21.5" style="136" customWidth="1"/>
    <col min="12789" max="12789" width="16.5" style="136" customWidth="1"/>
    <col min="12790" max="12790" width="18" style="136" customWidth="1"/>
    <col min="12791" max="12791" width="23.6640625" style="136" customWidth="1"/>
    <col min="12792" max="12792" width="26" style="136" customWidth="1"/>
    <col min="12793" max="12793" width="21.5" style="136" customWidth="1"/>
    <col min="12794" max="12794" width="20.83203125" style="136" customWidth="1"/>
    <col min="12795" max="12795" width="0" style="136" hidden="1" customWidth="1"/>
    <col min="12796" max="13043" width="9.1640625" style="136"/>
    <col min="13044" max="13044" width="21.5" style="136" customWidth="1"/>
    <col min="13045" max="13045" width="16.5" style="136" customWidth="1"/>
    <col min="13046" max="13046" width="18" style="136" customWidth="1"/>
    <col min="13047" max="13047" width="23.6640625" style="136" customWidth="1"/>
    <col min="13048" max="13048" width="26" style="136" customWidth="1"/>
    <col min="13049" max="13049" width="21.5" style="136" customWidth="1"/>
    <col min="13050" max="13050" width="20.83203125" style="136" customWidth="1"/>
    <col min="13051" max="13051" width="0" style="136" hidden="1" customWidth="1"/>
    <col min="13052" max="13299" width="9.1640625" style="136"/>
    <col min="13300" max="13300" width="21.5" style="136" customWidth="1"/>
    <col min="13301" max="13301" width="16.5" style="136" customWidth="1"/>
    <col min="13302" max="13302" width="18" style="136" customWidth="1"/>
    <col min="13303" max="13303" width="23.6640625" style="136" customWidth="1"/>
    <col min="13304" max="13304" width="26" style="136" customWidth="1"/>
    <col min="13305" max="13305" width="21.5" style="136" customWidth="1"/>
    <col min="13306" max="13306" width="20.83203125" style="136" customWidth="1"/>
    <col min="13307" max="13307" width="0" style="136" hidden="1" customWidth="1"/>
    <col min="13308" max="13555" width="9.1640625" style="136"/>
    <col min="13556" max="13556" width="21.5" style="136" customWidth="1"/>
    <col min="13557" max="13557" width="16.5" style="136" customWidth="1"/>
    <col min="13558" max="13558" width="18" style="136" customWidth="1"/>
    <col min="13559" max="13559" width="23.6640625" style="136" customWidth="1"/>
    <col min="13560" max="13560" width="26" style="136" customWidth="1"/>
    <col min="13561" max="13561" width="21.5" style="136" customWidth="1"/>
    <col min="13562" max="13562" width="20.83203125" style="136" customWidth="1"/>
    <col min="13563" max="13563" width="0" style="136" hidden="1" customWidth="1"/>
    <col min="13564" max="13811" width="9.1640625" style="136"/>
    <col min="13812" max="13812" width="21.5" style="136" customWidth="1"/>
    <col min="13813" max="13813" width="16.5" style="136" customWidth="1"/>
    <col min="13814" max="13814" width="18" style="136" customWidth="1"/>
    <col min="13815" max="13815" width="23.6640625" style="136" customWidth="1"/>
    <col min="13816" max="13816" width="26" style="136" customWidth="1"/>
    <col min="13817" max="13817" width="21.5" style="136" customWidth="1"/>
    <col min="13818" max="13818" width="20.83203125" style="136" customWidth="1"/>
    <col min="13819" max="13819" width="0" style="136" hidden="1" customWidth="1"/>
    <col min="13820" max="14067" width="9.1640625" style="136"/>
    <col min="14068" max="14068" width="21.5" style="136" customWidth="1"/>
    <col min="14069" max="14069" width="16.5" style="136" customWidth="1"/>
    <col min="14070" max="14070" width="18" style="136" customWidth="1"/>
    <col min="14071" max="14071" width="23.6640625" style="136" customWidth="1"/>
    <col min="14072" max="14072" width="26" style="136" customWidth="1"/>
    <col min="14073" max="14073" width="21.5" style="136" customWidth="1"/>
    <col min="14074" max="14074" width="20.83203125" style="136" customWidth="1"/>
    <col min="14075" max="14075" width="0" style="136" hidden="1" customWidth="1"/>
    <col min="14076" max="14323" width="9.1640625" style="136"/>
    <col min="14324" max="14324" width="21.5" style="136" customWidth="1"/>
    <col min="14325" max="14325" width="16.5" style="136" customWidth="1"/>
    <col min="14326" max="14326" width="18" style="136" customWidth="1"/>
    <col min="14327" max="14327" width="23.6640625" style="136" customWidth="1"/>
    <col min="14328" max="14328" width="26" style="136" customWidth="1"/>
    <col min="14329" max="14329" width="21.5" style="136" customWidth="1"/>
    <col min="14330" max="14330" width="20.83203125" style="136" customWidth="1"/>
    <col min="14331" max="14331" width="0" style="136" hidden="1" customWidth="1"/>
    <col min="14332" max="14579" width="9.1640625" style="136"/>
    <col min="14580" max="14580" width="21.5" style="136" customWidth="1"/>
    <col min="14581" max="14581" width="16.5" style="136" customWidth="1"/>
    <col min="14582" max="14582" width="18" style="136" customWidth="1"/>
    <col min="14583" max="14583" width="23.6640625" style="136" customWidth="1"/>
    <col min="14584" max="14584" width="26" style="136" customWidth="1"/>
    <col min="14585" max="14585" width="21.5" style="136" customWidth="1"/>
    <col min="14586" max="14586" width="20.83203125" style="136" customWidth="1"/>
    <col min="14587" max="14587" width="0" style="136" hidden="1" customWidth="1"/>
    <col min="14588" max="14835" width="9.1640625" style="136"/>
    <col min="14836" max="14836" width="21.5" style="136" customWidth="1"/>
    <col min="14837" max="14837" width="16.5" style="136" customWidth="1"/>
    <col min="14838" max="14838" width="18" style="136" customWidth="1"/>
    <col min="14839" max="14839" width="23.6640625" style="136" customWidth="1"/>
    <col min="14840" max="14840" width="26" style="136" customWidth="1"/>
    <col min="14841" max="14841" width="21.5" style="136" customWidth="1"/>
    <col min="14842" max="14842" width="20.83203125" style="136" customWidth="1"/>
    <col min="14843" max="14843" width="0" style="136" hidden="1" customWidth="1"/>
    <col min="14844" max="15091" width="9.1640625" style="136"/>
    <col min="15092" max="15092" width="21.5" style="136" customWidth="1"/>
    <col min="15093" max="15093" width="16.5" style="136" customWidth="1"/>
    <col min="15094" max="15094" width="18" style="136" customWidth="1"/>
    <col min="15095" max="15095" width="23.6640625" style="136" customWidth="1"/>
    <col min="15096" max="15096" width="26" style="136" customWidth="1"/>
    <col min="15097" max="15097" width="21.5" style="136" customWidth="1"/>
    <col min="15098" max="15098" width="20.83203125" style="136" customWidth="1"/>
    <col min="15099" max="15099" width="0" style="136" hidden="1" customWidth="1"/>
    <col min="15100" max="15347" width="9.1640625" style="136"/>
    <col min="15348" max="15348" width="21.5" style="136" customWidth="1"/>
    <col min="15349" max="15349" width="16.5" style="136" customWidth="1"/>
    <col min="15350" max="15350" width="18" style="136" customWidth="1"/>
    <col min="15351" max="15351" width="23.6640625" style="136" customWidth="1"/>
    <col min="15352" max="15352" width="26" style="136" customWidth="1"/>
    <col min="15353" max="15353" width="21.5" style="136" customWidth="1"/>
    <col min="15354" max="15354" width="20.83203125" style="136" customWidth="1"/>
    <col min="15355" max="15355" width="0" style="136" hidden="1" customWidth="1"/>
    <col min="15356" max="15603" width="9.1640625" style="136"/>
    <col min="15604" max="15604" width="21.5" style="136" customWidth="1"/>
    <col min="15605" max="15605" width="16.5" style="136" customWidth="1"/>
    <col min="15606" max="15606" width="18" style="136" customWidth="1"/>
    <col min="15607" max="15607" width="23.6640625" style="136" customWidth="1"/>
    <col min="15608" max="15608" width="26" style="136" customWidth="1"/>
    <col min="15609" max="15609" width="21.5" style="136" customWidth="1"/>
    <col min="15610" max="15610" width="20.83203125" style="136" customWidth="1"/>
    <col min="15611" max="15611" width="0" style="136" hidden="1" customWidth="1"/>
    <col min="15612" max="15859" width="9.1640625" style="136"/>
    <col min="15860" max="15860" width="21.5" style="136" customWidth="1"/>
    <col min="15861" max="15861" width="16.5" style="136" customWidth="1"/>
    <col min="15862" max="15862" width="18" style="136" customWidth="1"/>
    <col min="15863" max="15863" width="23.6640625" style="136" customWidth="1"/>
    <col min="15864" max="15864" width="26" style="136" customWidth="1"/>
    <col min="15865" max="15865" width="21.5" style="136" customWidth="1"/>
    <col min="15866" max="15866" width="20.83203125" style="136" customWidth="1"/>
    <col min="15867" max="15867" width="0" style="136" hidden="1" customWidth="1"/>
    <col min="15868" max="16115" width="9.1640625" style="136"/>
    <col min="16116" max="16116" width="21.5" style="136" customWidth="1"/>
    <col min="16117" max="16117" width="16.5" style="136" customWidth="1"/>
    <col min="16118" max="16118" width="18" style="136" customWidth="1"/>
    <col min="16119" max="16119" width="23.6640625" style="136" customWidth="1"/>
    <col min="16120" max="16120" width="26" style="136" customWidth="1"/>
    <col min="16121" max="16121" width="21.5" style="136" customWidth="1"/>
    <col min="16122" max="16122" width="20.83203125" style="136" customWidth="1"/>
    <col min="16123" max="16123" width="0" style="136" hidden="1" customWidth="1"/>
    <col min="16124" max="16384" width="9.1640625" style="136"/>
  </cols>
  <sheetData>
    <row r="1" spans="2:15" ht="9" customHeight="1"/>
    <row r="2" spans="2:15" ht="30" customHeight="1">
      <c r="B2" s="173" t="s">
        <v>198</v>
      </c>
      <c r="C2" s="174"/>
      <c r="D2" s="174"/>
      <c r="E2" s="174"/>
      <c r="F2" s="174"/>
      <c r="G2" s="174"/>
      <c r="H2" s="174"/>
      <c r="I2" s="174"/>
      <c r="J2" s="175"/>
    </row>
    <row r="3" spans="2:15" ht="30" customHeight="1">
      <c r="B3" s="899"/>
      <c r="C3" s="900"/>
      <c r="D3" s="900"/>
      <c r="E3" s="675"/>
      <c r="F3" s="899" t="s">
        <v>179</v>
      </c>
      <c r="G3" s="900"/>
      <c r="H3" s="900"/>
      <c r="I3" s="900"/>
      <c r="J3" s="901"/>
    </row>
    <row r="4" spans="2:15" ht="15" customHeight="1" thickBot="1">
      <c r="B4" s="292"/>
      <c r="C4" s="292"/>
      <c r="D4" s="292"/>
      <c r="E4" s="292"/>
      <c r="F4" s="292"/>
      <c r="G4" s="292"/>
      <c r="H4" s="292"/>
      <c r="I4" s="292"/>
      <c r="J4" s="292"/>
    </row>
    <row r="5" spans="2:15" ht="45" customHeight="1" thickBot="1">
      <c r="B5" s="902" t="s">
        <v>298</v>
      </c>
      <c r="C5" s="903"/>
      <c r="D5" s="904"/>
      <c r="E5" s="292"/>
      <c r="F5" s="899" t="s">
        <v>177</v>
      </c>
      <c r="G5" s="900"/>
      <c r="H5" s="900"/>
      <c r="I5" s="900"/>
      <c r="J5" s="901"/>
    </row>
    <row r="6" spans="2:15" ht="15" thickBot="1">
      <c r="B6" s="393" t="s">
        <v>47</v>
      </c>
      <c r="C6" s="394" t="s">
        <v>57</v>
      </c>
      <c r="D6" s="395" t="s">
        <v>56</v>
      </c>
      <c r="E6" s="150"/>
      <c r="F6" s="395" t="s">
        <v>178</v>
      </c>
      <c r="G6" s="395" t="s">
        <v>178</v>
      </c>
      <c r="H6" s="395" t="s">
        <v>178</v>
      </c>
      <c r="I6" s="395" t="s">
        <v>178</v>
      </c>
      <c r="J6" s="395" t="s">
        <v>178</v>
      </c>
      <c r="K6" s="395" t="s">
        <v>178</v>
      </c>
      <c r="L6" s="395" t="s">
        <v>178</v>
      </c>
      <c r="M6" s="395" t="s">
        <v>178</v>
      </c>
      <c r="N6" s="395" t="s">
        <v>178</v>
      </c>
      <c r="O6" s="395" t="s">
        <v>178</v>
      </c>
    </row>
    <row r="7" spans="2:15" s="764" customFormat="1" ht="30" customHeight="1">
      <c r="B7" s="762" t="s">
        <v>463</v>
      </c>
      <c r="C7" s="760" t="s">
        <v>48</v>
      </c>
      <c r="D7" s="761">
        <f>'Cash Flow'!G75</f>
        <v>18.550000000000008</v>
      </c>
      <c r="E7" s="763"/>
      <c r="F7" s="761"/>
      <c r="G7" s="761"/>
      <c r="H7" s="761"/>
      <c r="I7" s="761"/>
      <c r="J7" s="761"/>
      <c r="K7" s="761"/>
      <c r="L7" s="761"/>
      <c r="M7" s="761"/>
      <c r="N7" s="761"/>
      <c r="O7" s="761"/>
    </row>
    <row r="8" spans="2:15" ht="15.75" customHeight="1">
      <c r="B8" s="176" t="s">
        <v>173</v>
      </c>
      <c r="C8" s="177" t="s">
        <v>1</v>
      </c>
      <c r="D8" s="293">
        <f>Inputs!$Q$8</f>
        <v>0</v>
      </c>
      <c r="E8" s="227"/>
      <c r="F8" s="293"/>
      <c r="G8" s="293"/>
      <c r="H8" s="293"/>
      <c r="I8" s="293"/>
      <c r="J8" s="293"/>
      <c r="K8" s="293"/>
      <c r="L8" s="293"/>
      <c r="M8" s="293"/>
      <c r="N8" s="293"/>
      <c r="O8" s="293"/>
    </row>
    <row r="9" spans="2:15" ht="15.75" customHeight="1">
      <c r="B9" s="178" t="s">
        <v>94</v>
      </c>
      <c r="C9" s="179" t="s">
        <v>1</v>
      </c>
      <c r="D9" s="293">
        <f>Inputs!$Q$7</f>
        <v>0</v>
      </c>
      <c r="E9" s="227"/>
      <c r="F9" s="293"/>
      <c r="G9" s="293"/>
      <c r="H9" s="293"/>
      <c r="I9" s="293"/>
      <c r="J9" s="293"/>
      <c r="K9" s="293"/>
      <c r="L9" s="293"/>
      <c r="M9" s="293"/>
      <c r="N9" s="293"/>
      <c r="O9" s="293"/>
    </row>
    <row r="10" spans="2:15" ht="15">
      <c r="B10" s="404" t="s">
        <v>276</v>
      </c>
      <c r="C10" s="405"/>
      <c r="D10" s="400" t="str">
        <f>IF(Inputs!$G$85="Pass","Yes","No, see Inputs Worksheet")</f>
        <v>Yes</v>
      </c>
      <c r="E10" s="150"/>
      <c r="F10" s="873"/>
      <c r="G10" s="873"/>
      <c r="H10" s="873"/>
      <c r="I10" s="873"/>
      <c r="J10" s="873"/>
      <c r="K10" s="873"/>
      <c r="L10" s="873"/>
      <c r="M10" s="873"/>
      <c r="N10" s="873"/>
      <c r="O10" s="873"/>
    </row>
    <row r="11" spans="2:15" ht="15">
      <c r="B11" s="406" t="s">
        <v>277</v>
      </c>
      <c r="C11" s="407"/>
      <c r="D11" s="400" t="str">
        <f>IF(Inputs!$G$88="Pass","Yes","No, see Inputs Worksheet")</f>
        <v>Yes</v>
      </c>
      <c r="E11" s="150"/>
      <c r="F11" s="873"/>
      <c r="G11" s="873"/>
      <c r="H11" s="873"/>
      <c r="I11" s="873"/>
      <c r="J11" s="873"/>
      <c r="K11" s="873"/>
      <c r="L11" s="873"/>
      <c r="M11" s="873"/>
      <c r="N11" s="873"/>
      <c r="O11" s="873"/>
    </row>
    <row r="12" spans="2:15" ht="15.75" customHeight="1">
      <c r="B12" s="384" t="s">
        <v>289</v>
      </c>
      <c r="C12" s="382"/>
      <c r="D12" s="383"/>
      <c r="E12" s="150"/>
      <c r="F12" s="383"/>
      <c r="G12" s="383"/>
      <c r="H12" s="383"/>
      <c r="I12" s="383"/>
      <c r="J12" s="383"/>
      <c r="K12" s="383"/>
      <c r="L12" s="383"/>
      <c r="M12" s="383"/>
      <c r="N12" s="383"/>
      <c r="O12" s="383"/>
    </row>
    <row r="13" spans="2:15" ht="15.75" customHeight="1">
      <c r="B13" s="304"/>
      <c r="C13" s="177"/>
      <c r="D13" s="305"/>
      <c r="E13" s="150"/>
      <c r="F13" s="305"/>
      <c r="G13" s="305"/>
      <c r="H13" s="305"/>
      <c r="I13" s="305"/>
      <c r="J13" s="305"/>
      <c r="K13" s="305"/>
      <c r="L13" s="305"/>
      <c r="M13" s="305"/>
      <c r="N13" s="305"/>
      <c r="O13" s="305"/>
    </row>
    <row r="14" spans="2:15" s="764" customFormat="1" ht="30" customHeight="1">
      <c r="B14" s="765" t="s">
        <v>464</v>
      </c>
      <c r="C14" s="766" t="s">
        <v>48</v>
      </c>
      <c r="D14" s="767">
        <f>-PMT(Inputs!$G$90,Inputs!$Q$6,NPV(Inputs!$G$90,'Cash Flow'!G14:AJ14))</f>
        <v>18.550000000000018</v>
      </c>
      <c r="E14" s="768"/>
      <c r="F14" s="767"/>
      <c r="G14" s="767"/>
      <c r="H14" s="767"/>
      <c r="I14" s="767"/>
      <c r="J14" s="767"/>
      <c r="K14" s="767"/>
      <c r="L14" s="767"/>
      <c r="M14" s="767"/>
      <c r="N14" s="767"/>
      <c r="O14" s="767"/>
    </row>
    <row r="15" spans="2:15" s="156" customFormat="1">
      <c r="C15" s="180"/>
      <c r="D15" s="181"/>
      <c r="E15" s="155"/>
      <c r="F15" s="181"/>
      <c r="G15" s="181"/>
      <c r="H15" s="181"/>
      <c r="I15" s="181"/>
      <c r="J15" s="181"/>
      <c r="K15" s="181"/>
      <c r="L15" s="181"/>
      <c r="M15" s="181"/>
      <c r="N15" s="181"/>
      <c r="O15" s="181"/>
    </row>
    <row r="16" spans="2:15" s="156" customFormat="1" ht="15.75" customHeight="1">
      <c r="B16" s="182" t="s">
        <v>46</v>
      </c>
      <c r="C16" s="307"/>
      <c r="D16" s="306"/>
      <c r="E16" s="150"/>
      <c r="F16" s="306"/>
      <c r="G16" s="306"/>
      <c r="H16" s="306"/>
      <c r="I16" s="306"/>
      <c r="J16" s="306"/>
      <c r="K16" s="306"/>
      <c r="L16" s="306"/>
      <c r="M16" s="306"/>
      <c r="N16" s="306"/>
      <c r="O16" s="306"/>
    </row>
    <row r="17" spans="2:15">
      <c r="B17" s="176"/>
      <c r="C17" s="177"/>
      <c r="D17" s="344"/>
      <c r="E17" s="183"/>
      <c r="F17" s="344"/>
      <c r="G17" s="344"/>
      <c r="H17" s="344"/>
      <c r="I17" s="344"/>
      <c r="J17" s="344"/>
      <c r="K17" s="344"/>
      <c r="L17" s="344"/>
      <c r="M17" s="344"/>
      <c r="N17" s="344"/>
      <c r="O17" s="344"/>
    </row>
    <row r="18" spans="2:15">
      <c r="B18" s="176" t="str">
        <f>Inputs!$E$6</f>
        <v>Generator Gross Nameplate Capacity</v>
      </c>
      <c r="C18" s="177" t="str">
        <f>Inputs!F6</f>
        <v>MW</v>
      </c>
      <c r="D18" s="188">
        <f>Inputs!G6</f>
        <v>15</v>
      </c>
      <c r="E18" s="185"/>
      <c r="F18" s="188"/>
      <c r="G18" s="188"/>
      <c r="H18" s="188"/>
      <c r="I18" s="188"/>
      <c r="J18" s="188"/>
      <c r="K18" s="188"/>
      <c r="L18" s="188"/>
      <c r="M18" s="188"/>
      <c r="N18" s="188"/>
      <c r="O18" s="188"/>
    </row>
    <row r="19" spans="2:15">
      <c r="B19" s="176" t="str">
        <f>Inputs!$E$7</f>
        <v>Net Capacity Factor, Yr 1</v>
      </c>
      <c r="C19" s="177" t="str">
        <f>Inputs!$F$7</f>
        <v>%</v>
      </c>
      <c r="D19" s="186">
        <f>Inputs!$G$7</f>
        <v>0.85499999999999998</v>
      </c>
      <c r="E19" s="187"/>
      <c r="F19" s="186"/>
      <c r="G19" s="186"/>
      <c r="H19" s="186"/>
      <c r="I19" s="186"/>
      <c r="J19" s="186"/>
      <c r="K19" s="186"/>
      <c r="L19" s="186"/>
      <c r="M19" s="186"/>
      <c r="N19" s="186"/>
      <c r="O19" s="186"/>
    </row>
    <row r="20" spans="2:15">
      <c r="B20" s="176" t="str">
        <f>Inputs!$E$15</f>
        <v>Annual Degradation of Thermal Resource</v>
      </c>
      <c r="C20" s="177" t="str">
        <f>Inputs!F15</f>
        <v>%</v>
      </c>
      <c r="D20" s="186">
        <f>Inputs!G15</f>
        <v>0.03</v>
      </c>
      <c r="E20" s="187"/>
      <c r="F20" s="186"/>
      <c r="G20" s="186"/>
      <c r="H20" s="186"/>
      <c r="I20" s="186"/>
      <c r="J20" s="186"/>
      <c r="K20" s="186"/>
      <c r="L20" s="186"/>
      <c r="M20" s="186"/>
      <c r="N20" s="186"/>
      <c r="O20" s="186"/>
    </row>
    <row r="21" spans="2:15">
      <c r="B21" s="176" t="s">
        <v>247</v>
      </c>
      <c r="C21" s="177" t="s">
        <v>2</v>
      </c>
      <c r="D21" s="751">
        <f>Inputs!G8</f>
        <v>112347000</v>
      </c>
      <c r="E21" s="187"/>
      <c r="F21" s="751"/>
      <c r="G21" s="751"/>
      <c r="H21" s="751"/>
      <c r="I21" s="751"/>
      <c r="J21" s="751"/>
      <c r="K21" s="751"/>
      <c r="L21" s="751"/>
      <c r="M21" s="751"/>
      <c r="N21" s="751"/>
      <c r="O21" s="751"/>
    </row>
    <row r="22" spans="2:15">
      <c r="B22" s="176" t="str">
        <f>Inputs!E17</f>
        <v>Project Useful Life</v>
      </c>
      <c r="C22" s="177" t="str">
        <f>Inputs!F17</f>
        <v>years</v>
      </c>
      <c r="D22" s="188">
        <f>Inputs!G17</f>
        <v>25</v>
      </c>
      <c r="E22" s="183"/>
      <c r="F22" s="188"/>
      <c r="G22" s="188"/>
      <c r="H22" s="188"/>
      <c r="I22" s="188"/>
      <c r="J22" s="188"/>
      <c r="K22" s="188"/>
      <c r="L22" s="188"/>
      <c r="M22" s="188"/>
      <c r="N22" s="188"/>
      <c r="O22" s="188"/>
    </row>
    <row r="23" spans="2:15">
      <c r="B23" s="176" t="str">
        <f>Inputs!$O$6</f>
        <v>Payment Duration for Cost-Based Tariff</v>
      </c>
      <c r="C23" s="177" t="s">
        <v>4</v>
      </c>
      <c r="D23" s="188">
        <f>Inputs!$Q$6</f>
        <v>20</v>
      </c>
      <c r="E23" s="183"/>
      <c r="F23" s="188"/>
      <c r="G23" s="188"/>
      <c r="H23" s="188"/>
      <c r="I23" s="188"/>
      <c r="J23" s="188"/>
      <c r="K23" s="188"/>
      <c r="L23" s="188"/>
      <c r="M23" s="188"/>
      <c r="N23" s="188"/>
      <c r="O23" s="188"/>
    </row>
    <row r="24" spans="2:15">
      <c r="B24" s="176" t="s">
        <v>448</v>
      </c>
      <c r="C24" s="177" t="s">
        <v>1</v>
      </c>
      <c r="D24" s="752">
        <f>Inputs!Q7</f>
        <v>0</v>
      </c>
      <c r="E24" s="183"/>
      <c r="F24" s="752"/>
      <c r="G24" s="752"/>
      <c r="H24" s="752"/>
      <c r="I24" s="752"/>
      <c r="J24" s="752"/>
      <c r="K24" s="752"/>
      <c r="L24" s="752"/>
      <c r="M24" s="752"/>
      <c r="N24" s="752"/>
      <c r="O24" s="752"/>
    </row>
    <row r="25" spans="2:15">
      <c r="B25" s="176"/>
      <c r="C25" s="177"/>
      <c r="D25" s="188"/>
      <c r="E25" s="183"/>
      <c r="F25" s="188"/>
      <c r="G25" s="188"/>
      <c r="H25" s="188"/>
      <c r="I25" s="188"/>
      <c r="J25" s="188"/>
      <c r="K25" s="188"/>
      <c r="L25" s="188"/>
      <c r="M25" s="188"/>
      <c r="N25" s="188"/>
      <c r="O25" s="188"/>
    </row>
    <row r="26" spans="2:15">
      <c r="B26" s="176" t="s">
        <v>443</v>
      </c>
      <c r="C26" s="177" t="s">
        <v>0</v>
      </c>
      <c r="D26" s="189">
        <f>Inputs!G75-Inputs!G106</f>
        <v>144341778.56270039</v>
      </c>
      <c r="E26" s="190"/>
      <c r="F26" s="189"/>
      <c r="G26" s="189"/>
      <c r="H26" s="189"/>
      <c r="I26" s="189"/>
      <c r="J26" s="189"/>
      <c r="K26" s="189"/>
      <c r="L26" s="189"/>
      <c r="M26" s="189"/>
      <c r="N26" s="189"/>
      <c r="O26" s="189"/>
    </row>
    <row r="27" spans="2:15" ht="15">
      <c r="B27" s="176" t="s">
        <v>443</v>
      </c>
      <c r="C27" s="191" t="s">
        <v>323</v>
      </c>
      <c r="D27" s="189">
        <f>D26/(D18*1000)</f>
        <v>9622.7852375133589</v>
      </c>
      <c r="E27" s="192"/>
      <c r="F27" s="189"/>
      <c r="G27" s="189"/>
      <c r="H27" s="189"/>
      <c r="I27" s="189"/>
      <c r="J27" s="189"/>
      <c r="K27" s="189"/>
      <c r="L27" s="189"/>
      <c r="M27" s="189"/>
      <c r="N27" s="189"/>
      <c r="O27" s="189"/>
    </row>
    <row r="28" spans="2:15">
      <c r="B28" s="176"/>
      <c r="C28" s="177"/>
      <c r="D28" s="188"/>
      <c r="E28" s="183"/>
      <c r="F28" s="188"/>
      <c r="G28" s="188"/>
      <c r="H28" s="188"/>
      <c r="I28" s="188"/>
      <c r="J28" s="188"/>
      <c r="K28" s="188"/>
      <c r="L28" s="188"/>
      <c r="M28" s="188"/>
      <c r="N28" s="188"/>
      <c r="O28" s="188"/>
    </row>
    <row r="29" spans="2:15" ht="15">
      <c r="B29" s="176" t="s">
        <v>449</v>
      </c>
      <c r="C29" s="750" t="s">
        <v>455</v>
      </c>
      <c r="D29" s="753">
        <f>'Cash Flow'!G40</f>
        <v>-4.1851318048657289</v>
      </c>
      <c r="E29" s="183"/>
      <c r="F29" s="753"/>
      <c r="G29" s="753"/>
      <c r="H29" s="753"/>
      <c r="I29" s="753"/>
      <c r="J29" s="753"/>
      <c r="K29" s="753"/>
      <c r="L29" s="753"/>
      <c r="M29" s="753"/>
      <c r="N29" s="753"/>
      <c r="O29" s="753"/>
    </row>
    <row r="30" spans="2:15">
      <c r="B30" s="176"/>
      <c r="C30" s="177"/>
      <c r="D30" s="188"/>
      <c r="E30" s="183"/>
      <c r="F30" s="188"/>
      <c r="G30" s="188"/>
      <c r="H30" s="188"/>
      <c r="I30" s="188"/>
      <c r="J30" s="188"/>
      <c r="K30" s="188"/>
      <c r="L30" s="188"/>
      <c r="M30" s="188"/>
      <c r="N30" s="188"/>
      <c r="O30" s="188"/>
    </row>
    <row r="31" spans="2:15" ht="15">
      <c r="B31" s="176" t="str">
        <f>Inputs!$E$89</f>
        <v>% Equity (% hard costs) (soft costs also equity funded)</v>
      </c>
      <c r="C31" s="191" t="s">
        <v>1</v>
      </c>
      <c r="D31" s="193">
        <f>Inputs!$G89</f>
        <v>0.5</v>
      </c>
      <c r="E31" s="194"/>
      <c r="F31" s="193"/>
      <c r="G31" s="193"/>
      <c r="H31" s="193"/>
      <c r="I31" s="193"/>
      <c r="J31" s="193"/>
      <c r="K31" s="193"/>
      <c r="L31" s="193"/>
      <c r="M31" s="193"/>
      <c r="N31" s="193"/>
      <c r="O31" s="193"/>
    </row>
    <row r="32" spans="2:15">
      <c r="B32" s="176" t="str">
        <f>Inputs!$E$90</f>
        <v>Target After-Tax Equity IRR</v>
      </c>
      <c r="C32" s="177" t="s">
        <v>1</v>
      </c>
      <c r="D32" s="294">
        <f>Inputs!$G90</f>
        <v>0.15</v>
      </c>
      <c r="E32" s="194"/>
      <c r="F32" s="294"/>
      <c r="G32" s="294"/>
      <c r="H32" s="294"/>
      <c r="I32" s="294"/>
      <c r="J32" s="294"/>
      <c r="K32" s="294"/>
      <c r="L32" s="294"/>
      <c r="M32" s="294"/>
      <c r="N32" s="294"/>
      <c r="O32" s="294"/>
    </row>
    <row r="33" spans="2:15" ht="15">
      <c r="B33" s="176" t="str">
        <f>Inputs!$E$79</f>
        <v>% Debt (% of hard costs) (mortgage-style amort.)</v>
      </c>
      <c r="C33" s="191" t="s">
        <v>1</v>
      </c>
      <c r="D33" s="193">
        <f>Inputs!$G79</f>
        <v>0.5</v>
      </c>
      <c r="E33" s="194"/>
      <c r="F33" s="193"/>
      <c r="G33" s="193"/>
      <c r="H33" s="193"/>
      <c r="I33" s="193"/>
      <c r="J33" s="193"/>
      <c r="K33" s="193"/>
      <c r="L33" s="193"/>
      <c r="M33" s="193"/>
      <c r="N33" s="193"/>
      <c r="O33" s="193"/>
    </row>
    <row r="34" spans="2:15" ht="15">
      <c r="B34" s="176" t="s">
        <v>447</v>
      </c>
      <c r="C34" s="191" t="s">
        <v>454</v>
      </c>
      <c r="D34" s="188">
        <f>IF(Inputs!G79&gt;0,Inputs!G80,"NA")</f>
        <v>15</v>
      </c>
      <c r="E34" s="194"/>
      <c r="F34" s="188"/>
      <c r="G34" s="188"/>
      <c r="H34" s="188"/>
      <c r="I34" s="188"/>
      <c r="J34" s="188"/>
      <c r="K34" s="188"/>
      <c r="L34" s="188"/>
      <c r="M34" s="188"/>
      <c r="N34" s="188"/>
      <c r="O34" s="188"/>
    </row>
    <row r="35" spans="2:15" ht="15">
      <c r="B35" s="176" t="str">
        <f>Inputs!$E$81</f>
        <v>Interest Rate on Term Debt</v>
      </c>
      <c r="C35" s="191" t="s">
        <v>1</v>
      </c>
      <c r="D35" s="294">
        <f>IF(Inputs!G79&gt;0,Inputs!$G81,"NA")</f>
        <v>7.0000000000000007E-2</v>
      </c>
      <c r="E35" s="194"/>
      <c r="F35" s="294"/>
      <c r="G35" s="294"/>
      <c r="H35" s="294"/>
      <c r="I35" s="294"/>
      <c r="J35" s="294"/>
      <c r="K35" s="294"/>
      <c r="L35" s="294"/>
      <c r="M35" s="294"/>
      <c r="N35" s="294"/>
      <c r="O35" s="294"/>
    </row>
    <row r="36" spans="2:15">
      <c r="B36" s="176" t="str">
        <f>Inputs!$O$104</f>
        <v>Is owner a taxable entity?</v>
      </c>
      <c r="C36" s="184"/>
      <c r="D36" s="193" t="str">
        <f>Inputs!$Q$104</f>
        <v>Yes</v>
      </c>
      <c r="E36" s="195"/>
      <c r="F36" s="193"/>
      <c r="G36" s="193"/>
      <c r="H36" s="193"/>
      <c r="I36" s="193"/>
      <c r="J36" s="193"/>
      <c r="K36" s="193"/>
      <c r="L36" s="193"/>
      <c r="M36" s="193"/>
      <c r="N36" s="193"/>
      <c r="O36" s="193"/>
    </row>
    <row r="37" spans="2:15">
      <c r="B37" s="176" t="s">
        <v>450</v>
      </c>
      <c r="C37" s="748"/>
      <c r="D37" s="193" t="str">
        <f>IF($D$36="Yes",Inputs!Q106,"NA")</f>
        <v>As Generated</v>
      </c>
      <c r="E37" s="195"/>
      <c r="F37" s="193"/>
      <c r="G37" s="193"/>
      <c r="H37" s="193"/>
      <c r="I37" s="193"/>
      <c r="J37" s="193"/>
      <c r="K37" s="193"/>
      <c r="L37" s="193"/>
      <c r="M37" s="193"/>
      <c r="N37" s="193"/>
      <c r="O37" s="193"/>
    </row>
    <row r="38" spans="2:15">
      <c r="B38" s="176" t="s">
        <v>451</v>
      </c>
      <c r="C38" s="748"/>
      <c r="D38" s="193" t="str">
        <f>IF($D$36="Yes",Inputs!Q108,"NA")</f>
        <v>As Generated</v>
      </c>
      <c r="E38" s="195"/>
      <c r="F38" s="193"/>
      <c r="G38" s="193"/>
      <c r="H38" s="193"/>
      <c r="I38" s="193"/>
      <c r="J38" s="193"/>
      <c r="K38" s="193"/>
      <c r="L38" s="193"/>
      <c r="M38" s="193"/>
      <c r="N38" s="193"/>
      <c r="O38" s="193"/>
    </row>
    <row r="39" spans="2:15">
      <c r="B39" s="176"/>
      <c r="C39" s="184"/>
      <c r="D39" s="193"/>
      <c r="E39" s="195"/>
      <c r="F39" s="193"/>
      <c r="G39" s="193"/>
      <c r="H39" s="193"/>
      <c r="I39" s="193"/>
      <c r="J39" s="193"/>
      <c r="K39" s="193"/>
      <c r="L39" s="193"/>
      <c r="M39" s="193"/>
      <c r="N39" s="193"/>
      <c r="O39" s="193"/>
    </row>
    <row r="40" spans="2:15">
      <c r="B40" s="176" t="s">
        <v>281</v>
      </c>
      <c r="C40" s="177"/>
      <c r="D40" s="189" t="str">
        <f>Inputs!Q55</f>
        <v>Cost-Based</v>
      </c>
      <c r="E40" s="195"/>
      <c r="F40" s="189"/>
      <c r="G40" s="189"/>
      <c r="H40" s="189"/>
      <c r="I40" s="189"/>
      <c r="J40" s="189"/>
      <c r="K40" s="189"/>
      <c r="L40" s="189"/>
      <c r="M40" s="189"/>
      <c r="N40" s="189"/>
      <c r="O40" s="189"/>
    </row>
    <row r="41" spans="2:15">
      <c r="B41" s="176" t="s">
        <v>446</v>
      </c>
      <c r="C41" s="177"/>
      <c r="D41" s="189" t="str">
        <f>IF($D$40="Cost-Based",Inputs!$Q$56,Inputs!$Q$60)</f>
        <v>ITC</v>
      </c>
      <c r="E41" s="195"/>
      <c r="F41" s="189"/>
      <c r="G41" s="189"/>
      <c r="H41" s="189"/>
      <c r="I41" s="189"/>
      <c r="J41" s="189"/>
      <c r="K41" s="189"/>
      <c r="L41" s="189"/>
      <c r="M41" s="189"/>
      <c r="N41" s="189"/>
      <c r="O41" s="189"/>
    </row>
    <row r="42" spans="2:15">
      <c r="B42" s="176"/>
      <c r="C42" s="177"/>
      <c r="D42" s="189"/>
      <c r="E42" s="195"/>
      <c r="F42" s="189"/>
      <c r="G42" s="189"/>
      <c r="H42" s="189"/>
      <c r="I42" s="189"/>
      <c r="J42" s="189"/>
      <c r="K42" s="189"/>
      <c r="L42" s="189"/>
      <c r="M42" s="189"/>
      <c r="N42" s="189"/>
      <c r="O42" s="189"/>
    </row>
    <row r="43" spans="2:15">
      <c r="B43" s="176" t="s">
        <v>151</v>
      </c>
      <c r="C43" s="196"/>
      <c r="D43" s="151" t="str">
        <f>IF(AND(Inputs!$Q$65=0,Inputs!$Q$81=0),"No","Yes")</f>
        <v>No</v>
      </c>
      <c r="E43" s="195"/>
      <c r="F43" s="151"/>
      <c r="G43" s="151"/>
      <c r="H43" s="151"/>
      <c r="I43" s="151"/>
      <c r="J43" s="151"/>
      <c r="K43" s="151"/>
      <c r="L43" s="151"/>
      <c r="M43" s="151"/>
      <c r="N43" s="151"/>
      <c r="O43" s="151"/>
    </row>
    <row r="44" spans="2:15">
      <c r="B44" s="176" t="s">
        <v>452</v>
      </c>
      <c r="C44" s="177" t="s">
        <v>0</v>
      </c>
      <c r="D44" s="189" t="str">
        <f>IF(D43="No","NA",Inputs!$G$106)</f>
        <v>NA</v>
      </c>
      <c r="E44" s="195"/>
      <c r="F44" s="189"/>
      <c r="G44" s="189"/>
      <c r="H44" s="189"/>
      <c r="I44" s="189"/>
      <c r="J44" s="189"/>
      <c r="K44" s="189"/>
      <c r="L44" s="189"/>
      <c r="M44" s="189"/>
      <c r="N44" s="189"/>
      <c r="O44" s="189"/>
    </row>
    <row r="45" spans="2:15">
      <c r="B45" s="176"/>
      <c r="C45" s="177"/>
      <c r="D45" s="189"/>
      <c r="E45" s="195"/>
      <c r="F45" s="189"/>
      <c r="G45" s="189"/>
      <c r="H45" s="189"/>
      <c r="I45" s="189"/>
      <c r="J45" s="189"/>
      <c r="K45" s="189"/>
      <c r="L45" s="189"/>
      <c r="M45" s="189"/>
      <c r="N45" s="189"/>
      <c r="O45" s="189"/>
    </row>
    <row r="46" spans="2:15">
      <c r="B46" s="178" t="s">
        <v>453</v>
      </c>
      <c r="D46" s="754" t="str">
        <f>IF(Inputs!$Q$104="Yes",Inputs!$P$86,"NA")</f>
        <v>No</v>
      </c>
      <c r="E46" s="196"/>
      <c r="F46" s="754"/>
      <c r="G46" s="754"/>
      <c r="H46" s="754"/>
      <c r="I46" s="754"/>
      <c r="J46" s="754"/>
      <c r="K46" s="754"/>
      <c r="L46" s="754"/>
      <c r="M46" s="754"/>
      <c r="N46" s="754"/>
      <c r="O46" s="754"/>
    </row>
    <row r="47" spans="2:15" ht="150.75" customHeight="1">
      <c r="B47" s="367" t="s">
        <v>278</v>
      </c>
      <c r="C47" s="368"/>
      <c r="D47" s="741"/>
      <c r="F47" s="741"/>
      <c r="G47" s="741"/>
      <c r="H47" s="741"/>
      <c r="I47" s="741"/>
      <c r="J47" s="741"/>
      <c r="K47" s="741"/>
      <c r="L47" s="741"/>
      <c r="M47" s="741"/>
      <c r="N47" s="741"/>
      <c r="O47" s="741"/>
    </row>
    <row r="48" spans="2:15" ht="30" customHeight="1">
      <c r="B48" s="220"/>
      <c r="C48" s="220"/>
      <c r="D48" s="220"/>
      <c r="E48" s="220"/>
      <c r="F48" s="220"/>
      <c r="G48" s="220"/>
      <c r="H48" s="220"/>
      <c r="I48" s="220"/>
      <c r="J48" s="220"/>
    </row>
    <row r="49" spans="2:11" s="221" customFormat="1" ht="18">
      <c r="B49" s="220"/>
      <c r="C49" s="220"/>
      <c r="D49" s="222"/>
      <c r="E49" s="220"/>
      <c r="F49" s="220"/>
      <c r="G49" s="220"/>
      <c r="H49" s="220"/>
      <c r="I49" s="220"/>
      <c r="J49" s="220"/>
    </row>
    <row r="50" spans="2:11">
      <c r="B50" s="196"/>
      <c r="C50" s="196"/>
      <c r="D50" s="898"/>
      <c r="E50" s="898"/>
      <c r="F50" s="898"/>
      <c r="G50" s="898"/>
      <c r="H50" s="898"/>
      <c r="I50" s="898"/>
      <c r="J50" s="223"/>
      <c r="K50" s="196"/>
    </row>
    <row r="51" spans="2:11">
      <c r="B51" s="196"/>
      <c r="C51" s="216"/>
      <c r="D51" s="218"/>
      <c r="E51" s="218"/>
      <c r="F51" s="218"/>
      <c r="G51" s="218"/>
      <c r="H51" s="218"/>
      <c r="I51" s="218"/>
      <c r="J51" s="218"/>
      <c r="K51" s="196"/>
    </row>
    <row r="52" spans="2:11">
      <c r="B52" s="897"/>
      <c r="C52" s="219"/>
      <c r="D52" s="196"/>
      <c r="E52" s="196"/>
      <c r="F52" s="196"/>
      <c r="G52" s="196"/>
      <c r="H52" s="196"/>
      <c r="I52" s="196"/>
      <c r="J52" s="196"/>
      <c r="K52" s="196"/>
    </row>
    <row r="53" spans="2:11">
      <c r="B53" s="897"/>
      <c r="C53" s="219"/>
      <c r="D53" s="196"/>
      <c r="E53" s="196"/>
      <c r="F53" s="196"/>
      <c r="G53" s="196"/>
      <c r="H53" s="196"/>
      <c r="I53" s="196"/>
      <c r="J53" s="196"/>
      <c r="K53" s="196"/>
    </row>
    <row r="54" spans="2:11">
      <c r="B54" s="897"/>
      <c r="C54" s="219"/>
      <c r="D54" s="196"/>
      <c r="E54" s="196"/>
      <c r="F54" s="196"/>
      <c r="G54" s="196"/>
      <c r="H54" s="196"/>
      <c r="I54" s="196"/>
      <c r="J54" s="196"/>
      <c r="K54" s="196"/>
    </row>
    <row r="55" spans="2:11">
      <c r="B55" s="897"/>
      <c r="C55" s="219"/>
      <c r="D55" s="196"/>
      <c r="E55" s="196"/>
      <c r="F55" s="196"/>
      <c r="G55" s="196"/>
      <c r="H55" s="196"/>
      <c r="I55" s="196"/>
      <c r="J55" s="196"/>
      <c r="K55" s="196"/>
    </row>
    <row r="56" spans="2:11">
      <c r="B56" s="897"/>
      <c r="C56" s="219"/>
      <c r="D56" s="196"/>
      <c r="E56" s="196"/>
      <c r="F56" s="196"/>
      <c r="G56" s="196"/>
      <c r="H56" s="196"/>
      <c r="I56" s="196"/>
      <c r="J56" s="196"/>
      <c r="K56" s="196"/>
    </row>
    <row r="57" spans="2:11">
      <c r="B57" s="196"/>
      <c r="C57" s="196"/>
      <c r="D57" s="196"/>
      <c r="E57" s="196"/>
      <c r="F57" s="196"/>
      <c r="G57" s="196"/>
      <c r="H57" s="196"/>
      <c r="I57" s="196"/>
      <c r="J57" s="196"/>
      <c r="K57" s="196"/>
    </row>
    <row r="58" spans="2:11">
      <c r="B58" s="196"/>
      <c r="C58" s="196"/>
      <c r="D58" s="196"/>
      <c r="E58" s="196"/>
      <c r="F58" s="196"/>
      <c r="G58" s="196"/>
      <c r="H58" s="196"/>
      <c r="I58" s="196"/>
      <c r="J58" s="196"/>
      <c r="K58" s="196"/>
    </row>
    <row r="59" spans="2:11">
      <c r="B59" s="196"/>
      <c r="C59" s="196"/>
      <c r="D59" s="196"/>
      <c r="E59" s="196"/>
      <c r="F59" s="196"/>
      <c r="G59" s="196"/>
      <c r="H59" s="196"/>
      <c r="I59" s="196"/>
      <c r="J59" s="196"/>
      <c r="K59" s="196"/>
    </row>
    <row r="60" spans="2:11" ht="15.75" customHeight="1">
      <c r="B60" s="196"/>
      <c r="C60" s="196"/>
      <c r="D60" s="196"/>
      <c r="E60" s="196"/>
      <c r="F60" s="196"/>
      <c r="G60" s="196"/>
      <c r="H60" s="196"/>
      <c r="I60" s="196"/>
      <c r="J60" s="196"/>
      <c r="K60" s="196"/>
    </row>
    <row r="61" spans="2:11">
      <c r="B61" s="196"/>
      <c r="C61" s="196"/>
      <c r="D61" s="196"/>
      <c r="E61" s="196"/>
      <c r="F61" s="196"/>
      <c r="G61" s="196"/>
      <c r="H61" s="196"/>
      <c r="I61" s="196"/>
      <c r="J61" s="196"/>
      <c r="K61" s="196"/>
    </row>
    <row r="62" spans="2:11">
      <c r="B62" s="196"/>
      <c r="C62" s="196"/>
      <c r="D62" s="196"/>
      <c r="E62" s="196"/>
      <c r="F62" s="196"/>
      <c r="G62" s="196"/>
      <c r="H62" s="196"/>
      <c r="I62" s="196"/>
      <c r="J62" s="196"/>
      <c r="K62" s="196"/>
    </row>
    <row r="63" spans="2:11">
      <c r="B63" s="196"/>
      <c r="C63" s="196"/>
      <c r="D63" s="196"/>
      <c r="E63" s="196"/>
      <c r="F63" s="196"/>
      <c r="G63" s="196"/>
      <c r="H63" s="196"/>
      <c r="I63" s="196"/>
      <c r="J63" s="196"/>
      <c r="K63" s="196"/>
    </row>
    <row r="64" spans="2:11">
      <c r="B64" s="196"/>
      <c r="C64" s="196"/>
      <c r="D64" s="196"/>
      <c r="E64" s="196"/>
      <c r="F64" s="196"/>
      <c r="G64" s="196"/>
      <c r="H64" s="196"/>
      <c r="I64" s="196"/>
      <c r="J64" s="196"/>
      <c r="K64" s="196"/>
    </row>
    <row r="65" spans="2:11">
      <c r="B65" s="196"/>
      <c r="C65" s="196"/>
      <c r="D65" s="196"/>
      <c r="E65" s="196"/>
      <c r="F65" s="196"/>
      <c r="G65" s="196"/>
      <c r="H65" s="196"/>
      <c r="I65" s="196"/>
      <c r="J65" s="196"/>
      <c r="K65" s="196"/>
    </row>
    <row r="66" spans="2:11">
      <c r="B66" s="196"/>
      <c r="C66" s="196"/>
      <c r="D66" s="196"/>
      <c r="E66" s="196"/>
      <c r="F66" s="196"/>
      <c r="G66" s="196"/>
      <c r="H66" s="196"/>
      <c r="I66" s="196"/>
      <c r="J66" s="196"/>
      <c r="K66" s="196"/>
    </row>
  </sheetData>
  <protectedRanges>
    <protectedRange sqref="F6:O47" name="Scenarios"/>
    <protectedRange sqref="D47 D7:D45" name="Input Summary"/>
  </protectedRanges>
  <mergeCells count="6">
    <mergeCell ref="B52:B56"/>
    <mergeCell ref="D50:I50"/>
    <mergeCell ref="F5:J5"/>
    <mergeCell ref="B5:D5"/>
    <mergeCell ref="B3:D3"/>
    <mergeCell ref="F3:J3"/>
  </mergeCells>
  <conditionalFormatting sqref="D10">
    <cfRule type="expression" dxfId="10" priority="7">
      <formula>$D10="Yes"</formula>
    </cfRule>
  </conditionalFormatting>
  <conditionalFormatting sqref="D11">
    <cfRule type="expression" dxfId="9" priority="5">
      <formula>$D11="Yes"</formula>
    </cfRule>
  </conditionalFormatting>
  <conditionalFormatting sqref="B10:C10">
    <cfRule type="expression" dxfId="8" priority="4">
      <formula>$D$10="Yes"</formula>
    </cfRule>
  </conditionalFormatting>
  <conditionalFormatting sqref="B11:C11">
    <cfRule type="expression" dxfId="7" priority="3">
      <formula>$D$11="Yes"</formula>
    </cfRule>
  </conditionalFormatting>
  <pageMargins left="0.7" right="0.7" top="0.75" bottom="0.75" header="0.3" footer="0.3"/>
  <pageSetup orientation="portrait" horizontalDpi="4294967293"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S38"/>
  <sheetViews>
    <sheetView showGridLines="0" zoomScale="70" zoomScaleNormal="70" workbookViewId="0">
      <pane xSplit="1" ySplit="5" topLeftCell="B6" activePane="bottomRight" state="frozen"/>
      <selection pane="topRight" activeCell="B1" sqref="B1"/>
      <selection pane="bottomLeft" activeCell="A6" sqref="A6"/>
      <selection pane="bottomRight" activeCell="O65" sqref="O65"/>
    </sheetView>
  </sheetViews>
  <sheetFormatPr baseColWidth="10" defaultColWidth="8.83203125" defaultRowHeight="14"/>
  <cols>
    <col min="1" max="1" width="2.5" style="136" customWidth="1"/>
    <col min="2" max="2" width="9.6640625" style="136" customWidth="1"/>
    <col min="3" max="3" width="15" style="136" customWidth="1"/>
    <col min="4" max="4" width="14.1640625" style="136" customWidth="1"/>
    <col min="5" max="5" width="16.6640625" style="136" customWidth="1"/>
    <col min="6" max="6" width="15.33203125" style="136" customWidth="1"/>
    <col min="7" max="7" width="13" style="137" customWidth="1"/>
    <col min="8" max="8" width="15.5" style="136" customWidth="1"/>
    <col min="9" max="9" width="14.5" style="136" customWidth="1"/>
    <col min="10" max="10" width="15.5" style="136" customWidth="1"/>
    <col min="11" max="11" width="15.83203125" style="136" customWidth="1"/>
    <col min="12" max="12" width="14.5" style="136" customWidth="1"/>
    <col min="13" max="13" width="15.6640625" style="136" customWidth="1"/>
    <col min="14" max="14" width="15.1640625" style="136" customWidth="1"/>
    <col min="15" max="15" width="11.5" style="136" customWidth="1"/>
    <col min="16" max="16" width="11.1640625" style="136" customWidth="1"/>
    <col min="17" max="17" width="9.1640625" style="136"/>
    <col min="18" max="18" width="24.83203125" style="136" bestFit="1" customWidth="1"/>
    <col min="19" max="19" width="29.33203125" style="136" bestFit="1" customWidth="1"/>
    <col min="20" max="235" width="9.1640625" style="136"/>
    <col min="236" max="236" width="21.5" style="136" customWidth="1"/>
    <col min="237" max="237" width="16.5" style="136" customWidth="1"/>
    <col min="238" max="238" width="18" style="136" customWidth="1"/>
    <col min="239" max="239" width="23.6640625" style="136" customWidth="1"/>
    <col min="240" max="240" width="26" style="136" customWidth="1"/>
    <col min="241" max="241" width="21.5" style="136" customWidth="1"/>
    <col min="242" max="242" width="20.83203125" style="136" customWidth="1"/>
    <col min="243" max="243" width="0" style="136" hidden="1" customWidth="1"/>
    <col min="244" max="491" width="9.1640625" style="136"/>
    <col min="492" max="492" width="21.5" style="136" customWidth="1"/>
    <col min="493" max="493" width="16.5" style="136" customWidth="1"/>
    <col min="494" max="494" width="18" style="136" customWidth="1"/>
    <col min="495" max="495" width="23.6640625" style="136" customWidth="1"/>
    <col min="496" max="496" width="26" style="136" customWidth="1"/>
    <col min="497" max="497" width="21.5" style="136" customWidth="1"/>
    <col min="498" max="498" width="20.83203125" style="136" customWidth="1"/>
    <col min="499" max="499" width="0" style="136" hidden="1" customWidth="1"/>
    <col min="500" max="747" width="9.1640625" style="136"/>
    <col min="748" max="748" width="21.5" style="136" customWidth="1"/>
    <col min="749" max="749" width="16.5" style="136" customWidth="1"/>
    <col min="750" max="750" width="18" style="136" customWidth="1"/>
    <col min="751" max="751" width="23.6640625" style="136" customWidth="1"/>
    <col min="752" max="752" width="26" style="136" customWidth="1"/>
    <col min="753" max="753" width="21.5" style="136" customWidth="1"/>
    <col min="754" max="754" width="20.83203125" style="136" customWidth="1"/>
    <col min="755" max="755" width="0" style="136" hidden="1" customWidth="1"/>
    <col min="756" max="1003" width="9.1640625" style="136"/>
    <col min="1004" max="1004" width="21.5" style="136" customWidth="1"/>
    <col min="1005" max="1005" width="16.5" style="136" customWidth="1"/>
    <col min="1006" max="1006" width="18" style="136" customWidth="1"/>
    <col min="1007" max="1007" width="23.6640625" style="136" customWidth="1"/>
    <col min="1008" max="1008" width="26" style="136" customWidth="1"/>
    <col min="1009" max="1009" width="21.5" style="136" customWidth="1"/>
    <col min="1010" max="1010" width="20.83203125" style="136" customWidth="1"/>
    <col min="1011" max="1011" width="0" style="136" hidden="1" customWidth="1"/>
    <col min="1012" max="1259" width="9.1640625" style="136"/>
    <col min="1260" max="1260" width="21.5" style="136" customWidth="1"/>
    <col min="1261" max="1261" width="16.5" style="136" customWidth="1"/>
    <col min="1262" max="1262" width="18" style="136" customWidth="1"/>
    <col min="1263" max="1263" width="23.6640625" style="136" customWidth="1"/>
    <col min="1264" max="1264" width="26" style="136" customWidth="1"/>
    <col min="1265" max="1265" width="21.5" style="136" customWidth="1"/>
    <col min="1266" max="1266" width="20.83203125" style="136" customWidth="1"/>
    <col min="1267" max="1267" width="0" style="136" hidden="1" customWidth="1"/>
    <col min="1268" max="1515" width="9.1640625" style="136"/>
    <col min="1516" max="1516" width="21.5" style="136" customWidth="1"/>
    <col min="1517" max="1517" width="16.5" style="136" customWidth="1"/>
    <col min="1518" max="1518" width="18" style="136" customWidth="1"/>
    <col min="1519" max="1519" width="23.6640625" style="136" customWidth="1"/>
    <col min="1520" max="1520" width="26" style="136" customWidth="1"/>
    <col min="1521" max="1521" width="21.5" style="136" customWidth="1"/>
    <col min="1522" max="1522" width="20.83203125" style="136" customWidth="1"/>
    <col min="1523" max="1523" width="0" style="136" hidden="1" customWidth="1"/>
    <col min="1524" max="1771" width="9.1640625" style="136"/>
    <col min="1772" max="1772" width="21.5" style="136" customWidth="1"/>
    <col min="1773" max="1773" width="16.5" style="136" customWidth="1"/>
    <col min="1774" max="1774" width="18" style="136" customWidth="1"/>
    <col min="1775" max="1775" width="23.6640625" style="136" customWidth="1"/>
    <col min="1776" max="1776" width="26" style="136" customWidth="1"/>
    <col min="1777" max="1777" width="21.5" style="136" customWidth="1"/>
    <col min="1778" max="1778" width="20.83203125" style="136" customWidth="1"/>
    <col min="1779" max="1779" width="0" style="136" hidden="1" customWidth="1"/>
    <col min="1780" max="2027" width="9.1640625" style="136"/>
    <col min="2028" max="2028" width="21.5" style="136" customWidth="1"/>
    <col min="2029" max="2029" width="16.5" style="136" customWidth="1"/>
    <col min="2030" max="2030" width="18" style="136" customWidth="1"/>
    <col min="2031" max="2031" width="23.6640625" style="136" customWidth="1"/>
    <col min="2032" max="2032" width="26" style="136" customWidth="1"/>
    <col min="2033" max="2033" width="21.5" style="136" customWidth="1"/>
    <col min="2034" max="2034" width="20.83203125" style="136" customWidth="1"/>
    <col min="2035" max="2035" width="0" style="136" hidden="1" customWidth="1"/>
    <col min="2036" max="2283" width="9.1640625" style="136"/>
    <col min="2284" max="2284" width="21.5" style="136" customWidth="1"/>
    <col min="2285" max="2285" width="16.5" style="136" customWidth="1"/>
    <col min="2286" max="2286" width="18" style="136" customWidth="1"/>
    <col min="2287" max="2287" width="23.6640625" style="136" customWidth="1"/>
    <col min="2288" max="2288" width="26" style="136" customWidth="1"/>
    <col min="2289" max="2289" width="21.5" style="136" customWidth="1"/>
    <col min="2290" max="2290" width="20.83203125" style="136" customWidth="1"/>
    <col min="2291" max="2291" width="0" style="136" hidden="1" customWidth="1"/>
    <col min="2292" max="2539" width="9.1640625" style="136"/>
    <col min="2540" max="2540" width="21.5" style="136" customWidth="1"/>
    <col min="2541" max="2541" width="16.5" style="136" customWidth="1"/>
    <col min="2542" max="2542" width="18" style="136" customWidth="1"/>
    <col min="2543" max="2543" width="23.6640625" style="136" customWidth="1"/>
    <col min="2544" max="2544" width="26" style="136" customWidth="1"/>
    <col min="2545" max="2545" width="21.5" style="136" customWidth="1"/>
    <col min="2546" max="2546" width="20.83203125" style="136" customWidth="1"/>
    <col min="2547" max="2547" width="0" style="136" hidden="1" customWidth="1"/>
    <col min="2548" max="2795" width="9.1640625" style="136"/>
    <col min="2796" max="2796" width="21.5" style="136" customWidth="1"/>
    <col min="2797" max="2797" width="16.5" style="136" customWidth="1"/>
    <col min="2798" max="2798" width="18" style="136" customWidth="1"/>
    <col min="2799" max="2799" width="23.6640625" style="136" customWidth="1"/>
    <col min="2800" max="2800" width="26" style="136" customWidth="1"/>
    <col min="2801" max="2801" width="21.5" style="136" customWidth="1"/>
    <col min="2802" max="2802" width="20.83203125" style="136" customWidth="1"/>
    <col min="2803" max="2803" width="0" style="136" hidden="1" customWidth="1"/>
    <col min="2804" max="3051" width="9.1640625" style="136"/>
    <col min="3052" max="3052" width="21.5" style="136" customWidth="1"/>
    <col min="3053" max="3053" width="16.5" style="136" customWidth="1"/>
    <col min="3054" max="3054" width="18" style="136" customWidth="1"/>
    <col min="3055" max="3055" width="23.6640625" style="136" customWidth="1"/>
    <col min="3056" max="3056" width="26" style="136" customWidth="1"/>
    <col min="3057" max="3057" width="21.5" style="136" customWidth="1"/>
    <col min="3058" max="3058" width="20.83203125" style="136" customWidth="1"/>
    <col min="3059" max="3059" width="0" style="136" hidden="1" customWidth="1"/>
    <col min="3060" max="3307" width="9.1640625" style="136"/>
    <col min="3308" max="3308" width="21.5" style="136" customWidth="1"/>
    <col min="3309" max="3309" width="16.5" style="136" customWidth="1"/>
    <col min="3310" max="3310" width="18" style="136" customWidth="1"/>
    <col min="3311" max="3311" width="23.6640625" style="136" customWidth="1"/>
    <col min="3312" max="3312" width="26" style="136" customWidth="1"/>
    <col min="3313" max="3313" width="21.5" style="136" customWidth="1"/>
    <col min="3314" max="3314" width="20.83203125" style="136" customWidth="1"/>
    <col min="3315" max="3315" width="0" style="136" hidden="1" customWidth="1"/>
    <col min="3316" max="3563" width="9.1640625" style="136"/>
    <col min="3564" max="3564" width="21.5" style="136" customWidth="1"/>
    <col min="3565" max="3565" width="16.5" style="136" customWidth="1"/>
    <col min="3566" max="3566" width="18" style="136" customWidth="1"/>
    <col min="3567" max="3567" width="23.6640625" style="136" customWidth="1"/>
    <col min="3568" max="3568" width="26" style="136" customWidth="1"/>
    <col min="3569" max="3569" width="21.5" style="136" customWidth="1"/>
    <col min="3570" max="3570" width="20.83203125" style="136" customWidth="1"/>
    <col min="3571" max="3571" width="0" style="136" hidden="1" customWidth="1"/>
    <col min="3572" max="3819" width="9.1640625" style="136"/>
    <col min="3820" max="3820" width="21.5" style="136" customWidth="1"/>
    <col min="3821" max="3821" width="16.5" style="136" customWidth="1"/>
    <col min="3822" max="3822" width="18" style="136" customWidth="1"/>
    <col min="3823" max="3823" width="23.6640625" style="136" customWidth="1"/>
    <col min="3824" max="3824" width="26" style="136" customWidth="1"/>
    <col min="3825" max="3825" width="21.5" style="136" customWidth="1"/>
    <col min="3826" max="3826" width="20.83203125" style="136" customWidth="1"/>
    <col min="3827" max="3827" width="0" style="136" hidden="1" customWidth="1"/>
    <col min="3828" max="4075" width="9.1640625" style="136"/>
    <col min="4076" max="4076" width="21.5" style="136" customWidth="1"/>
    <col min="4077" max="4077" width="16.5" style="136" customWidth="1"/>
    <col min="4078" max="4078" width="18" style="136" customWidth="1"/>
    <col min="4079" max="4079" width="23.6640625" style="136" customWidth="1"/>
    <col min="4080" max="4080" width="26" style="136" customWidth="1"/>
    <col min="4081" max="4081" width="21.5" style="136" customWidth="1"/>
    <col min="4082" max="4082" width="20.83203125" style="136" customWidth="1"/>
    <col min="4083" max="4083" width="0" style="136" hidden="1" customWidth="1"/>
    <col min="4084" max="4331" width="9.1640625" style="136"/>
    <col min="4332" max="4332" width="21.5" style="136" customWidth="1"/>
    <col min="4333" max="4333" width="16.5" style="136" customWidth="1"/>
    <col min="4334" max="4334" width="18" style="136" customWidth="1"/>
    <col min="4335" max="4335" width="23.6640625" style="136" customWidth="1"/>
    <col min="4336" max="4336" width="26" style="136" customWidth="1"/>
    <col min="4337" max="4337" width="21.5" style="136" customWidth="1"/>
    <col min="4338" max="4338" width="20.83203125" style="136" customWidth="1"/>
    <col min="4339" max="4339" width="0" style="136" hidden="1" customWidth="1"/>
    <col min="4340" max="4587" width="9.1640625" style="136"/>
    <col min="4588" max="4588" width="21.5" style="136" customWidth="1"/>
    <col min="4589" max="4589" width="16.5" style="136" customWidth="1"/>
    <col min="4590" max="4590" width="18" style="136" customWidth="1"/>
    <col min="4591" max="4591" width="23.6640625" style="136" customWidth="1"/>
    <col min="4592" max="4592" width="26" style="136" customWidth="1"/>
    <col min="4593" max="4593" width="21.5" style="136" customWidth="1"/>
    <col min="4594" max="4594" width="20.83203125" style="136" customWidth="1"/>
    <col min="4595" max="4595" width="0" style="136" hidden="1" customWidth="1"/>
    <col min="4596" max="4843" width="9.1640625" style="136"/>
    <col min="4844" max="4844" width="21.5" style="136" customWidth="1"/>
    <col min="4845" max="4845" width="16.5" style="136" customWidth="1"/>
    <col min="4846" max="4846" width="18" style="136" customWidth="1"/>
    <col min="4847" max="4847" width="23.6640625" style="136" customWidth="1"/>
    <col min="4848" max="4848" width="26" style="136" customWidth="1"/>
    <col min="4849" max="4849" width="21.5" style="136" customWidth="1"/>
    <col min="4850" max="4850" width="20.83203125" style="136" customWidth="1"/>
    <col min="4851" max="4851" width="0" style="136" hidden="1" customWidth="1"/>
    <col min="4852" max="5099" width="9.1640625" style="136"/>
    <col min="5100" max="5100" width="21.5" style="136" customWidth="1"/>
    <col min="5101" max="5101" width="16.5" style="136" customWidth="1"/>
    <col min="5102" max="5102" width="18" style="136" customWidth="1"/>
    <col min="5103" max="5103" width="23.6640625" style="136" customWidth="1"/>
    <col min="5104" max="5104" width="26" style="136" customWidth="1"/>
    <col min="5105" max="5105" width="21.5" style="136" customWidth="1"/>
    <col min="5106" max="5106" width="20.83203125" style="136" customWidth="1"/>
    <col min="5107" max="5107" width="0" style="136" hidden="1" customWidth="1"/>
    <col min="5108" max="5355" width="9.1640625" style="136"/>
    <col min="5356" max="5356" width="21.5" style="136" customWidth="1"/>
    <col min="5357" max="5357" width="16.5" style="136" customWidth="1"/>
    <col min="5358" max="5358" width="18" style="136" customWidth="1"/>
    <col min="5359" max="5359" width="23.6640625" style="136" customWidth="1"/>
    <col min="5360" max="5360" width="26" style="136" customWidth="1"/>
    <col min="5361" max="5361" width="21.5" style="136" customWidth="1"/>
    <col min="5362" max="5362" width="20.83203125" style="136" customWidth="1"/>
    <col min="5363" max="5363" width="0" style="136" hidden="1" customWidth="1"/>
    <col min="5364" max="5611" width="9.1640625" style="136"/>
    <col min="5612" max="5612" width="21.5" style="136" customWidth="1"/>
    <col min="5613" max="5613" width="16.5" style="136" customWidth="1"/>
    <col min="5614" max="5614" width="18" style="136" customWidth="1"/>
    <col min="5615" max="5615" width="23.6640625" style="136" customWidth="1"/>
    <col min="5616" max="5616" width="26" style="136" customWidth="1"/>
    <col min="5617" max="5617" width="21.5" style="136" customWidth="1"/>
    <col min="5618" max="5618" width="20.83203125" style="136" customWidth="1"/>
    <col min="5619" max="5619" width="0" style="136" hidden="1" customWidth="1"/>
    <col min="5620" max="5867" width="9.1640625" style="136"/>
    <col min="5868" max="5868" width="21.5" style="136" customWidth="1"/>
    <col min="5869" max="5869" width="16.5" style="136" customWidth="1"/>
    <col min="5870" max="5870" width="18" style="136" customWidth="1"/>
    <col min="5871" max="5871" width="23.6640625" style="136" customWidth="1"/>
    <col min="5872" max="5872" width="26" style="136" customWidth="1"/>
    <col min="5873" max="5873" width="21.5" style="136" customWidth="1"/>
    <col min="5874" max="5874" width="20.83203125" style="136" customWidth="1"/>
    <col min="5875" max="5875" width="0" style="136" hidden="1" customWidth="1"/>
    <col min="5876" max="6123" width="9.1640625" style="136"/>
    <col min="6124" max="6124" width="21.5" style="136" customWidth="1"/>
    <col min="6125" max="6125" width="16.5" style="136" customWidth="1"/>
    <col min="6126" max="6126" width="18" style="136" customWidth="1"/>
    <col min="6127" max="6127" width="23.6640625" style="136" customWidth="1"/>
    <col min="6128" max="6128" width="26" style="136" customWidth="1"/>
    <col min="6129" max="6129" width="21.5" style="136" customWidth="1"/>
    <col min="6130" max="6130" width="20.83203125" style="136" customWidth="1"/>
    <col min="6131" max="6131" width="0" style="136" hidden="1" customWidth="1"/>
    <col min="6132" max="6379" width="9.1640625" style="136"/>
    <col min="6380" max="6380" width="21.5" style="136" customWidth="1"/>
    <col min="6381" max="6381" width="16.5" style="136" customWidth="1"/>
    <col min="6382" max="6382" width="18" style="136" customWidth="1"/>
    <col min="6383" max="6383" width="23.6640625" style="136" customWidth="1"/>
    <col min="6384" max="6384" width="26" style="136" customWidth="1"/>
    <col min="6385" max="6385" width="21.5" style="136" customWidth="1"/>
    <col min="6386" max="6386" width="20.83203125" style="136" customWidth="1"/>
    <col min="6387" max="6387" width="0" style="136" hidden="1" customWidth="1"/>
    <col min="6388" max="6635" width="9.1640625" style="136"/>
    <col min="6636" max="6636" width="21.5" style="136" customWidth="1"/>
    <col min="6637" max="6637" width="16.5" style="136" customWidth="1"/>
    <col min="6638" max="6638" width="18" style="136" customWidth="1"/>
    <col min="6639" max="6639" width="23.6640625" style="136" customWidth="1"/>
    <col min="6640" max="6640" width="26" style="136" customWidth="1"/>
    <col min="6641" max="6641" width="21.5" style="136" customWidth="1"/>
    <col min="6642" max="6642" width="20.83203125" style="136" customWidth="1"/>
    <col min="6643" max="6643" width="0" style="136" hidden="1" customWidth="1"/>
    <col min="6644" max="6891" width="9.1640625" style="136"/>
    <col min="6892" max="6892" width="21.5" style="136" customWidth="1"/>
    <col min="6893" max="6893" width="16.5" style="136" customWidth="1"/>
    <col min="6894" max="6894" width="18" style="136" customWidth="1"/>
    <col min="6895" max="6895" width="23.6640625" style="136" customWidth="1"/>
    <col min="6896" max="6896" width="26" style="136" customWidth="1"/>
    <col min="6897" max="6897" width="21.5" style="136" customWidth="1"/>
    <col min="6898" max="6898" width="20.83203125" style="136" customWidth="1"/>
    <col min="6899" max="6899" width="0" style="136" hidden="1" customWidth="1"/>
    <col min="6900" max="7147" width="9.1640625" style="136"/>
    <col min="7148" max="7148" width="21.5" style="136" customWidth="1"/>
    <col min="7149" max="7149" width="16.5" style="136" customWidth="1"/>
    <col min="7150" max="7150" width="18" style="136" customWidth="1"/>
    <col min="7151" max="7151" width="23.6640625" style="136" customWidth="1"/>
    <col min="7152" max="7152" width="26" style="136" customWidth="1"/>
    <col min="7153" max="7153" width="21.5" style="136" customWidth="1"/>
    <col min="7154" max="7154" width="20.83203125" style="136" customWidth="1"/>
    <col min="7155" max="7155" width="0" style="136" hidden="1" customWidth="1"/>
    <col min="7156" max="7403" width="9.1640625" style="136"/>
    <col min="7404" max="7404" width="21.5" style="136" customWidth="1"/>
    <col min="7405" max="7405" width="16.5" style="136" customWidth="1"/>
    <col min="7406" max="7406" width="18" style="136" customWidth="1"/>
    <col min="7407" max="7407" width="23.6640625" style="136" customWidth="1"/>
    <col min="7408" max="7408" width="26" style="136" customWidth="1"/>
    <col min="7409" max="7409" width="21.5" style="136" customWidth="1"/>
    <col min="7410" max="7410" width="20.83203125" style="136" customWidth="1"/>
    <col min="7411" max="7411" width="0" style="136" hidden="1" customWidth="1"/>
    <col min="7412" max="7659" width="9.1640625" style="136"/>
    <col min="7660" max="7660" width="21.5" style="136" customWidth="1"/>
    <col min="7661" max="7661" width="16.5" style="136" customWidth="1"/>
    <col min="7662" max="7662" width="18" style="136" customWidth="1"/>
    <col min="7663" max="7663" width="23.6640625" style="136" customWidth="1"/>
    <col min="7664" max="7664" width="26" style="136" customWidth="1"/>
    <col min="7665" max="7665" width="21.5" style="136" customWidth="1"/>
    <col min="7666" max="7666" width="20.83203125" style="136" customWidth="1"/>
    <col min="7667" max="7667" width="0" style="136" hidden="1" customWidth="1"/>
    <col min="7668" max="7915" width="9.1640625" style="136"/>
    <col min="7916" max="7916" width="21.5" style="136" customWidth="1"/>
    <col min="7917" max="7917" width="16.5" style="136" customWidth="1"/>
    <col min="7918" max="7918" width="18" style="136" customWidth="1"/>
    <col min="7919" max="7919" width="23.6640625" style="136" customWidth="1"/>
    <col min="7920" max="7920" width="26" style="136" customWidth="1"/>
    <col min="7921" max="7921" width="21.5" style="136" customWidth="1"/>
    <col min="7922" max="7922" width="20.83203125" style="136" customWidth="1"/>
    <col min="7923" max="7923" width="0" style="136" hidden="1" customWidth="1"/>
    <col min="7924" max="8171" width="9.1640625" style="136"/>
    <col min="8172" max="8172" width="21.5" style="136" customWidth="1"/>
    <col min="8173" max="8173" width="16.5" style="136" customWidth="1"/>
    <col min="8174" max="8174" width="18" style="136" customWidth="1"/>
    <col min="8175" max="8175" width="23.6640625" style="136" customWidth="1"/>
    <col min="8176" max="8176" width="26" style="136" customWidth="1"/>
    <col min="8177" max="8177" width="21.5" style="136" customWidth="1"/>
    <col min="8178" max="8178" width="20.83203125" style="136" customWidth="1"/>
    <col min="8179" max="8179" width="0" style="136" hidden="1" customWidth="1"/>
    <col min="8180" max="8427" width="9.1640625" style="136"/>
    <col min="8428" max="8428" width="21.5" style="136" customWidth="1"/>
    <col min="8429" max="8429" width="16.5" style="136" customWidth="1"/>
    <col min="8430" max="8430" width="18" style="136" customWidth="1"/>
    <col min="8431" max="8431" width="23.6640625" style="136" customWidth="1"/>
    <col min="8432" max="8432" width="26" style="136" customWidth="1"/>
    <col min="8433" max="8433" width="21.5" style="136" customWidth="1"/>
    <col min="8434" max="8434" width="20.83203125" style="136" customWidth="1"/>
    <col min="8435" max="8435" width="0" style="136" hidden="1" customWidth="1"/>
    <col min="8436" max="8683" width="9.1640625" style="136"/>
    <col min="8684" max="8684" width="21.5" style="136" customWidth="1"/>
    <col min="8685" max="8685" width="16.5" style="136" customWidth="1"/>
    <col min="8686" max="8686" width="18" style="136" customWidth="1"/>
    <col min="8687" max="8687" width="23.6640625" style="136" customWidth="1"/>
    <col min="8688" max="8688" width="26" style="136" customWidth="1"/>
    <col min="8689" max="8689" width="21.5" style="136" customWidth="1"/>
    <col min="8690" max="8690" width="20.83203125" style="136" customWidth="1"/>
    <col min="8691" max="8691" width="0" style="136" hidden="1" customWidth="1"/>
    <col min="8692" max="8939" width="9.1640625" style="136"/>
    <col min="8940" max="8940" width="21.5" style="136" customWidth="1"/>
    <col min="8941" max="8941" width="16.5" style="136" customWidth="1"/>
    <col min="8942" max="8942" width="18" style="136" customWidth="1"/>
    <col min="8943" max="8943" width="23.6640625" style="136" customWidth="1"/>
    <col min="8944" max="8944" width="26" style="136" customWidth="1"/>
    <col min="8945" max="8945" width="21.5" style="136" customWidth="1"/>
    <col min="8946" max="8946" width="20.83203125" style="136" customWidth="1"/>
    <col min="8947" max="8947" width="0" style="136" hidden="1" customWidth="1"/>
    <col min="8948" max="9195" width="9.1640625" style="136"/>
    <col min="9196" max="9196" width="21.5" style="136" customWidth="1"/>
    <col min="9197" max="9197" width="16.5" style="136" customWidth="1"/>
    <col min="9198" max="9198" width="18" style="136" customWidth="1"/>
    <col min="9199" max="9199" width="23.6640625" style="136" customWidth="1"/>
    <col min="9200" max="9200" width="26" style="136" customWidth="1"/>
    <col min="9201" max="9201" width="21.5" style="136" customWidth="1"/>
    <col min="9202" max="9202" width="20.83203125" style="136" customWidth="1"/>
    <col min="9203" max="9203" width="0" style="136" hidden="1" customWidth="1"/>
    <col min="9204" max="9451" width="9.1640625" style="136"/>
    <col min="9452" max="9452" width="21.5" style="136" customWidth="1"/>
    <col min="9453" max="9453" width="16.5" style="136" customWidth="1"/>
    <col min="9454" max="9454" width="18" style="136" customWidth="1"/>
    <col min="9455" max="9455" width="23.6640625" style="136" customWidth="1"/>
    <col min="9456" max="9456" width="26" style="136" customWidth="1"/>
    <col min="9457" max="9457" width="21.5" style="136" customWidth="1"/>
    <col min="9458" max="9458" width="20.83203125" style="136" customWidth="1"/>
    <col min="9459" max="9459" width="0" style="136" hidden="1" customWidth="1"/>
    <col min="9460" max="9707" width="9.1640625" style="136"/>
    <col min="9708" max="9708" width="21.5" style="136" customWidth="1"/>
    <col min="9709" max="9709" width="16.5" style="136" customWidth="1"/>
    <col min="9710" max="9710" width="18" style="136" customWidth="1"/>
    <col min="9711" max="9711" width="23.6640625" style="136" customWidth="1"/>
    <col min="9712" max="9712" width="26" style="136" customWidth="1"/>
    <col min="9713" max="9713" width="21.5" style="136" customWidth="1"/>
    <col min="9714" max="9714" width="20.83203125" style="136" customWidth="1"/>
    <col min="9715" max="9715" width="0" style="136" hidden="1" customWidth="1"/>
    <col min="9716" max="9963" width="9.1640625" style="136"/>
    <col min="9964" max="9964" width="21.5" style="136" customWidth="1"/>
    <col min="9965" max="9965" width="16.5" style="136" customWidth="1"/>
    <col min="9966" max="9966" width="18" style="136" customWidth="1"/>
    <col min="9967" max="9967" width="23.6640625" style="136" customWidth="1"/>
    <col min="9968" max="9968" width="26" style="136" customWidth="1"/>
    <col min="9969" max="9969" width="21.5" style="136" customWidth="1"/>
    <col min="9970" max="9970" width="20.83203125" style="136" customWidth="1"/>
    <col min="9971" max="9971" width="0" style="136" hidden="1" customWidth="1"/>
    <col min="9972" max="10219" width="9.1640625" style="136"/>
    <col min="10220" max="10220" width="21.5" style="136" customWidth="1"/>
    <col min="10221" max="10221" width="16.5" style="136" customWidth="1"/>
    <col min="10222" max="10222" width="18" style="136" customWidth="1"/>
    <col min="10223" max="10223" width="23.6640625" style="136" customWidth="1"/>
    <col min="10224" max="10224" width="26" style="136" customWidth="1"/>
    <col min="10225" max="10225" width="21.5" style="136" customWidth="1"/>
    <col min="10226" max="10226" width="20.83203125" style="136" customWidth="1"/>
    <col min="10227" max="10227" width="0" style="136" hidden="1" customWidth="1"/>
    <col min="10228" max="10475" width="9.1640625" style="136"/>
    <col min="10476" max="10476" width="21.5" style="136" customWidth="1"/>
    <col min="10477" max="10477" width="16.5" style="136" customWidth="1"/>
    <col min="10478" max="10478" width="18" style="136" customWidth="1"/>
    <col min="10479" max="10479" width="23.6640625" style="136" customWidth="1"/>
    <col min="10480" max="10480" width="26" style="136" customWidth="1"/>
    <col min="10481" max="10481" width="21.5" style="136" customWidth="1"/>
    <col min="10482" max="10482" width="20.83203125" style="136" customWidth="1"/>
    <col min="10483" max="10483" width="0" style="136" hidden="1" customWidth="1"/>
    <col min="10484" max="10731" width="9.1640625" style="136"/>
    <col min="10732" max="10732" width="21.5" style="136" customWidth="1"/>
    <col min="10733" max="10733" width="16.5" style="136" customWidth="1"/>
    <col min="10734" max="10734" width="18" style="136" customWidth="1"/>
    <col min="10735" max="10735" width="23.6640625" style="136" customWidth="1"/>
    <col min="10736" max="10736" width="26" style="136" customWidth="1"/>
    <col min="10737" max="10737" width="21.5" style="136" customWidth="1"/>
    <col min="10738" max="10738" width="20.83203125" style="136" customWidth="1"/>
    <col min="10739" max="10739" width="0" style="136" hidden="1" customWidth="1"/>
    <col min="10740" max="10987" width="9.1640625" style="136"/>
    <col min="10988" max="10988" width="21.5" style="136" customWidth="1"/>
    <col min="10989" max="10989" width="16.5" style="136" customWidth="1"/>
    <col min="10990" max="10990" width="18" style="136" customWidth="1"/>
    <col min="10991" max="10991" width="23.6640625" style="136" customWidth="1"/>
    <col min="10992" max="10992" width="26" style="136" customWidth="1"/>
    <col min="10993" max="10993" width="21.5" style="136" customWidth="1"/>
    <col min="10994" max="10994" width="20.83203125" style="136" customWidth="1"/>
    <col min="10995" max="10995" width="0" style="136" hidden="1" customWidth="1"/>
    <col min="10996" max="11243" width="9.1640625" style="136"/>
    <col min="11244" max="11244" width="21.5" style="136" customWidth="1"/>
    <col min="11245" max="11245" width="16.5" style="136" customWidth="1"/>
    <col min="11246" max="11246" width="18" style="136" customWidth="1"/>
    <col min="11247" max="11247" width="23.6640625" style="136" customWidth="1"/>
    <col min="11248" max="11248" width="26" style="136" customWidth="1"/>
    <col min="11249" max="11249" width="21.5" style="136" customWidth="1"/>
    <col min="11250" max="11250" width="20.83203125" style="136" customWidth="1"/>
    <col min="11251" max="11251" width="0" style="136" hidden="1" customWidth="1"/>
    <col min="11252" max="11499" width="9.1640625" style="136"/>
    <col min="11500" max="11500" width="21.5" style="136" customWidth="1"/>
    <col min="11501" max="11501" width="16.5" style="136" customWidth="1"/>
    <col min="11502" max="11502" width="18" style="136" customWidth="1"/>
    <col min="11503" max="11503" width="23.6640625" style="136" customWidth="1"/>
    <col min="11504" max="11504" width="26" style="136" customWidth="1"/>
    <col min="11505" max="11505" width="21.5" style="136" customWidth="1"/>
    <col min="11506" max="11506" width="20.83203125" style="136" customWidth="1"/>
    <col min="11507" max="11507" width="0" style="136" hidden="1" customWidth="1"/>
    <col min="11508" max="11755" width="9.1640625" style="136"/>
    <col min="11756" max="11756" width="21.5" style="136" customWidth="1"/>
    <col min="11757" max="11757" width="16.5" style="136" customWidth="1"/>
    <col min="11758" max="11758" width="18" style="136" customWidth="1"/>
    <col min="11759" max="11759" width="23.6640625" style="136" customWidth="1"/>
    <col min="11760" max="11760" width="26" style="136" customWidth="1"/>
    <col min="11761" max="11761" width="21.5" style="136" customWidth="1"/>
    <col min="11762" max="11762" width="20.83203125" style="136" customWidth="1"/>
    <col min="11763" max="11763" width="0" style="136" hidden="1" customWidth="1"/>
    <col min="11764" max="12011" width="9.1640625" style="136"/>
    <col min="12012" max="12012" width="21.5" style="136" customWidth="1"/>
    <col min="12013" max="12013" width="16.5" style="136" customWidth="1"/>
    <col min="12014" max="12014" width="18" style="136" customWidth="1"/>
    <col min="12015" max="12015" width="23.6640625" style="136" customWidth="1"/>
    <col min="12016" max="12016" width="26" style="136" customWidth="1"/>
    <col min="12017" max="12017" width="21.5" style="136" customWidth="1"/>
    <col min="12018" max="12018" width="20.83203125" style="136" customWidth="1"/>
    <col min="12019" max="12019" width="0" style="136" hidden="1" customWidth="1"/>
    <col min="12020" max="12267" width="9.1640625" style="136"/>
    <col min="12268" max="12268" width="21.5" style="136" customWidth="1"/>
    <col min="12269" max="12269" width="16.5" style="136" customWidth="1"/>
    <col min="12270" max="12270" width="18" style="136" customWidth="1"/>
    <col min="12271" max="12271" width="23.6640625" style="136" customWidth="1"/>
    <col min="12272" max="12272" width="26" style="136" customWidth="1"/>
    <col min="12273" max="12273" width="21.5" style="136" customWidth="1"/>
    <col min="12274" max="12274" width="20.83203125" style="136" customWidth="1"/>
    <col min="12275" max="12275" width="0" style="136" hidden="1" customWidth="1"/>
    <col min="12276" max="12523" width="9.1640625" style="136"/>
    <col min="12524" max="12524" width="21.5" style="136" customWidth="1"/>
    <col min="12525" max="12525" width="16.5" style="136" customWidth="1"/>
    <col min="12526" max="12526" width="18" style="136" customWidth="1"/>
    <col min="12527" max="12527" width="23.6640625" style="136" customWidth="1"/>
    <col min="12528" max="12528" width="26" style="136" customWidth="1"/>
    <col min="12529" max="12529" width="21.5" style="136" customWidth="1"/>
    <col min="12530" max="12530" width="20.83203125" style="136" customWidth="1"/>
    <col min="12531" max="12531" width="0" style="136" hidden="1" customWidth="1"/>
    <col min="12532" max="12779" width="9.1640625" style="136"/>
    <col min="12780" max="12780" width="21.5" style="136" customWidth="1"/>
    <col min="12781" max="12781" width="16.5" style="136" customWidth="1"/>
    <col min="12782" max="12782" width="18" style="136" customWidth="1"/>
    <col min="12783" max="12783" width="23.6640625" style="136" customWidth="1"/>
    <col min="12784" max="12784" width="26" style="136" customWidth="1"/>
    <col min="12785" max="12785" width="21.5" style="136" customWidth="1"/>
    <col min="12786" max="12786" width="20.83203125" style="136" customWidth="1"/>
    <col min="12787" max="12787" width="0" style="136" hidden="1" customWidth="1"/>
    <col min="12788" max="13035" width="9.1640625" style="136"/>
    <col min="13036" max="13036" width="21.5" style="136" customWidth="1"/>
    <col min="13037" max="13037" width="16.5" style="136" customWidth="1"/>
    <col min="13038" max="13038" width="18" style="136" customWidth="1"/>
    <col min="13039" max="13039" width="23.6640625" style="136" customWidth="1"/>
    <col min="13040" max="13040" width="26" style="136" customWidth="1"/>
    <col min="13041" max="13041" width="21.5" style="136" customWidth="1"/>
    <col min="13042" max="13042" width="20.83203125" style="136" customWidth="1"/>
    <col min="13043" max="13043" width="0" style="136" hidden="1" customWidth="1"/>
    <col min="13044" max="13291" width="9.1640625" style="136"/>
    <col min="13292" max="13292" width="21.5" style="136" customWidth="1"/>
    <col min="13293" max="13293" width="16.5" style="136" customWidth="1"/>
    <col min="13294" max="13294" width="18" style="136" customWidth="1"/>
    <col min="13295" max="13295" width="23.6640625" style="136" customWidth="1"/>
    <col min="13296" max="13296" width="26" style="136" customWidth="1"/>
    <col min="13297" max="13297" width="21.5" style="136" customWidth="1"/>
    <col min="13298" max="13298" width="20.83203125" style="136" customWidth="1"/>
    <col min="13299" max="13299" width="0" style="136" hidden="1" customWidth="1"/>
    <col min="13300" max="13547" width="9.1640625" style="136"/>
    <col min="13548" max="13548" width="21.5" style="136" customWidth="1"/>
    <col min="13549" max="13549" width="16.5" style="136" customWidth="1"/>
    <col min="13550" max="13550" width="18" style="136" customWidth="1"/>
    <col min="13551" max="13551" width="23.6640625" style="136" customWidth="1"/>
    <col min="13552" max="13552" width="26" style="136" customWidth="1"/>
    <col min="13553" max="13553" width="21.5" style="136" customWidth="1"/>
    <col min="13554" max="13554" width="20.83203125" style="136" customWidth="1"/>
    <col min="13555" max="13555" width="0" style="136" hidden="1" customWidth="1"/>
    <col min="13556" max="13803" width="9.1640625" style="136"/>
    <col min="13804" max="13804" width="21.5" style="136" customWidth="1"/>
    <col min="13805" max="13805" width="16.5" style="136" customWidth="1"/>
    <col min="13806" max="13806" width="18" style="136" customWidth="1"/>
    <col min="13807" max="13807" width="23.6640625" style="136" customWidth="1"/>
    <col min="13808" max="13808" width="26" style="136" customWidth="1"/>
    <col min="13809" max="13809" width="21.5" style="136" customWidth="1"/>
    <col min="13810" max="13810" width="20.83203125" style="136" customWidth="1"/>
    <col min="13811" max="13811" width="0" style="136" hidden="1" customWidth="1"/>
    <col min="13812" max="14059" width="9.1640625" style="136"/>
    <col min="14060" max="14060" width="21.5" style="136" customWidth="1"/>
    <col min="14061" max="14061" width="16.5" style="136" customWidth="1"/>
    <col min="14062" max="14062" width="18" style="136" customWidth="1"/>
    <col min="14063" max="14063" width="23.6640625" style="136" customWidth="1"/>
    <col min="14064" max="14064" width="26" style="136" customWidth="1"/>
    <col min="14065" max="14065" width="21.5" style="136" customWidth="1"/>
    <col min="14066" max="14066" width="20.83203125" style="136" customWidth="1"/>
    <col min="14067" max="14067" width="0" style="136" hidden="1" customWidth="1"/>
    <col min="14068" max="14315" width="9.1640625" style="136"/>
    <col min="14316" max="14316" width="21.5" style="136" customWidth="1"/>
    <col min="14317" max="14317" width="16.5" style="136" customWidth="1"/>
    <col min="14318" max="14318" width="18" style="136" customWidth="1"/>
    <col min="14319" max="14319" width="23.6640625" style="136" customWidth="1"/>
    <col min="14320" max="14320" width="26" style="136" customWidth="1"/>
    <col min="14321" max="14321" width="21.5" style="136" customWidth="1"/>
    <col min="14322" max="14322" width="20.83203125" style="136" customWidth="1"/>
    <col min="14323" max="14323" width="0" style="136" hidden="1" customWidth="1"/>
    <col min="14324" max="14571" width="9.1640625" style="136"/>
    <col min="14572" max="14572" width="21.5" style="136" customWidth="1"/>
    <col min="14573" max="14573" width="16.5" style="136" customWidth="1"/>
    <col min="14574" max="14574" width="18" style="136" customWidth="1"/>
    <col min="14575" max="14575" width="23.6640625" style="136" customWidth="1"/>
    <col min="14576" max="14576" width="26" style="136" customWidth="1"/>
    <col min="14577" max="14577" width="21.5" style="136" customWidth="1"/>
    <col min="14578" max="14578" width="20.83203125" style="136" customWidth="1"/>
    <col min="14579" max="14579" width="0" style="136" hidden="1" customWidth="1"/>
    <col min="14580" max="14827" width="9.1640625" style="136"/>
    <col min="14828" max="14828" width="21.5" style="136" customWidth="1"/>
    <col min="14829" max="14829" width="16.5" style="136" customWidth="1"/>
    <col min="14830" max="14830" width="18" style="136" customWidth="1"/>
    <col min="14831" max="14831" width="23.6640625" style="136" customWidth="1"/>
    <col min="14832" max="14832" width="26" style="136" customWidth="1"/>
    <col min="14833" max="14833" width="21.5" style="136" customWidth="1"/>
    <col min="14834" max="14834" width="20.83203125" style="136" customWidth="1"/>
    <col min="14835" max="14835" width="0" style="136" hidden="1" customWidth="1"/>
    <col min="14836" max="15083" width="9.1640625" style="136"/>
    <col min="15084" max="15084" width="21.5" style="136" customWidth="1"/>
    <col min="15085" max="15085" width="16.5" style="136" customWidth="1"/>
    <col min="15086" max="15086" width="18" style="136" customWidth="1"/>
    <col min="15087" max="15087" width="23.6640625" style="136" customWidth="1"/>
    <col min="15088" max="15088" width="26" style="136" customWidth="1"/>
    <col min="15089" max="15089" width="21.5" style="136" customWidth="1"/>
    <col min="15090" max="15090" width="20.83203125" style="136" customWidth="1"/>
    <col min="15091" max="15091" width="0" style="136" hidden="1" customWidth="1"/>
    <col min="15092" max="15339" width="9.1640625" style="136"/>
    <col min="15340" max="15340" width="21.5" style="136" customWidth="1"/>
    <col min="15341" max="15341" width="16.5" style="136" customWidth="1"/>
    <col min="15342" max="15342" width="18" style="136" customWidth="1"/>
    <col min="15343" max="15343" width="23.6640625" style="136" customWidth="1"/>
    <col min="15344" max="15344" width="26" style="136" customWidth="1"/>
    <col min="15345" max="15345" width="21.5" style="136" customWidth="1"/>
    <col min="15346" max="15346" width="20.83203125" style="136" customWidth="1"/>
    <col min="15347" max="15347" width="0" style="136" hidden="1" customWidth="1"/>
    <col min="15348" max="15595" width="9.1640625" style="136"/>
    <col min="15596" max="15596" width="21.5" style="136" customWidth="1"/>
    <col min="15597" max="15597" width="16.5" style="136" customWidth="1"/>
    <col min="15598" max="15598" width="18" style="136" customWidth="1"/>
    <col min="15599" max="15599" width="23.6640625" style="136" customWidth="1"/>
    <col min="15600" max="15600" width="26" style="136" customWidth="1"/>
    <col min="15601" max="15601" width="21.5" style="136" customWidth="1"/>
    <col min="15602" max="15602" width="20.83203125" style="136" customWidth="1"/>
    <col min="15603" max="15603" width="0" style="136" hidden="1" customWidth="1"/>
    <col min="15604" max="15851" width="9.1640625" style="136"/>
    <col min="15852" max="15852" width="21.5" style="136" customWidth="1"/>
    <col min="15853" max="15853" width="16.5" style="136" customWidth="1"/>
    <col min="15854" max="15854" width="18" style="136" customWidth="1"/>
    <col min="15855" max="15855" width="23.6640625" style="136" customWidth="1"/>
    <col min="15856" max="15856" width="26" style="136" customWidth="1"/>
    <col min="15857" max="15857" width="21.5" style="136" customWidth="1"/>
    <col min="15858" max="15858" width="20.83203125" style="136" customWidth="1"/>
    <col min="15859" max="15859" width="0" style="136" hidden="1" customWidth="1"/>
    <col min="15860" max="16107" width="9.1640625" style="136"/>
    <col min="16108" max="16108" width="21.5" style="136" customWidth="1"/>
    <col min="16109" max="16109" width="16.5" style="136" customWidth="1"/>
    <col min="16110" max="16110" width="18" style="136" customWidth="1"/>
    <col min="16111" max="16111" width="23.6640625" style="136" customWidth="1"/>
    <col min="16112" max="16112" width="26" style="136" customWidth="1"/>
    <col min="16113" max="16113" width="21.5" style="136" customWidth="1"/>
    <col min="16114" max="16114" width="20.83203125" style="136" customWidth="1"/>
    <col min="16115" max="16115" width="0" style="136" hidden="1" customWidth="1"/>
    <col min="16116" max="16384" width="9.1640625" style="136"/>
  </cols>
  <sheetData>
    <row r="1" spans="2:19" ht="9" customHeight="1" thickBot="1"/>
    <row r="2" spans="2:19" s="138" customFormat="1" ht="30" customHeight="1" thickBot="1">
      <c r="B2" s="160" t="s">
        <v>49</v>
      </c>
      <c r="C2" s="161"/>
      <c r="D2" s="161"/>
      <c r="E2" s="161"/>
      <c r="F2" s="161"/>
      <c r="G2" s="162"/>
      <c r="H2" s="161"/>
      <c r="I2" s="161"/>
      <c r="J2" s="161"/>
      <c r="K2" s="161"/>
      <c r="L2" s="161"/>
      <c r="M2" s="163"/>
      <c r="N2" s="162"/>
      <c r="O2" s="162"/>
      <c r="P2" s="164"/>
    </row>
    <row r="3" spans="2:19">
      <c r="G3" s="165"/>
      <c r="M3" s="166"/>
      <c r="N3" s="167"/>
      <c r="O3" s="167"/>
      <c r="P3" s="167"/>
      <c r="R3" s="909" t="s">
        <v>235</v>
      </c>
      <c r="S3" s="910"/>
    </row>
    <row r="4" spans="2:19" ht="30" customHeight="1">
      <c r="B4" s="139" t="s">
        <v>197</v>
      </c>
      <c r="C4" s="140" t="s">
        <v>196</v>
      </c>
      <c r="D4" s="140" t="s">
        <v>50</v>
      </c>
      <c r="E4" s="140" t="s">
        <v>11</v>
      </c>
      <c r="F4" s="140" t="s">
        <v>54</v>
      </c>
      <c r="G4" s="140" t="s">
        <v>141</v>
      </c>
      <c r="H4" s="140" t="s">
        <v>232</v>
      </c>
      <c r="I4" s="140" t="s">
        <v>259</v>
      </c>
      <c r="J4" s="140" t="s">
        <v>260</v>
      </c>
      <c r="K4" s="140" t="s">
        <v>261</v>
      </c>
      <c r="L4" s="140" t="s">
        <v>262</v>
      </c>
      <c r="M4" s="140" t="s">
        <v>140</v>
      </c>
      <c r="N4" s="140" t="s">
        <v>52</v>
      </c>
      <c r="O4" s="140" t="s">
        <v>53</v>
      </c>
      <c r="P4" s="141" t="s">
        <v>54</v>
      </c>
      <c r="R4" s="905" t="s">
        <v>233</v>
      </c>
      <c r="S4" s="907" t="s">
        <v>234</v>
      </c>
    </row>
    <row r="5" spans="2:19" ht="15.75" customHeight="1">
      <c r="B5" s="142" t="s">
        <v>51</v>
      </c>
      <c r="C5" s="143" t="s">
        <v>48</v>
      </c>
      <c r="D5" s="143" t="s">
        <v>0</v>
      </c>
      <c r="E5" s="143" t="s">
        <v>0</v>
      </c>
      <c r="F5" s="143" t="s">
        <v>0</v>
      </c>
      <c r="G5" s="144" t="s">
        <v>0</v>
      </c>
      <c r="H5" s="144" t="s">
        <v>0</v>
      </c>
      <c r="I5" s="144" t="s">
        <v>0</v>
      </c>
      <c r="J5" s="144" t="s">
        <v>0</v>
      </c>
      <c r="K5" s="143" t="s">
        <v>0</v>
      </c>
      <c r="L5" s="143" t="s">
        <v>0</v>
      </c>
      <c r="M5" s="144" t="s">
        <v>0</v>
      </c>
      <c r="N5" s="144" t="s">
        <v>0</v>
      </c>
      <c r="O5" s="143" t="s">
        <v>1</v>
      </c>
      <c r="P5" s="145" t="s">
        <v>55</v>
      </c>
      <c r="R5" s="906"/>
      <c r="S5" s="908"/>
    </row>
    <row r="6" spans="2:19" ht="15.75" customHeight="1">
      <c r="B6" s="146">
        <v>0</v>
      </c>
      <c r="C6" s="147"/>
      <c r="D6" s="148"/>
      <c r="E6" s="148"/>
      <c r="F6" s="148"/>
      <c r="G6" s="149"/>
      <c r="H6" s="148"/>
      <c r="I6" s="148"/>
      <c r="J6" s="148"/>
      <c r="K6" s="148"/>
      <c r="L6" s="196"/>
      <c r="M6" s="149">
        <f>'Cash Flow'!F70</f>
        <v>-79810656.836137891</v>
      </c>
      <c r="N6" s="149">
        <f>M6</f>
        <v>-79810656.836137891</v>
      </c>
      <c r="O6" s="168"/>
      <c r="P6" s="169"/>
      <c r="R6" s="325"/>
      <c r="S6" s="326"/>
    </row>
    <row r="7" spans="2:19" s="156" customFormat="1">
      <c r="B7" s="151">
        <v>1</v>
      </c>
      <c r="C7" s="152">
        <f>IF($B7&gt;Inputs!$G$17,"",IF($B7&lt;=Inputs!$Q$6,LOOKUP($B7,'Cash Flow'!$F$2:$AJ$2,'Cash Flow'!$F$14:$AJ$14),LOOKUP($B7,'Cash Flow'!$F$2:$AJ$2,'Cash Flow'!$F$16:$AJ$16)))</f>
        <v>18.550000000000008</v>
      </c>
      <c r="D7" s="149">
        <f>IF($B7&gt;Inputs!$G$17,"",LOOKUP($B7,'Cash Flow'!$F$2:$AJ$2,'Cash Flow'!$F$23:$AJ$23))</f>
        <v>20938190.247324467</v>
      </c>
      <c r="E7" s="149">
        <f>IF($B7&gt;Inputs!$G$17,"",LOOKUP($B7,'Cash Flow'!$F$2:$AJ$2,'Cash Flow'!$F$38:$AJ$38))</f>
        <v>-4701870.0288125006</v>
      </c>
      <c r="F7" s="149">
        <f>IF($B7&gt;Inputs!$G$17,"",LOOKUP($B7,'Cash Flow'!$F$2:$AJ$2,'Cash Flow'!$F$88:$AJ$88))</f>
        <v>-7085170.2915028986</v>
      </c>
      <c r="G7" s="149">
        <f>IF($B7&gt;Inputs!$G$17,"",LOOKUP($B7,'Cash Flow'!$F$2:$AJ$2,'Cash Flow'!$F$50:$AJ$50)+LOOKUP($B7,'Cash Flow'!$F$2:$AJ$2,'Cash Flow'!$F$51:$AJ$51))</f>
        <v>0</v>
      </c>
      <c r="H7" s="149">
        <f>IF($B7&gt;Inputs!$G$17,"",SUM(D7:G7))</f>
        <v>9151149.9270090666</v>
      </c>
      <c r="I7" s="149">
        <f>IF($B7&gt;Inputs!$G$17,"",LOOKUP($B7,'Cash Flow'!$F$2:$AJ$2,'Cash Flow'!$F$63:$AJ$63))</f>
        <v>-21566319.336704142</v>
      </c>
      <c r="J7" s="149">
        <f>IF($B7&gt;Inputs!$G$17,"",LOOKUP($B7,'Cash Flow'!$F$2:$AJ$2,'Cash Flow'!$F$64:$AJ$64))</f>
        <v>-21566319.336704142</v>
      </c>
      <c r="K7" s="149">
        <f>IF($B7&gt;Inputs!$G$17,"",LOOKUP($B7,'Cash Flow'!$F$2:$AJ$2,'Cash Flow'!$F$66:$AJ$66)+LOOKUP($B7,'Cash Flow'!$F$2:$AJ$2,'Cash Flow'!$F$68:$AJ$68))</f>
        <v>35202885.274798252</v>
      </c>
      <c r="L7" s="149">
        <f>IF($B7&gt;Inputs!$G$17,"",LOOKUP($B7,'Cash Flow'!$F$2:$AJ$2,'Cash Flow'!$F$67:$AJ$67)+LOOKUP($B7,'Cash Flow'!$F$2:$AJ$2,'Cash Flow'!$F$69:$AJ$69))</f>
        <v>1833137.1436198521</v>
      </c>
      <c r="M7" s="149">
        <f>IF($B7&gt;Inputs!$G$17,"",H7+K7+L7)</f>
        <v>46187172.34542717</v>
      </c>
      <c r="N7" s="149">
        <f>IF($B7&gt;Inputs!$G$17,N6,N6+M7)</f>
        <v>-33623484.49071072</v>
      </c>
      <c r="O7" s="153">
        <f>IF($B7&gt;Inputs!$G$17,"",LOOKUP($B7,'Cash Flow'!$F$2:$AJ$2,'Cash Flow'!$F$71:$AJ$71))</f>
        <v>-0.42129066247060587</v>
      </c>
      <c r="P7" s="154">
        <f>IF($B7&gt;Inputs!$G$17,"",LOOKUP($B7,'Cash Flow'!$F$2:$AJ$2,'Cash Flow'!$F$44:$AJ$44))</f>
        <v>2.2915920931334361</v>
      </c>
      <c r="R7" s="327">
        <f>IF($B7&gt;Inputs!$G$17,"",D7+K7+L7)</f>
        <v>57974212.665742569</v>
      </c>
      <c r="S7" s="328">
        <f>IF($B7&gt;Inputs!$G$17,"",-(E7+F7+G7))</f>
        <v>11787040.320315398</v>
      </c>
    </row>
    <row r="8" spans="2:19" s="156" customFormat="1" ht="15.75" customHeight="1">
      <c r="B8" s="157">
        <v>2</v>
      </c>
      <c r="C8" s="152">
        <f>IF($B8&gt;Inputs!$G$17,"",IF($B8&lt;=Inputs!$Q$6,LOOKUP($B8,'Cash Flow'!$F$2:$AJ$2,'Cash Flow'!$F$14:$AJ$14),LOOKUP($B8,'Cash Flow'!$F$2:$AJ$2,'Cash Flow'!$F$16:$AJ$16)))</f>
        <v>18.550000000000008</v>
      </c>
      <c r="D8" s="149">
        <f>IF($B8&gt;Inputs!$G$17,"",LOOKUP($B8,'Cash Flow'!$F$2:$AJ$2,'Cash Flow'!$F$23:$AJ$23))</f>
        <v>20833988.404824466</v>
      </c>
      <c r="E8" s="149">
        <f>IF($B8&gt;Inputs!$G$17,"",LOOKUP($B8,'Cash Flow'!$F$2:$AJ$2,'Cash Flow'!$F$38:$AJ$38))</f>
        <v>-4761588.06201375</v>
      </c>
      <c r="F8" s="149">
        <f>IF($B8&gt;Inputs!$G$17,"",LOOKUP($B8,'Cash Flow'!$F$2:$AJ$2,'Cash Flow'!$F$88:$AJ$88))</f>
        <v>-7085170.2915028995</v>
      </c>
      <c r="G8" s="149">
        <f>IF($B8&gt;Inputs!$G$17,"",LOOKUP($B8,'Cash Flow'!$F$2:$AJ$2,'Cash Flow'!$F$50:$AJ$50)+LOOKUP($B8,'Cash Flow'!$F$2:$AJ$2,'Cash Flow'!$F$51:$AJ$51))</f>
        <v>0</v>
      </c>
      <c r="H8" s="149">
        <f>IF($B8&gt;Inputs!$G$17,"",SUM(D8:G8))</f>
        <v>8987230.0513078161</v>
      </c>
      <c r="I8" s="149">
        <f>IF($B8&gt;Inputs!$G$17,"",LOOKUP($B8,'Cash Flow'!$F$2:$AJ$2,'Cash Flow'!$F$63:$AJ$63))</f>
        <v>-15511778.001769803</v>
      </c>
      <c r="J8" s="149">
        <f>IF($B8&gt;Inputs!$G$17,"",LOOKUP($B8,'Cash Flow'!$F$2:$AJ$2,'Cash Flow'!$F$64:$AJ$64))</f>
        <v>-15511778.001769803</v>
      </c>
      <c r="K8" s="149">
        <f>IF($B8&gt;Inputs!$G$17,"",LOOKUP($B8,'Cash Flow'!$F$2:$AJ$2,'Cash Flow'!$F$66:$AJ$66)+LOOKUP($B8,'Cash Flow'!$F$2:$AJ$2,'Cash Flow'!$F$68:$AJ$68))</f>
        <v>4967646.9050667789</v>
      </c>
      <c r="L8" s="149">
        <f>IF($B8&gt;Inputs!$G$17,"",LOOKUP($B8,'Cash Flow'!$F$2:$AJ$2,'Cash Flow'!$F$67:$AJ$67)+LOOKUP($B8,'Cash Flow'!$F$2:$AJ$2,'Cash Flow'!$F$69:$AJ$69))</f>
        <v>1318501.1301504334</v>
      </c>
      <c r="M8" s="149">
        <f>IF($B8&gt;Inputs!$G$17,"",H8+K8+L8)</f>
        <v>15273378.086525029</v>
      </c>
      <c r="N8" s="149">
        <f>IF($B8&gt;Inputs!$G$17,N7,N7+M8)</f>
        <v>-18350106.40418569</v>
      </c>
      <c r="O8" s="153">
        <f>IF($B8&gt;Inputs!$G$17,"",LOOKUP($B8,'Cash Flow'!$F$2:$AJ$2,'Cash Flow'!$F$71:$AJ$71))</f>
        <v>-0.18614911265064804</v>
      </c>
      <c r="P8" s="154">
        <f>IF($B8&gt;Inputs!$G$17,"",LOOKUP($B8,'Cash Flow'!$F$2:$AJ$2,'Cash Flow'!$F$44:$AJ$44))</f>
        <v>2.2684564635074502</v>
      </c>
      <c r="R8" s="327">
        <f>IF($B8&gt;Inputs!$G$17,"",D8+K8+L8)</f>
        <v>27120136.44004168</v>
      </c>
      <c r="S8" s="328">
        <f>IF($B8&gt;Inputs!$G$17,"",-(E8+F8+G8))</f>
        <v>11846758.353516649</v>
      </c>
    </row>
    <row r="9" spans="2:19">
      <c r="B9" s="151">
        <v>3</v>
      </c>
      <c r="C9" s="152">
        <f>IF($B9&gt;Inputs!$G$17,"",IF($B9&lt;=Inputs!$Q$6,LOOKUP($B9,'Cash Flow'!$F$2:$AJ$2,'Cash Flow'!$F$14:$AJ$14),LOOKUP($B9,'Cash Flow'!$F$2:$AJ$2,'Cash Flow'!$F$16:$AJ$16)))</f>
        <v>18.550000000000008</v>
      </c>
      <c r="D9" s="149">
        <f>IF($B9&gt;Inputs!$G$17,"",LOOKUP($B9,'Cash Flow'!$F$2:$AJ$2,'Cash Flow'!$F$23:$AJ$23))</f>
        <v>20730307.571536962</v>
      </c>
      <c r="E9" s="149">
        <f>IF($B9&gt;Inputs!$G$17,"",LOOKUP($B9,'Cash Flow'!$F$2:$AJ$2,'Cash Flow'!$F$38:$AJ$38))</f>
        <v>-4822322.489804999</v>
      </c>
      <c r="F9" s="149">
        <f>IF($B9&gt;Inputs!$G$17,"",LOOKUP($B9,'Cash Flow'!$F$2:$AJ$2,'Cash Flow'!$F$88:$AJ$88))</f>
        <v>-7085170.2915028986</v>
      </c>
      <c r="G9" s="149">
        <f>IF($B9&gt;Inputs!$G$17,"",LOOKUP($B9,'Cash Flow'!$F$2:$AJ$2,'Cash Flow'!$F$50:$AJ$50)+LOOKUP($B9,'Cash Flow'!$F$2:$AJ$2,'Cash Flow'!$F$51:$AJ$51))</f>
        <v>0</v>
      </c>
      <c r="H9" s="149">
        <f>IF($B9&gt;Inputs!$G$17,"",SUM(D9:G9))</f>
        <v>8822814.7902290653</v>
      </c>
      <c r="I9" s="149">
        <f>IF($B9&gt;Inputs!$G$17,"",LOOKUP($B9,'Cash Flow'!$F$2:$AJ$2,'Cash Flow'!$F$63:$AJ$63))</f>
        <v>-4868676.0053469799</v>
      </c>
      <c r="J9" s="149">
        <f>IF($B9&gt;Inputs!$G$17,"",LOOKUP($B9,'Cash Flow'!$F$2:$AJ$2,'Cash Flow'!$F$64:$AJ$64))</f>
        <v>-4868676.0053469799</v>
      </c>
      <c r="K9" s="149">
        <f>IF($B9&gt;Inputs!$G$17,"",LOOKUP($B9,'Cash Flow'!$F$2:$AJ$2,'Cash Flow'!$F$66:$AJ$66)+LOOKUP($B9,'Cash Flow'!$F$2:$AJ$2,'Cash Flow'!$F$68:$AJ$68))</f>
        <v>1559193.49071237</v>
      </c>
      <c r="L9" s="149">
        <f>IF($B9&gt;Inputs!$G$17,"",LOOKUP($B9,'Cash Flow'!$F$2:$AJ$2,'Cash Flow'!$F$67:$AJ$67)+LOOKUP($B9,'Cash Flow'!$F$2:$AJ$2,'Cash Flow'!$F$69:$AJ$69))</f>
        <v>413837.46045449335</v>
      </c>
      <c r="M9" s="149">
        <f>IF($B9&gt;Inputs!$G$17,"",H9+K9+L9)</f>
        <v>10795845.74139593</v>
      </c>
      <c r="N9" s="149">
        <f>IF($B9&gt;Inputs!$G$17,N8,N8+M9)</f>
        <v>-7554260.6627897602</v>
      </c>
      <c r="O9" s="153">
        <f>IF($B9&gt;Inputs!$G$17,"",LOOKUP($B9,'Cash Flow'!$F$2:$AJ$2,'Cash Flow'!$F$71:$AJ$71))</f>
        <v>-6.2989715094042609E-2</v>
      </c>
      <c r="P9" s="154">
        <f>IF($B9&gt;Inputs!$G$17,"",LOOKUP($B9,'Cash Flow'!$F$2:$AJ$2,'Cash Flow'!$F$44:$AJ$44))</f>
        <v>2.2452509152546538</v>
      </c>
      <c r="R9" s="327">
        <f>IF($B9&gt;Inputs!$G$17,"",D9+K9+L9)</f>
        <v>22703338.522703826</v>
      </c>
      <c r="S9" s="328">
        <f>IF($B9&gt;Inputs!$G$17,"",-(E9+F9+G9))</f>
        <v>11907492.781307898</v>
      </c>
    </row>
    <row r="10" spans="2:19">
      <c r="B10" s="151">
        <v>4</v>
      </c>
      <c r="C10" s="152">
        <f>IF($B10&gt;Inputs!$G$17,"",IF($B10&lt;=Inputs!$Q$6,LOOKUP($B10,'Cash Flow'!$F$2:$AJ$2,'Cash Flow'!$F$14:$AJ$14),LOOKUP($B10,'Cash Flow'!$F$2:$AJ$2,'Cash Flow'!$F$16:$AJ$16)))</f>
        <v>18.550000000000008</v>
      </c>
      <c r="D10" s="149">
        <f>IF($B10&gt;Inputs!$G$17,"",LOOKUP($B10,'Cash Flow'!$F$2:$AJ$2,'Cash Flow'!$F$23:$AJ$23))</f>
        <v>20627145.1424159</v>
      </c>
      <c r="E10" s="149">
        <f>IF($B10&gt;Inputs!$G$17,"",LOOKUP($B10,'Cash Flow'!$F$2:$AJ$2,'Cash Flow'!$F$38:$AJ$38))</f>
        <v>-4884089.4331710478</v>
      </c>
      <c r="F10" s="149">
        <f>IF($B10&gt;Inputs!$G$17,"",LOOKUP($B10,'Cash Flow'!$F$2:$AJ$2,'Cash Flow'!$F$88:$AJ$88))</f>
        <v>-7085170.2915028995</v>
      </c>
      <c r="G10" s="149">
        <f>IF($B10&gt;Inputs!$G$17,"",LOOKUP($B10,'Cash Flow'!$F$2:$AJ$2,'Cash Flow'!$F$50:$AJ$50)+LOOKUP($B10,'Cash Flow'!$F$2:$AJ$2,'Cash Flow'!$F$51:$AJ$51))</f>
        <v>0</v>
      </c>
      <c r="H10" s="149">
        <f>IF($B10&gt;Inputs!$G$17,"",SUM(D10:G10))</f>
        <v>8657885.4177419506</v>
      </c>
      <c r="I10" s="149">
        <f>IF($B10&gt;Inputs!$G$17,"",LOOKUP($B10,'Cash Flow'!$F$2:$AJ$2,'Cash Flow'!$F$63:$AJ$63))</f>
        <v>1006593.7754807808</v>
      </c>
      <c r="J10" s="149">
        <f>IF($B10&gt;Inputs!$G$17,"",LOOKUP($B10,'Cash Flow'!$F$2:$AJ$2,'Cash Flow'!$F$64:$AJ$64))</f>
        <v>1006593.7754807808</v>
      </c>
      <c r="K10" s="149">
        <f>IF($B10&gt;Inputs!$G$17,"",LOOKUP($B10,'Cash Flow'!$F$2:$AJ$2,'Cash Flow'!$F$66:$AJ$66)+LOOKUP($B10,'Cash Flow'!$F$2:$AJ$2,'Cash Flow'!$F$68:$AJ$68))</f>
        <v>-322361.65659772005</v>
      </c>
      <c r="L10" s="149">
        <f>IF($B10&gt;Inputs!$G$17,"",LOOKUP($B10,'Cash Flow'!$F$2:$AJ$2,'Cash Flow'!$F$67:$AJ$67)+LOOKUP($B10,'Cash Flow'!$F$2:$AJ$2,'Cash Flow'!$F$69:$AJ$69))</f>
        <v>-85560.470915866375</v>
      </c>
      <c r="M10" s="149">
        <f>IF($B10&gt;Inputs!$G$17,"",H10+K10+L10)</f>
        <v>8249963.2902283641</v>
      </c>
      <c r="N10" s="149">
        <f>IF($B10&gt;Inputs!$G$17,N9,N9+M10)</f>
        <v>695702.6274386039</v>
      </c>
      <c r="O10" s="153">
        <f>IF($B10&gt;Inputs!$G$17,"",LOOKUP($B10,'Cash Flow'!$F$2:$AJ$2,'Cash Flow'!$F$71:$AJ$71))</f>
        <v>4.9358304362570049E-3</v>
      </c>
      <c r="P10" s="154">
        <f>IF($B10&gt;Inputs!$G$17,"",LOOKUP($B10,'Cash Flow'!$F$2:$AJ$2,'Cash Flow'!$F$44:$AJ$44))</f>
        <v>2.2219728053855214</v>
      </c>
      <c r="R10" s="327">
        <f>IF($B10&gt;Inputs!$G$17,"",D10+K10+L10)</f>
        <v>20219223.014902316</v>
      </c>
      <c r="S10" s="328">
        <f>IF($B10&gt;Inputs!$G$17,"",-(E10+F10+G10))</f>
        <v>11969259.724673947</v>
      </c>
    </row>
    <row r="11" spans="2:19">
      <c r="B11" s="157">
        <v>5</v>
      </c>
      <c r="C11" s="152">
        <f>IF($B11&gt;Inputs!$G$17,"",IF($B11&lt;=Inputs!$Q$6,LOOKUP($B11,'Cash Flow'!$F$2:$AJ$2,'Cash Flow'!$F$14:$AJ$14),LOOKUP($B11,'Cash Flow'!$F$2:$AJ$2,'Cash Flow'!$F$16:$AJ$16)))</f>
        <v>18.550000000000008</v>
      </c>
      <c r="D11" s="149">
        <f>IF($B11&gt;Inputs!$G$17,"",LOOKUP($B11,'Cash Flow'!$F$2:$AJ$2,'Cash Flow'!$F$23:$AJ$23))</f>
        <v>20524498.525440443</v>
      </c>
      <c r="E11" s="149">
        <f>IF($B11&gt;Inputs!$G$17,"",LOOKUP($B11,'Cash Flow'!$F$2:$AJ$2,'Cash Flow'!$F$38:$AJ$38))</f>
        <v>-4946905.2806095351</v>
      </c>
      <c r="F11" s="149">
        <f>IF($B11&gt;Inputs!$G$17,"",LOOKUP($B11,'Cash Flow'!$F$2:$AJ$2,'Cash Flow'!$F$88:$AJ$88))</f>
        <v>-7085170.2915028995</v>
      </c>
      <c r="G11" s="149">
        <f>IF($B11&gt;Inputs!$G$17,"",LOOKUP($B11,'Cash Flow'!$F$2:$AJ$2,'Cash Flow'!$F$50:$AJ$50)+LOOKUP($B11,'Cash Flow'!$F$2:$AJ$2,'Cash Flow'!$F$51:$AJ$51))</f>
        <v>0</v>
      </c>
      <c r="H11" s="149">
        <f>IF($B11&gt;Inputs!$G$17,"",SUM(D11:G11))</f>
        <v>8492422.9533280097</v>
      </c>
      <c r="I11" s="149">
        <f>IF($B11&gt;Inputs!$G$17,"",LOOKUP($B11,'Cash Flow'!$F$2:$AJ$2,'Cash Flow'!$F$63:$AJ$63))</f>
        <v>1037351.4815835785</v>
      </c>
      <c r="J11" s="149">
        <f>IF($B11&gt;Inputs!$G$17,"",LOOKUP($B11,'Cash Flow'!$F$2:$AJ$2,'Cash Flow'!$F$64:$AJ$64))</f>
        <v>1037351.4815835785</v>
      </c>
      <c r="K11" s="149">
        <f>IF($B11&gt;Inputs!$G$17,"",LOOKUP($B11,'Cash Flow'!$F$2:$AJ$2,'Cash Flow'!$F$66:$AJ$66)+LOOKUP($B11,'Cash Flow'!$F$2:$AJ$2,'Cash Flow'!$F$68:$AJ$68))</f>
        <v>-332211.81197714101</v>
      </c>
      <c r="L11" s="149">
        <f>IF($B11&gt;Inputs!$G$17,"",LOOKUP($B11,'Cash Flow'!$F$2:$AJ$2,'Cash Flow'!$F$67:$AJ$67)+LOOKUP($B11,'Cash Flow'!$F$2:$AJ$2,'Cash Flow'!$F$69:$AJ$69))</f>
        <v>-88174.875934604177</v>
      </c>
      <c r="M11" s="149">
        <f>IF($B11&gt;Inputs!$G$17,"",H11+K11+L11)</f>
        <v>8072036.2654162645</v>
      </c>
      <c r="N11" s="149">
        <f>IF($B11&gt;Inputs!$G$17,N10,N10+M11)</f>
        <v>8767738.8928548694</v>
      </c>
      <c r="O11" s="153">
        <f>IF($B11&gt;Inputs!$G$17,"",LOOKUP($B11,'Cash Flow'!$F$2:$AJ$2,'Cash Flow'!$F$71:$AJ$71))</f>
        <v>5.3121141511872416E-2</v>
      </c>
      <c r="P11" s="154">
        <f>IF($B11&gt;Inputs!$G$17,"",LOOKUP($B11,'Cash Flow'!$F$2:$AJ$2,'Cash Flow'!$F$44:$AJ$44))</f>
        <v>2.1986194549921825</v>
      </c>
      <c r="R11" s="327">
        <f>IF($B11&gt;Inputs!$G$17,"",D11+K11+L11)</f>
        <v>20104111.837528698</v>
      </c>
      <c r="S11" s="328">
        <f>IF($B11&gt;Inputs!$G$17,"",-(E11+F11+G11))</f>
        <v>12032075.572112434</v>
      </c>
    </row>
    <row r="12" spans="2:19">
      <c r="B12" s="151">
        <v>6</v>
      </c>
      <c r="C12" s="152">
        <f>IF($B12&gt;Inputs!$G$17,"",IF($B12&lt;=Inputs!$Q$6,LOOKUP($B12,'Cash Flow'!$F$2:$AJ$2,'Cash Flow'!$F$14:$AJ$14),LOOKUP($B12,'Cash Flow'!$F$2:$AJ$2,'Cash Flow'!$F$16:$AJ$16)))</f>
        <v>18.550000000000008</v>
      </c>
      <c r="D12" s="149">
        <f>IF($B12&gt;Inputs!$G$17,"",LOOKUP($B12,'Cash Flow'!$F$2:$AJ$2,'Cash Flow'!$F$23:$AJ$23))</f>
        <v>20422365.141549863</v>
      </c>
      <c r="E12" s="149">
        <f>IF($B12&gt;Inputs!$G$17,"",LOOKUP($B12,'Cash Flow'!$F$2:$AJ$2,'Cash Flow'!$F$38:$AJ$38))</f>
        <v>-5010786.6926242122</v>
      </c>
      <c r="F12" s="149">
        <f>IF($B12&gt;Inputs!$G$17,"",LOOKUP($B12,'Cash Flow'!$F$2:$AJ$2,'Cash Flow'!$F$88:$AJ$88))</f>
        <v>-7085170.2915028986</v>
      </c>
      <c r="G12" s="149">
        <f>IF($B12&gt;Inputs!$G$17,"",LOOKUP($B12,'Cash Flow'!$F$2:$AJ$2,'Cash Flow'!$F$50:$AJ$50)+LOOKUP($B12,'Cash Flow'!$F$2:$AJ$2,'Cash Flow'!$F$51:$AJ$51))</f>
        <v>0</v>
      </c>
      <c r="H12" s="149">
        <f>IF($B12&gt;Inputs!$G$17,"",SUM(D12:G12))</f>
        <v>8326408.1574227531</v>
      </c>
      <c r="I12" s="149">
        <f>IF($B12&gt;Inputs!$G$17,"",LOOKUP($B12,'Cash Flow'!$F$2:$AJ$2,'Cash Flow'!$F$63:$AJ$63))</f>
        <v>5819353.4353876235</v>
      </c>
      <c r="J12" s="149">
        <f>IF($B12&gt;Inputs!$G$17,"",LOOKUP($B12,'Cash Flow'!$F$2:$AJ$2,'Cash Flow'!$F$64:$AJ$64))</f>
        <v>5819353.4353876235</v>
      </c>
      <c r="K12" s="149">
        <f>IF($B12&gt;Inputs!$G$17,"",LOOKUP($B12,'Cash Flow'!$F$2:$AJ$2,'Cash Flow'!$F$66:$AJ$66)+LOOKUP($B12,'Cash Flow'!$F$2:$AJ$2,'Cash Flow'!$F$68:$AJ$68))</f>
        <v>-1863647.9376828861</v>
      </c>
      <c r="L12" s="149">
        <f>IF($B12&gt;Inputs!$G$17,"",LOOKUP($B12,'Cash Flow'!$F$2:$AJ$2,'Cash Flow'!$F$67:$AJ$67)+LOOKUP($B12,'Cash Flow'!$F$2:$AJ$2,'Cash Flow'!$F$69:$AJ$69))</f>
        <v>-494645.04200794804</v>
      </c>
      <c r="M12" s="149">
        <f>IF($B12&gt;Inputs!$G$17,"",H12+K12+L12)</f>
        <v>5968115.1777319191</v>
      </c>
      <c r="N12" s="149">
        <f>IF($B12&gt;Inputs!$G$17,N11,N11+M12)</f>
        <v>14735854.070586789</v>
      </c>
      <c r="O12" s="153">
        <f>IF($B12&gt;Inputs!$G$17,"",LOOKUP($B12,'Cash Flow'!$F$2:$AJ$2,'Cash Flow'!$F$71:$AJ$71))</f>
        <v>7.9606414507810586E-2</v>
      </c>
      <c r="P12" s="154">
        <f>IF($B12&gt;Inputs!$G$17,"",LOOKUP($B12,'Cash Flow'!$F$2:$AJ$2,'Cash Flow'!$F$44:$AJ$44))</f>
        <v>2.1751881486050442</v>
      </c>
      <c r="R12" s="327">
        <f>IF($B12&gt;Inputs!$G$17,"",D12+K12+L12)</f>
        <v>18064072.161859028</v>
      </c>
      <c r="S12" s="328">
        <f>IF($B12&gt;Inputs!$G$17,"",-(E12+F12+G12))</f>
        <v>12095956.984127112</v>
      </c>
    </row>
    <row r="13" spans="2:19">
      <c r="B13" s="151">
        <v>7</v>
      </c>
      <c r="C13" s="152">
        <f>IF($B13&gt;Inputs!$G$17,"",IF($B13&lt;=Inputs!$Q$6,LOOKUP($B13,'Cash Flow'!$F$2:$AJ$2,'Cash Flow'!$F$14:$AJ$14),LOOKUP($B13,'Cash Flow'!$F$2:$AJ$2,'Cash Flow'!$F$16:$AJ$16)))</f>
        <v>18.550000000000008</v>
      </c>
      <c r="D13" s="149">
        <f>IF($B13&gt;Inputs!$G$17,"",LOOKUP($B13,'Cash Flow'!$F$2:$AJ$2,'Cash Flow'!$F$23:$AJ$23))</f>
        <v>20320742.424578737</v>
      </c>
      <c r="E13" s="149">
        <f>IF($B13&gt;Inputs!$G$17,"",LOOKUP($B13,'Cash Flow'!$F$2:$AJ$2,'Cash Flow'!$F$38:$AJ$38))</f>
        <v>-5075750.6062954944</v>
      </c>
      <c r="F13" s="149">
        <f>IF($B13&gt;Inputs!$G$17,"",LOOKUP($B13,'Cash Flow'!$F$2:$AJ$2,'Cash Flow'!$F$88:$AJ$88))</f>
        <v>-7085170.2915028995</v>
      </c>
      <c r="G13" s="149">
        <f>IF($B13&gt;Inputs!$G$17,"",LOOKUP($B13,'Cash Flow'!$F$2:$AJ$2,'Cash Flow'!$F$50:$AJ$50)+LOOKUP($B13,'Cash Flow'!$F$2:$AJ$2,'Cash Flow'!$F$51:$AJ$51))</f>
        <v>0</v>
      </c>
      <c r="H13" s="149">
        <f>IF($B13&gt;Inputs!$G$17,"",SUM(D13:G13))</f>
        <v>8159821.5267803436</v>
      </c>
      <c r="I13" s="149">
        <f>IF($B13&gt;Inputs!$G$17,"",LOOKUP($B13,'Cash Flow'!$F$2:$AJ$2,'Cash Flow'!$F$63:$AJ$63))</f>
        <v>10686355.959092777</v>
      </c>
      <c r="J13" s="149">
        <f>IF($B13&gt;Inputs!$G$17,"",LOOKUP($B13,'Cash Flow'!$F$2:$AJ$2,'Cash Flow'!$F$64:$AJ$64))</f>
        <v>10686355.959092777</v>
      </c>
      <c r="K13" s="149">
        <f>IF($B13&gt;Inputs!$G$17,"",LOOKUP($B13,'Cash Flow'!$F$2:$AJ$2,'Cash Flow'!$F$66:$AJ$66)+LOOKUP($B13,'Cash Flow'!$F$2:$AJ$2,'Cash Flow'!$F$68:$AJ$68))</f>
        <v>-3422305.4958994617</v>
      </c>
      <c r="L13" s="149">
        <f>IF($B13&gt;Inputs!$G$17,"",LOOKUP($B13,'Cash Flow'!$F$2:$AJ$2,'Cash Flow'!$F$67:$AJ$67)+LOOKUP($B13,'Cash Flow'!$F$2:$AJ$2,'Cash Flow'!$F$69:$AJ$69))</f>
        <v>-908340.25652288611</v>
      </c>
      <c r="M13" s="149">
        <f>IF($B13&gt;Inputs!$G$17,"",H13+K13+L13)</f>
        <v>3829175.7743579955</v>
      </c>
      <c r="N13" s="149">
        <f>IF($B13&gt;Inputs!$G$17,N12,N12+M13)</f>
        <v>18565029.844944786</v>
      </c>
      <c r="O13" s="153">
        <f>IF($B13&gt;Inputs!$G$17,"",LOOKUP($B13,'Cash Flow'!$F$2:$AJ$2,'Cash Flow'!$F$71:$AJ$71))</f>
        <v>9.3060164317027461E-2</v>
      </c>
      <c r="P13" s="154">
        <f>IF($B13&gt;Inputs!$G$17,"",LOOKUP($B13,'Cash Flow'!$F$2:$AJ$2,'Cash Flow'!$F$44:$AJ$44))</f>
        <v>2.1516761335385617</v>
      </c>
      <c r="R13" s="327">
        <f>IF($B13&gt;Inputs!$G$17,"",D13+K13+L13)</f>
        <v>15990096.67215639</v>
      </c>
      <c r="S13" s="328">
        <f>IF($B13&gt;Inputs!$G$17,"",-(E13+F13+G13))</f>
        <v>12160920.897798393</v>
      </c>
    </row>
    <row r="14" spans="2:19">
      <c r="B14" s="157">
        <v>8</v>
      </c>
      <c r="C14" s="152">
        <f>IF($B14&gt;Inputs!$G$17,"",IF($B14&lt;=Inputs!$Q$6,LOOKUP($B14,'Cash Flow'!$F$2:$AJ$2,'Cash Flow'!$F$14:$AJ$14),LOOKUP($B14,'Cash Flow'!$F$2:$AJ$2,'Cash Flow'!$F$16:$AJ$16)))</f>
        <v>18.550000000000008</v>
      </c>
      <c r="D14" s="149">
        <f>IF($B14&gt;Inputs!$G$17,"",LOOKUP($B14,'Cash Flow'!$F$2:$AJ$2,'Cash Flow'!$F$23:$AJ$23))</f>
        <v>20219627.821192462</v>
      </c>
      <c r="E14" s="149">
        <f>IF($B14&gt;Inputs!$G$17,"",LOOKUP($B14,'Cash Flow'!$F$2:$AJ$2,'Cash Flow'!$F$38:$AJ$38))</f>
        <v>-5141814.2399296593</v>
      </c>
      <c r="F14" s="149">
        <f>IF($B14&gt;Inputs!$G$17,"",LOOKUP($B14,'Cash Flow'!$F$2:$AJ$2,'Cash Flow'!$F$88:$AJ$88))</f>
        <v>-7085170.2915029004</v>
      </c>
      <c r="G14" s="149">
        <f>IF($B14&gt;Inputs!$G$17,"",LOOKUP($B14,'Cash Flow'!$F$2:$AJ$2,'Cash Flow'!$F$50:$AJ$50)+LOOKUP($B14,'Cash Flow'!$F$2:$AJ$2,'Cash Flow'!$F$51:$AJ$51))</f>
        <v>0</v>
      </c>
      <c r="H14" s="149">
        <f>IF($B14&gt;Inputs!$G$17,"",SUM(D14:G14))</f>
        <v>7992643.2897599023</v>
      </c>
      <c r="I14" s="149">
        <f>IF($B14&gt;Inputs!$G$17,"",LOOKUP($B14,'Cash Flow'!$F$2:$AJ$2,'Cash Flow'!$F$63:$AJ$63))</f>
        <v>10794415.917795675</v>
      </c>
      <c r="J14" s="149">
        <f>IF($B14&gt;Inputs!$G$17,"",LOOKUP($B14,'Cash Flow'!$F$2:$AJ$2,'Cash Flow'!$F$64:$AJ$64))</f>
        <v>10794415.917795675</v>
      </c>
      <c r="K14" s="149">
        <f>IF($B14&gt;Inputs!$G$17,"",LOOKUP($B14,'Cash Flow'!$F$2:$AJ$2,'Cash Flow'!$F$66:$AJ$66)+LOOKUP($B14,'Cash Flow'!$F$2:$AJ$2,'Cash Flow'!$F$68:$AJ$68))</f>
        <v>-3456911.6976740644</v>
      </c>
      <c r="L14" s="149">
        <f>IF($B14&gt;Inputs!$G$17,"",LOOKUP($B14,'Cash Flow'!$F$2:$AJ$2,'Cash Flow'!$F$67:$AJ$67)+LOOKUP($B14,'Cash Flow'!$F$2:$AJ$2,'Cash Flow'!$F$69:$AJ$69))</f>
        <v>-917525.35301263246</v>
      </c>
      <c r="M14" s="149">
        <f>IF($B14&gt;Inputs!$G$17,"",H14+K14+L14)</f>
        <v>3618206.2390732057</v>
      </c>
      <c r="N14" s="149">
        <f>IF($B14&gt;Inputs!$G$17,N13,N13+M14)</f>
        <v>22183236.084017992</v>
      </c>
      <c r="O14" s="153">
        <f>IF($B14&gt;Inputs!$G$17,"",LOOKUP($B14,'Cash Flow'!$F$2:$AJ$2,'Cash Flow'!$F$71:$AJ$71))</f>
        <v>0.10344436209701935</v>
      </c>
      <c r="P14" s="154">
        <f>IF($B14&gt;Inputs!$G$17,"",LOOKUP($B14,'Cash Flow'!$F$2:$AJ$2,'Cash Flow'!$F$44:$AJ$44))</f>
        <v>2.1280806192259507</v>
      </c>
      <c r="R14" s="327">
        <f>IF($B14&gt;Inputs!$G$17,"",D14+K14+L14)</f>
        <v>15845190.770505765</v>
      </c>
      <c r="S14" s="328">
        <f>IF($B14&gt;Inputs!$G$17,"",-(E14+F14+G14))</f>
        <v>12226984.53143256</v>
      </c>
    </row>
    <row r="15" spans="2:19">
      <c r="B15" s="151">
        <v>9</v>
      </c>
      <c r="C15" s="152">
        <f>IF($B15&gt;Inputs!$G$17,"",IF($B15&lt;=Inputs!$Q$6,LOOKUP($B15,'Cash Flow'!$F$2:$AJ$2,'Cash Flow'!$F$14:$AJ$14),LOOKUP($B15,'Cash Flow'!$F$2:$AJ$2,'Cash Flow'!$F$16:$AJ$16)))</f>
        <v>18.550000000000008</v>
      </c>
      <c r="D15" s="149">
        <f>IF($B15&gt;Inputs!$G$17,"",LOOKUP($B15,'Cash Flow'!$F$2:$AJ$2,'Cash Flow'!$F$23:$AJ$23))</f>
        <v>20119018.790823124</v>
      </c>
      <c r="E15" s="149">
        <f>IF($B15&gt;Inputs!$G$17,"",LOOKUP($B15,'Cash Flow'!$F$2:$AJ$2,'Cash Flow'!$F$38:$AJ$38))</f>
        <v>-5208995.0977880899</v>
      </c>
      <c r="F15" s="149">
        <f>IF($B15&gt;Inputs!$G$17,"",LOOKUP($B15,'Cash Flow'!$F$2:$AJ$2,'Cash Flow'!$F$88:$AJ$88))</f>
        <v>-7085170.2915029004</v>
      </c>
      <c r="G15" s="149">
        <f>IF($B15&gt;Inputs!$G$17,"",LOOKUP($B15,'Cash Flow'!$F$2:$AJ$2,'Cash Flow'!$F$50:$AJ$50)+LOOKUP($B15,'Cash Flow'!$F$2:$AJ$2,'Cash Flow'!$F$51:$AJ$51))</f>
        <v>0</v>
      </c>
      <c r="H15" s="149">
        <f>IF($B15&gt;Inputs!$G$17,"",SUM(D15:G15))</f>
        <v>7824853.401532134</v>
      </c>
      <c r="I15" s="149">
        <f>IF($B15&gt;Inputs!$G$17,"",LOOKUP($B15,'Cash Flow'!$F$2:$AJ$2,'Cash Flow'!$F$63:$AJ$63))</f>
        <v>10920632.960849537</v>
      </c>
      <c r="J15" s="149">
        <f>IF($B15&gt;Inputs!$G$17,"",LOOKUP($B15,'Cash Flow'!$F$2:$AJ$2,'Cash Flow'!$F$64:$AJ$64))</f>
        <v>10920632.960849537</v>
      </c>
      <c r="K15" s="149">
        <f>IF($B15&gt;Inputs!$G$17,"",LOOKUP($B15,'Cash Flow'!$F$2:$AJ$2,'Cash Flow'!$F$66:$AJ$66)+LOOKUP($B15,'Cash Flow'!$F$2:$AJ$2,'Cash Flow'!$F$68:$AJ$68))</f>
        <v>-3497332.7057120637</v>
      </c>
      <c r="L15" s="149">
        <f>IF($B15&gt;Inputs!$G$17,"",LOOKUP($B15,'Cash Flow'!$F$2:$AJ$2,'Cash Flow'!$F$67:$AJ$67)+LOOKUP($B15,'Cash Flow'!$F$2:$AJ$2,'Cash Flow'!$F$69:$AJ$69))</f>
        <v>-928253.80167221068</v>
      </c>
      <c r="M15" s="149">
        <f>IF($B15&gt;Inputs!$G$17,"",H15+K15+L15)</f>
        <v>3399266.8941478599</v>
      </c>
      <c r="N15" s="149">
        <f>IF($B15&gt;Inputs!$G$17,N14,N14+M15)</f>
        <v>25582502.97816585</v>
      </c>
      <c r="O15" s="153">
        <f>IF($B15&gt;Inputs!$G$17,"",LOOKUP($B15,'Cash Flow'!$F$2:$AJ$2,'Cash Flow'!$F$71:$AJ$71))</f>
        <v>0.11143797047877513</v>
      </c>
      <c r="P15" s="154">
        <f>IF($B15&gt;Inputs!$G$17,"",LOOKUP($B15,'Cash Flow'!$F$2:$AJ$2,'Cash Flow'!$F$44:$AJ$44))</f>
        <v>2.10439877654265</v>
      </c>
      <c r="R15" s="327">
        <f>IF($B15&gt;Inputs!$G$17,"",D15+K15+L15)</f>
        <v>15693432.28343885</v>
      </c>
      <c r="S15" s="328">
        <f>IF($B15&gt;Inputs!$G$17,"",-(E15+F15+G15))</f>
        <v>12294165.38929099</v>
      </c>
    </row>
    <row r="16" spans="2:19">
      <c r="B16" s="151">
        <v>10</v>
      </c>
      <c r="C16" s="152">
        <f>IF($B16&gt;Inputs!$G$17,"",IF($B16&lt;=Inputs!$Q$6,LOOKUP($B16,'Cash Flow'!$F$2:$AJ$2,'Cash Flow'!$F$14:$AJ$14),LOOKUP($B16,'Cash Flow'!$F$2:$AJ$2,'Cash Flow'!$F$16:$AJ$16)))</f>
        <v>18.550000000000008</v>
      </c>
      <c r="D16" s="149">
        <f>IF($B16&gt;Inputs!$G$17,"",LOOKUP($B16,'Cash Flow'!$F$2:$AJ$2,'Cash Flow'!$F$23:$AJ$23))</f>
        <v>20018912.805605631</v>
      </c>
      <c r="E16" s="149">
        <f>IF($B16&gt;Inputs!$G$17,"",LOOKUP($B16,'Cash Flow'!$F$2:$AJ$2,'Cash Flow'!$F$38:$AJ$38))</f>
        <v>-5277310.9748979332</v>
      </c>
      <c r="F16" s="149">
        <f>IF($B16&gt;Inputs!$G$17,"",LOOKUP($B16,'Cash Flow'!$F$2:$AJ$2,'Cash Flow'!$F$88:$AJ$88))</f>
        <v>-7085170.2915029004</v>
      </c>
      <c r="G16" s="149">
        <f>IF($B16&gt;Inputs!$G$17,"",LOOKUP($B16,'Cash Flow'!$F$2:$AJ$2,'Cash Flow'!$F$50:$AJ$50)+LOOKUP($B16,'Cash Flow'!$F$2:$AJ$2,'Cash Flow'!$F$51:$AJ$51))</f>
        <v>0</v>
      </c>
      <c r="H16" s="149">
        <f>IF($B16&gt;Inputs!$G$17,"",SUM(D16:G16))</f>
        <v>7656431.5392047986</v>
      </c>
      <c r="I16" s="149">
        <f>IF($B16&gt;Inputs!$G$17,"",LOOKUP($B16,'Cash Flow'!$F$2:$AJ$2,'Cash Flow'!$F$63:$AJ$63))</f>
        <v>11066572.342818744</v>
      </c>
      <c r="J16" s="149">
        <f>IF($B16&gt;Inputs!$G$17,"",LOOKUP($B16,'Cash Flow'!$F$2:$AJ$2,'Cash Flow'!$F$64:$AJ$64))</f>
        <v>11066572.342818744</v>
      </c>
      <c r="K16" s="149">
        <f>IF($B16&gt;Inputs!$G$17,"",LOOKUP($B16,'Cash Flow'!$F$2:$AJ$2,'Cash Flow'!$F$66:$AJ$66)+LOOKUP($B16,'Cash Flow'!$F$2:$AJ$2,'Cash Flow'!$F$68:$AJ$68))</f>
        <v>-3544069.7927877023</v>
      </c>
      <c r="L16" s="149">
        <f>IF($B16&gt;Inputs!$G$17,"",LOOKUP($B16,'Cash Flow'!$F$2:$AJ$2,'Cash Flow'!$F$67:$AJ$67)+LOOKUP($B16,'Cash Flow'!$F$2:$AJ$2,'Cash Flow'!$F$69:$AJ$69))</f>
        <v>-940658.64913959336</v>
      </c>
      <c r="M16" s="149">
        <f>IF($B16&gt;Inputs!$G$17,"",H16+K16+L16)</f>
        <v>3171703.097277503</v>
      </c>
      <c r="N16" s="149">
        <f>IF($B16&gt;Inputs!$G$17,N15,N15+M16)</f>
        <v>28754206.075443354</v>
      </c>
      <c r="O16" s="153">
        <f>IF($B16&gt;Inputs!$G$17,"",LOOKUP($B16,'Cash Flow'!$F$2:$AJ$2,'Cash Flow'!$F$71:$AJ$71))</f>
        <v>0.11758415504127773</v>
      </c>
      <c r="P16" s="154">
        <f>IF($B16&gt;Inputs!$G$17,"",LOOKUP($B16,'Cash Flow'!$F$2:$AJ$2,'Cash Flow'!$F$44:$AJ$44))</f>
        <v>2.0806277371183302</v>
      </c>
      <c r="R16" s="327">
        <f>IF($B16&gt;Inputs!$G$17,"",D16+K16+L16)</f>
        <v>15534184.363678336</v>
      </c>
      <c r="S16" s="328">
        <f>IF($B16&gt;Inputs!$G$17,"",-(E16+F16+G16))</f>
        <v>12362481.266400833</v>
      </c>
    </row>
    <row r="17" spans="2:19">
      <c r="B17" s="157">
        <v>11</v>
      </c>
      <c r="C17" s="152">
        <f>IF($B17&gt;Inputs!$G$17,"",IF($B17&lt;=Inputs!$Q$6,LOOKUP($B17,'Cash Flow'!$F$2:$AJ$2,'Cash Flow'!$F$14:$AJ$14),LOOKUP($B17,'Cash Flow'!$F$2:$AJ$2,'Cash Flow'!$F$16:$AJ$16)))</f>
        <v>18.550000000000008</v>
      </c>
      <c r="D17" s="149">
        <f>IF($B17&gt;Inputs!$G$17,"",LOOKUP($B17,'Cash Flow'!$F$2:$AJ$2,'Cash Flow'!$F$23:$AJ$23))</f>
        <v>19919307.350314226</v>
      </c>
      <c r="E17" s="149">
        <f>IF($B17&gt;Inputs!$G$17,"",LOOKUP($B17,'Cash Flow'!$F$2:$AJ$2,'Cash Flow'!$F$38:$AJ$38))</f>
        <v>-5346779.9619456418</v>
      </c>
      <c r="F17" s="149">
        <f>IF($B17&gt;Inputs!$G$17,"",LOOKUP($B17,'Cash Flow'!$F$2:$AJ$2,'Cash Flow'!$F$88:$AJ$88))</f>
        <v>-7085170.2915028995</v>
      </c>
      <c r="G17" s="149">
        <f>IF($B17&gt;Inputs!$G$17,"",LOOKUP($B17,'Cash Flow'!$F$2:$AJ$2,'Cash Flow'!$F$50:$AJ$50)+LOOKUP($B17,'Cash Flow'!$F$2:$AJ$2,'Cash Flow'!$F$51:$AJ$51))</f>
        <v>0</v>
      </c>
      <c r="H17" s="149">
        <f>IF($B17&gt;Inputs!$G$17,"",SUM(D17:G17))</f>
        <v>7487357.0968656847</v>
      </c>
      <c r="I17" s="149">
        <f>IF($B17&gt;Inputs!$G$17,"",LOOKUP($B17,'Cash Flow'!$F$2:$AJ$2,'Cash Flow'!$F$63:$AJ$63))</f>
        <v>11233276.57921664</v>
      </c>
      <c r="J17" s="149">
        <f>IF($B17&gt;Inputs!$G$17,"",LOOKUP($B17,'Cash Flow'!$F$2:$AJ$2,'Cash Flow'!$F$64:$AJ$64))</f>
        <v>11233276.57921664</v>
      </c>
      <c r="K17" s="149">
        <f>IF($B17&gt;Inputs!$G$17,"",LOOKUP($B17,'Cash Flow'!$F$2:$AJ$2,'Cash Flow'!$F$66:$AJ$66)+LOOKUP($B17,'Cash Flow'!$F$2:$AJ$2,'Cash Flow'!$F$68:$AJ$68))</f>
        <v>-3597456.8244941286</v>
      </c>
      <c r="L17" s="149">
        <f>IF($B17&gt;Inputs!$G$17,"",LOOKUP($B17,'Cash Flow'!$F$2:$AJ$2,'Cash Flow'!$F$67:$AJ$67)+LOOKUP($B17,'Cash Flow'!$F$2:$AJ$2,'Cash Flow'!$F$69:$AJ$69))</f>
        <v>-954828.50923341454</v>
      </c>
      <c r="M17" s="149">
        <f>IF($B17&gt;Inputs!$G$17,"",H17+K17+L17)</f>
        <v>2935071.7631381415</v>
      </c>
      <c r="N17" s="149">
        <f>IF($B17&gt;Inputs!$G$17,N16,N16+M17)</f>
        <v>31689277.838581495</v>
      </c>
      <c r="O17" s="153">
        <f>IF($B17&gt;Inputs!$G$17,"",LOOKUP($B17,'Cash Flow'!$F$2:$AJ$2,'Cash Flow'!$F$71:$AJ$71))</f>
        <v>0.12230330240683074</v>
      </c>
      <c r="P17" s="154">
        <f>IF($B17&gt;Inputs!$G$17,"",LOOKUP($B17,'Cash Flow'!$F$2:$AJ$2,'Cash Flow'!$F$44:$AJ$44))</f>
        <v>2.0567645926372609</v>
      </c>
      <c r="R17" s="327">
        <f>IF($B17&gt;Inputs!$G$17,"",D17+K17+L17)</f>
        <v>15367022.016586682</v>
      </c>
      <c r="S17" s="328">
        <f>IF($B17&gt;Inputs!$G$17,"",-(E17+F17+G17))</f>
        <v>12431950.253448542</v>
      </c>
    </row>
    <row r="18" spans="2:19">
      <c r="B18" s="151">
        <v>12</v>
      </c>
      <c r="C18" s="152">
        <f>IF($B18&gt;Inputs!$G$17,"",IF($B18&lt;=Inputs!$Q$6,LOOKUP($B18,'Cash Flow'!$F$2:$AJ$2,'Cash Flow'!$F$14:$AJ$14),LOOKUP($B18,'Cash Flow'!$F$2:$AJ$2,'Cash Flow'!$F$16:$AJ$16)))</f>
        <v>18.550000000000008</v>
      </c>
      <c r="D18" s="149">
        <f>IF($B18&gt;Inputs!$G$17,"",LOOKUP($B18,'Cash Flow'!$F$2:$AJ$2,'Cash Flow'!$F$23:$AJ$23))</f>
        <v>19657784.769799232</v>
      </c>
      <c r="E18" s="149">
        <f>IF($B18&gt;Inputs!$G$17,"",LOOKUP($B18,'Cash Flow'!$F$2:$AJ$2,'Cash Flow'!$F$38:$AJ$38))</f>
        <v>-5379888.7782276757</v>
      </c>
      <c r="F18" s="149">
        <f>IF($B18&gt;Inputs!$G$17,"",LOOKUP($B18,'Cash Flow'!$F$2:$AJ$2,'Cash Flow'!$F$88:$AJ$88))</f>
        <v>-7085170.2915028995</v>
      </c>
      <c r="G18" s="149">
        <f>IF($B18&gt;Inputs!$G$17,"",LOOKUP($B18,'Cash Flow'!$F$2:$AJ$2,'Cash Flow'!$F$50:$AJ$50)+LOOKUP($B18,'Cash Flow'!$F$2:$AJ$2,'Cash Flow'!$F$51:$AJ$51))</f>
        <v>0</v>
      </c>
      <c r="H18" s="149">
        <f>IF($B18&gt;Inputs!$G$17,"",SUM(D18:G18))</f>
        <v>7192725.7000686573</v>
      </c>
      <c r="I18" s="149">
        <f>IF($B18&gt;Inputs!$G$17,"",LOOKUP($B18,'Cash Flow'!$F$2:$AJ$2,'Cash Flow'!$F$63:$AJ$63))</f>
        <v>11306488.865989033</v>
      </c>
      <c r="J18" s="149">
        <f>IF($B18&gt;Inputs!$G$17,"",LOOKUP($B18,'Cash Flow'!$F$2:$AJ$2,'Cash Flow'!$F$64:$AJ$64))</f>
        <v>11306488.865989033</v>
      </c>
      <c r="K18" s="149">
        <f>IF($B18&gt;Inputs!$G$17,"",LOOKUP($B18,'Cash Flow'!$F$2:$AJ$2,'Cash Flow'!$F$66:$AJ$66)+LOOKUP($B18,'Cash Flow'!$F$2:$AJ$2,'Cash Flow'!$F$68:$AJ$68))</f>
        <v>-3620903.0593329878</v>
      </c>
      <c r="L18" s="149">
        <f>IF($B18&gt;Inputs!$G$17,"",LOOKUP($B18,'Cash Flow'!$F$2:$AJ$2,'Cash Flow'!$F$67:$AJ$67)+LOOKUP($B18,'Cash Flow'!$F$2:$AJ$2,'Cash Flow'!$F$69:$AJ$69))</f>
        <v>-961051.55360906792</v>
      </c>
      <c r="M18" s="149">
        <f>IF($B18&gt;Inputs!$G$17,"",H18+K18+L18)</f>
        <v>2610771.0871266015</v>
      </c>
      <c r="N18" s="149">
        <f>IF($B18&gt;Inputs!$G$17,N17,N17+M18)</f>
        <v>34300048.9257081</v>
      </c>
      <c r="O18" s="153">
        <f>IF($B18&gt;Inputs!$G$17,"",LOOKUP($B18,'Cash Flow'!$F$2:$AJ$2,'Cash Flow'!$F$71:$AJ$71))</f>
        <v>0.12581434503419664</v>
      </c>
      <c r="P18" s="154">
        <f>IF($B18&gt;Inputs!$G$17,"",LOOKUP($B18,'Cash Flow'!$F$2:$AJ$2,'Cash Flow'!$F$44:$AJ$44))</f>
        <v>2.0151803561722077</v>
      </c>
      <c r="R18" s="327">
        <f>IF($B18&gt;Inputs!$G$17,"",D18+K18+L18)</f>
        <v>15075830.156857178</v>
      </c>
      <c r="S18" s="328">
        <f>IF($B18&gt;Inputs!$G$17,"",-(E18+F18+G18))</f>
        <v>12465059.069730576</v>
      </c>
    </row>
    <row r="19" spans="2:19">
      <c r="B19" s="151">
        <v>13</v>
      </c>
      <c r="C19" s="152">
        <f>IF($B19&gt;Inputs!$G$17,"",IF($B19&lt;=Inputs!$Q$6,LOOKUP($B19,'Cash Flow'!$F$2:$AJ$2,'Cash Flow'!$F$14:$AJ$14),LOOKUP($B19,'Cash Flow'!$F$2:$AJ$2,'Cash Flow'!$F$16:$AJ$16)))</f>
        <v>18.550000000000008</v>
      </c>
      <c r="D19" s="149">
        <f>IF($B19&gt;Inputs!$G$17,"",LOOKUP($B19,'Cash Flow'!$F$2:$AJ$2,'Cash Flow'!$F$23:$AJ$23))</f>
        <v>19070985.879124988</v>
      </c>
      <c r="E19" s="149">
        <f>IF($B19&gt;Inputs!$G$17,"",LOOKUP($B19,'Cash Flow'!$F$2:$AJ$2,'Cash Flow'!$F$38:$AJ$38))</f>
        <v>-5336290.3486402929</v>
      </c>
      <c r="F19" s="149">
        <f>IF($B19&gt;Inputs!$G$17,"",LOOKUP($B19,'Cash Flow'!$F$2:$AJ$2,'Cash Flow'!$F$88:$AJ$88))</f>
        <v>-7085170.2915029004</v>
      </c>
      <c r="G19" s="149">
        <f>IF($B19&gt;Inputs!$G$17,"",LOOKUP($B19,'Cash Flow'!$F$2:$AJ$2,'Cash Flow'!$F$50:$AJ$50)+LOOKUP($B19,'Cash Flow'!$F$2:$AJ$2,'Cash Flow'!$F$51:$AJ$51))</f>
        <v>0</v>
      </c>
      <c r="H19" s="149">
        <f>IF($B19&gt;Inputs!$G$17,"",SUM(D19:G19))</f>
        <v>6649525.2389817946</v>
      </c>
      <c r="I19" s="149">
        <f>IF($B19&gt;Inputs!$G$17,"",LOOKUP($B19,'Cash Flow'!$F$2:$AJ$2,'Cash Flow'!$F$63:$AJ$63))</f>
        <v>11173298.674121425</v>
      </c>
      <c r="J19" s="149">
        <f>IF($B19&gt;Inputs!$G$17,"",LOOKUP($B19,'Cash Flow'!$F$2:$AJ$2,'Cash Flow'!$F$64:$AJ$64))</f>
        <v>11173298.674121425</v>
      </c>
      <c r="K19" s="149">
        <f>IF($B19&gt;Inputs!$G$17,"",LOOKUP($B19,'Cash Flow'!$F$2:$AJ$2,'Cash Flow'!$F$66:$AJ$66)+LOOKUP($B19,'Cash Flow'!$F$2:$AJ$2,'Cash Flow'!$F$68:$AJ$68))</f>
        <v>-3578248.9003873859</v>
      </c>
      <c r="L19" s="149">
        <f>IF($B19&gt;Inputs!$G$17,"",LOOKUP($B19,'Cash Flow'!$F$2:$AJ$2,'Cash Flow'!$F$67:$AJ$67)+LOOKUP($B19,'Cash Flow'!$F$2:$AJ$2,'Cash Flow'!$F$69:$AJ$69))</f>
        <v>-949730.38730032113</v>
      </c>
      <c r="M19" s="149">
        <f>IF($B19&gt;Inputs!$G$17,"",H19+K19+L19)</f>
        <v>2121545.9512940878</v>
      </c>
      <c r="N19" s="149">
        <f>IF($B19&gt;Inputs!$G$17,N18,N18+M19)</f>
        <v>36421594.877002187</v>
      </c>
      <c r="O19" s="153">
        <f>IF($B19&gt;Inputs!$G$17,"",LOOKUP($B19,'Cash Flow'!$F$2:$AJ$2,'Cash Flow'!$F$71:$AJ$71))</f>
        <v>0.12822528248063336</v>
      </c>
      <c r="P19" s="154">
        <f>IF($B19&gt;Inputs!$G$17,"",LOOKUP($B19,'Cash Flow'!$F$2:$AJ$2,'Cash Flow'!$F$44:$AJ$44))</f>
        <v>1.9385131147738868</v>
      </c>
      <c r="R19" s="327">
        <f>IF($B19&gt;Inputs!$G$17,"",D19+K19+L19)</f>
        <v>14543006.59143728</v>
      </c>
      <c r="S19" s="328">
        <f>IF($B19&gt;Inputs!$G$17,"",-(E19+F19+G19))</f>
        <v>12421460.640143193</v>
      </c>
    </row>
    <row r="20" spans="2:19">
      <c r="B20" s="157">
        <v>14</v>
      </c>
      <c r="C20" s="152">
        <f>IF($B20&gt;Inputs!$G$17,"",IF($B20&lt;=Inputs!$Q$6,LOOKUP($B20,'Cash Flow'!$F$2:$AJ$2,'Cash Flow'!$F$14:$AJ$14),LOOKUP($B20,'Cash Flow'!$F$2:$AJ$2,'Cash Flow'!$F$16:$AJ$16)))</f>
        <v>18.550000000000008</v>
      </c>
      <c r="D20" s="149">
        <f>IF($B20&gt;Inputs!$G$17,"",LOOKUP($B20,'Cash Flow'!$F$2:$AJ$2,'Cash Flow'!$F$23:$AJ$23))</f>
        <v>18501790.95517097</v>
      </c>
      <c r="E20" s="149">
        <f>IF($B20&gt;Inputs!$G$17,"",LOOKUP($B20,'Cash Flow'!$F$2:$AJ$2,'Cash Flow'!$F$38:$AJ$38))</f>
        <v>-5293975.9251597282</v>
      </c>
      <c r="F20" s="149">
        <f>IF($B20&gt;Inputs!$G$17,"",LOOKUP($B20,'Cash Flow'!$F$2:$AJ$2,'Cash Flow'!$F$88:$AJ$88))</f>
        <v>-7085170.2915029004</v>
      </c>
      <c r="G20" s="149">
        <f>IF($B20&gt;Inputs!$G$17,"",LOOKUP($B20,'Cash Flow'!$F$2:$AJ$2,'Cash Flow'!$F$50:$AJ$50)+LOOKUP($B20,'Cash Flow'!$F$2:$AJ$2,'Cash Flow'!$F$51:$AJ$51))</f>
        <v>0</v>
      </c>
      <c r="H20" s="149">
        <f>IF($B20&gt;Inputs!$G$17,"",SUM(D20:G20))</f>
        <v>6122644.7385083418</v>
      </c>
      <c r="I20" s="149">
        <f>IF($B20&gt;Inputs!$G$17,"",LOOKUP($B20,'Cash Flow'!$F$2:$AJ$2,'Cash Flow'!$F$63:$AJ$63))</f>
        <v>11082137.907035243</v>
      </c>
      <c r="J20" s="149">
        <f>IF($B20&gt;Inputs!$G$17,"",LOOKUP($B20,'Cash Flow'!$F$2:$AJ$2,'Cash Flow'!$F$64:$AJ$64))</f>
        <v>11082137.907035243</v>
      </c>
      <c r="K20" s="149">
        <f>IF($B20&gt;Inputs!$G$17,"",LOOKUP($B20,'Cash Flow'!$F$2:$AJ$2,'Cash Flow'!$F$66:$AJ$66)+LOOKUP($B20,'Cash Flow'!$F$2:$AJ$2,'Cash Flow'!$F$68:$AJ$68))</f>
        <v>-3549054.6647280362</v>
      </c>
      <c r="L20" s="149">
        <f>IF($B20&gt;Inputs!$G$17,"",LOOKUP($B20,'Cash Flow'!$F$2:$AJ$2,'Cash Flow'!$F$67:$AJ$67)+LOOKUP($B20,'Cash Flow'!$F$2:$AJ$2,'Cash Flow'!$F$69:$AJ$69))</f>
        <v>-941981.72209799569</v>
      </c>
      <c r="M20" s="149">
        <f>IF($B20&gt;Inputs!$G$17,"",H20+K20+L20)</f>
        <v>1631608.35168231</v>
      </c>
      <c r="N20" s="149">
        <f>IF($B20&gt;Inputs!$G$17,N19,N19+M20)</f>
        <v>38053203.2286845</v>
      </c>
      <c r="O20" s="153">
        <f>IF($B20&gt;Inputs!$G$17,"",LOOKUP($B20,'Cash Flow'!$F$2:$AJ$2,'Cash Flow'!$F$71:$AJ$71))</f>
        <v>0.12980944487308799</v>
      </c>
      <c r="P20" s="154">
        <f>IF($B20&gt;Inputs!$G$17,"",LOOKUP($B20,'Cash Flow'!$F$2:$AJ$2,'Cash Flow'!$F$44:$AJ$44))</f>
        <v>1.8641492704629985</v>
      </c>
      <c r="R20" s="327">
        <f>IF($B20&gt;Inputs!$G$17,"",D20+K20+L20)</f>
        <v>14010754.56834494</v>
      </c>
      <c r="S20" s="328">
        <f>IF($B20&gt;Inputs!$G$17,"",-(E20+F20+G20))</f>
        <v>12379146.216662629</v>
      </c>
    </row>
    <row r="21" spans="2:19">
      <c r="B21" s="151">
        <v>15</v>
      </c>
      <c r="C21" s="152">
        <f>IF($B21&gt;Inputs!$G$17,"",IF($B21&lt;=Inputs!$Q$6,LOOKUP($B21,'Cash Flow'!$F$2:$AJ$2,'Cash Flow'!$F$14:$AJ$14),LOOKUP($B21,'Cash Flow'!$F$2:$AJ$2,'Cash Flow'!$F$16:$AJ$16)))</f>
        <v>18.550000000000008</v>
      </c>
      <c r="D21" s="149">
        <f>IF($B21&gt;Inputs!$G$17,"",LOOKUP($B21,'Cash Flow'!$F$2:$AJ$2,'Cash Flow'!$F$23:$AJ$23))</f>
        <v>17949671.878935575</v>
      </c>
      <c r="E21" s="149">
        <f>IF($B21&gt;Inputs!$G$17,"",LOOKUP($B21,'Cash Flow'!$F$2:$AJ$2,'Cash Flow'!$F$38:$AJ$38))</f>
        <v>-5252931.2587285936</v>
      </c>
      <c r="F21" s="149">
        <f>IF($B21&gt;Inputs!$G$17,"",LOOKUP($B21,'Cash Flow'!$F$2:$AJ$2,'Cash Flow'!$F$88:$AJ$88))</f>
        <v>-7085170.2915028995</v>
      </c>
      <c r="G21" s="149">
        <f>IF($B21&gt;Inputs!$G$17,"",LOOKUP($B21,'Cash Flow'!$F$2:$AJ$2,'Cash Flow'!$F$50:$AJ$50)+LOOKUP($B21,'Cash Flow'!$F$2:$AJ$2,'Cash Flow'!$F$51:$AJ$51))</f>
        <v>0</v>
      </c>
      <c r="H21" s="149">
        <f>IF($B21&gt;Inputs!$G$17,"",SUM(D21:G21))</f>
        <v>5611570.3287040824</v>
      </c>
      <c r="I21" s="149">
        <f>IF($B21&gt;Inputs!$G$17,"",LOOKUP($B21,'Cash Flow'!$F$2:$AJ$2,'Cash Flow'!$F$63:$AJ$63))</f>
        <v>11034023.83008009</v>
      </c>
      <c r="J21" s="149">
        <f>IF($B21&gt;Inputs!$G$17,"",LOOKUP($B21,'Cash Flow'!$F$2:$AJ$2,'Cash Flow'!$F$64:$AJ$64))</f>
        <v>11034023.83008009</v>
      </c>
      <c r="K21" s="149">
        <f>IF($B21&gt;Inputs!$G$17,"",LOOKUP($B21,'Cash Flow'!$F$2:$AJ$2,'Cash Flow'!$F$66:$AJ$66)+LOOKUP($B21,'Cash Flow'!$F$2:$AJ$2,'Cash Flow'!$F$68:$AJ$68))</f>
        <v>-3533646.1315831486</v>
      </c>
      <c r="L21" s="149">
        <f>IF($B21&gt;Inputs!$G$17,"",LOOKUP($B21,'Cash Flow'!$F$2:$AJ$2,'Cash Flow'!$F$67:$AJ$67)+LOOKUP($B21,'Cash Flow'!$F$2:$AJ$2,'Cash Flow'!$F$69:$AJ$69))</f>
        <v>-937892.02555680776</v>
      </c>
      <c r="M21" s="149">
        <f>IF($B21&gt;Inputs!$G$17,"",H21+K21+L21)</f>
        <v>1140032.1715641259</v>
      </c>
      <c r="N21" s="149">
        <f>IF($B21&gt;Inputs!$G$17,N20,N20+M21)</f>
        <v>39193235.400248624</v>
      </c>
      <c r="O21" s="153">
        <f>IF($B21&gt;Inputs!$G$17,"",LOOKUP($B21,'Cash Flow'!$F$2:$AJ$2,'Cash Flow'!$F$71:$AJ$71))</f>
        <v>0.13076463428295404</v>
      </c>
      <c r="P21" s="154">
        <f>IF($B21&gt;Inputs!$G$17,"",LOOKUP($B21,'Cash Flow'!$F$2:$AJ$2,'Cash Flow'!$F$44:$AJ$44))</f>
        <v>1.7920162957034249</v>
      </c>
      <c r="R21" s="327">
        <f>IF($B21&gt;Inputs!$G$17,"",D21+K21+L21)</f>
        <v>13478133.721795619</v>
      </c>
      <c r="S21" s="328">
        <f>IF($B21&gt;Inputs!$G$17,"",-(E21+F21+G21))</f>
        <v>12338101.550231494</v>
      </c>
    </row>
    <row r="22" spans="2:19" ht="15">
      <c r="B22" s="151">
        <v>16</v>
      </c>
      <c r="C22" s="152">
        <f>IF($B22&gt;Inputs!$G$17,"",IF($B22&lt;=Inputs!$Q$6,LOOKUP($B22,'Cash Flow'!$F$2:$AJ$2,'Cash Flow'!$F$14:$AJ$14),LOOKUP($B22,'Cash Flow'!$F$2:$AJ$2,'Cash Flow'!$F$16:$AJ$16)))</f>
        <v>18.550000000000008</v>
      </c>
      <c r="D22" s="149">
        <f>IF($B22&gt;Inputs!$G$17,"",LOOKUP($B22,'Cash Flow'!$F$2:$AJ$2,'Cash Flow'!$F$23:$AJ$23))</f>
        <v>17385775.693821225</v>
      </c>
      <c r="E22" s="149">
        <f>IF($B22&gt;Inputs!$G$17,"",LOOKUP($B22,'Cash Flow'!$F$2:$AJ$2,'Cash Flow'!$F$38:$AJ$38))</f>
        <v>-5213142.7508330876</v>
      </c>
      <c r="F22" s="149">
        <f>IF($B22&gt;Inputs!$G$17,"",LOOKUP($B22,'Cash Flow'!$F$2:$AJ$2,'Cash Flow'!$F$88:$AJ$88))</f>
        <v>0</v>
      </c>
      <c r="G22" s="149">
        <f>IF($B22&gt;Inputs!$G$17,"",LOOKUP($B22,'Cash Flow'!$F$2:$AJ$2,'Cash Flow'!$F$50:$AJ$50)+LOOKUP($B22,'Cash Flow'!$F$2:$AJ$2,'Cash Flow'!$F$51:$AJ$51))</f>
        <v>3542585.1457514493</v>
      </c>
      <c r="H22" s="149">
        <f>IF($B22&gt;Inputs!$G$17,"",SUM(D22:G22))</f>
        <v>15715218.088739589</v>
      </c>
      <c r="I22" s="149">
        <f>IF($B22&gt;Inputs!$G$17,"",LOOKUP($B22,'Cash Flow'!$F$2:$AJ$2,'Cash Flow'!$F$63:$AJ$63))</f>
        <v>11029885.163739994</v>
      </c>
      <c r="J22" s="149">
        <f>IF($B22&gt;Inputs!$G$17,"",LOOKUP($B22,'Cash Flow'!$F$2:$AJ$2,'Cash Flow'!$F$64:$AJ$64))</f>
        <v>11029885.163739994</v>
      </c>
      <c r="K22" s="149">
        <f>IF($B22&gt;Inputs!$G$17,"",LOOKUP($B22,'Cash Flow'!$F$2:$AJ$2,'Cash Flow'!$F$66:$AJ$66)+LOOKUP($B22,'Cash Flow'!$F$2:$AJ$2,'Cash Flow'!$F$68:$AJ$68))</f>
        <v>-3532320.7236877326</v>
      </c>
      <c r="L22" s="149">
        <f>IF($B22&gt;Inputs!$G$17,"",LOOKUP($B22,'Cash Flow'!$F$2:$AJ$2,'Cash Flow'!$F$67:$AJ$67)+LOOKUP($B22,'Cash Flow'!$F$2:$AJ$2,'Cash Flow'!$F$69:$AJ$69))</f>
        <v>-937540.23891789955</v>
      </c>
      <c r="M22" s="149">
        <f>IF($B22&gt;Inputs!$G$17,"",H22+K22+L22)</f>
        <v>11245357.126133956</v>
      </c>
      <c r="N22" s="149">
        <f>IF($B22&gt;Inputs!$G$17,N21,N21+M22)</f>
        <v>50438592.52638258</v>
      </c>
      <c r="O22" s="153">
        <f>IF($B22&gt;Inputs!$G$17,"",LOOKUP($B22,'Cash Flow'!$F$2:$AJ$2,'Cash Flow'!$F$71:$AJ$71))</f>
        <v>0.13833544108065965</v>
      </c>
      <c r="P22" s="154" t="str">
        <f>IF($B22&gt;Inputs!$G$17,"",LOOKUP($B22,'Cash Flow'!$F$2:$AJ$2,'Cash Flow'!$F$44:$AJ$44))</f>
        <v>N/A</v>
      </c>
      <c r="R22" s="327">
        <f>IF($B22&gt;Inputs!$G$17,"",D22+K22+L22)</f>
        <v>12915914.731215592</v>
      </c>
      <c r="S22" s="328">
        <f>IF($B22&gt;Inputs!$G$17,"",-(E22+F22+G22))</f>
        <v>1670557.6050816383</v>
      </c>
    </row>
    <row r="23" spans="2:19" ht="15">
      <c r="B23" s="157">
        <v>17</v>
      </c>
      <c r="C23" s="152">
        <f>IF($B23&gt;Inputs!$G$17,"",IF($B23&lt;=Inputs!$Q$6,LOOKUP($B23,'Cash Flow'!$F$2:$AJ$2,'Cash Flow'!$F$14:$AJ$14),LOOKUP($B23,'Cash Flow'!$F$2:$AJ$2,'Cash Flow'!$F$16:$AJ$16)))</f>
        <v>18.550000000000008</v>
      </c>
      <c r="D23" s="149">
        <f>IF($B23&gt;Inputs!$G$17,"",LOOKUP($B23,'Cash Flow'!$F$2:$AJ$2,'Cash Flow'!$F$23:$AJ$23))</f>
        <v>16837946.173825331</v>
      </c>
      <c r="E23" s="149">
        <f>IF($B23&gt;Inputs!$G$17,"",LOOKUP($B23,'Cash Flow'!$F$2:$AJ$2,'Cash Flow'!$F$38:$AJ$38))</f>
        <v>-5174597.4412290454</v>
      </c>
      <c r="F23" s="149">
        <f>IF($B23&gt;Inputs!$G$17,"",LOOKUP($B23,'Cash Flow'!$F$2:$AJ$2,'Cash Flow'!$F$88:$AJ$88))</f>
        <v>0</v>
      </c>
      <c r="G23" s="149">
        <f>IF($B23&gt;Inputs!$G$17,"",LOOKUP($B23,'Cash Flow'!$F$2:$AJ$2,'Cash Flow'!$F$50:$AJ$50)+LOOKUP($B23,'Cash Flow'!$F$2:$AJ$2,'Cash Flow'!$F$51:$AJ$51))</f>
        <v>0</v>
      </c>
      <c r="H23" s="149">
        <f>IF($B23&gt;Inputs!$G$17,"",SUM(D23:G23))</f>
        <v>11663348.732596286</v>
      </c>
      <c r="I23" s="149">
        <f>IF($B23&gt;Inputs!$G$17,"",LOOKUP($B23,'Cash Flow'!$F$2:$AJ$2,'Cash Flow'!$F$63:$AJ$63))</f>
        <v>10576097.490618818</v>
      </c>
      <c r="J23" s="149">
        <f>IF($B23&gt;Inputs!$G$17,"",LOOKUP($B23,'Cash Flow'!$F$2:$AJ$2,'Cash Flow'!$F$64:$AJ$64))</f>
        <v>10576097.490618818</v>
      </c>
      <c r="K23" s="149">
        <f>IF($B23&gt;Inputs!$G$17,"",LOOKUP($B23,'Cash Flow'!$F$2:$AJ$2,'Cash Flow'!$F$66:$AJ$66)+LOOKUP($B23,'Cash Flow'!$F$2:$AJ$2,'Cash Flow'!$F$68:$AJ$68))</f>
        <v>-3386995.2213706761</v>
      </c>
      <c r="L23" s="149">
        <f>IF($B23&gt;Inputs!$G$17,"",LOOKUP($B23,'Cash Flow'!$F$2:$AJ$2,'Cash Flow'!$F$67:$AJ$67)+LOOKUP($B23,'Cash Flow'!$F$2:$AJ$2,'Cash Flow'!$F$69:$AJ$69))</f>
        <v>-898968.28670259961</v>
      </c>
      <c r="M23" s="149">
        <f>IF($B23&gt;Inputs!$G$17,"",H23+K23+L23)</f>
        <v>7377385.2245230097</v>
      </c>
      <c r="N23" s="149">
        <f>IF($B23&gt;Inputs!$G$17,N22,N22+M23)</f>
        <v>57815977.750905588</v>
      </c>
      <c r="O23" s="153">
        <f>IF($B23&gt;Inputs!$G$17,"",LOOKUP($B23,'Cash Flow'!$F$2:$AJ$2,'Cash Flow'!$F$71:$AJ$71))</f>
        <v>0.14217697691680664</v>
      </c>
      <c r="P23" s="154" t="str">
        <f>IF($B23&gt;Inputs!$G$17,"",LOOKUP($B23,'Cash Flow'!$F$2:$AJ$2,'Cash Flow'!$F$44:$AJ$44))</f>
        <v>N/A</v>
      </c>
      <c r="R23" s="327">
        <f>IF($B23&gt;Inputs!$G$17,"",D23+K23+L23)</f>
        <v>12551982.665752055</v>
      </c>
      <c r="S23" s="328">
        <f>IF($B23&gt;Inputs!$G$17,"",-(E23+F23+G23))</f>
        <v>5174597.4412290454</v>
      </c>
    </row>
    <row r="24" spans="2:19" ht="15">
      <c r="B24" s="151">
        <v>18</v>
      </c>
      <c r="C24" s="152">
        <f>IF($B24&gt;Inputs!$G$17,"",IF($B24&lt;=Inputs!$Q$6,LOOKUP($B24,'Cash Flow'!$F$2:$AJ$2,'Cash Flow'!$F$14:$AJ$14),LOOKUP($B24,'Cash Flow'!$F$2:$AJ$2,'Cash Flow'!$F$16:$AJ$16)))</f>
        <v>18.550000000000008</v>
      </c>
      <c r="D24" s="149">
        <f>IF($B24&gt;Inputs!$G$17,"",LOOKUP($B24,'Cash Flow'!$F$2:$AJ$2,'Cash Flow'!$F$23:$AJ$23))</f>
        <v>16334042.000160348</v>
      </c>
      <c r="E24" s="149">
        <f>IF($B24&gt;Inputs!$G$17,"",LOOKUP($B24,'Cash Flow'!$F$2:$AJ$2,'Cash Flow'!$F$38:$AJ$38))</f>
        <v>-5137282.9961515656</v>
      </c>
      <c r="F24" s="149">
        <f>IF($B24&gt;Inputs!$G$17,"",LOOKUP($B24,'Cash Flow'!$F$2:$AJ$2,'Cash Flow'!$F$88:$AJ$88))</f>
        <v>0</v>
      </c>
      <c r="G24" s="149">
        <f>IF($B24&gt;Inputs!$G$17,"",LOOKUP($B24,'Cash Flow'!$F$2:$AJ$2,'Cash Flow'!$F$50:$AJ$50)+LOOKUP($B24,'Cash Flow'!$F$2:$AJ$2,'Cash Flow'!$F$51:$AJ$51))</f>
        <v>0</v>
      </c>
      <c r="H24" s="149">
        <f>IF($B24&gt;Inputs!$G$17,"",SUM(D24:G24))</f>
        <v>11196759.004008781</v>
      </c>
      <c r="I24" s="149">
        <f>IF($B24&gt;Inputs!$G$17,"",LOOKUP($B24,'Cash Flow'!$F$2:$AJ$2,'Cash Flow'!$F$63:$AJ$63))</f>
        <v>10136756.380222248</v>
      </c>
      <c r="J24" s="149">
        <f>IF($B24&gt;Inputs!$G$17,"",LOOKUP($B24,'Cash Flow'!$F$2:$AJ$2,'Cash Flow'!$F$64:$AJ$64))</f>
        <v>10136756.380222248</v>
      </c>
      <c r="K24" s="149">
        <f>IF($B24&gt;Inputs!$G$17,"",LOOKUP($B24,'Cash Flow'!$F$2:$AJ$2,'Cash Flow'!$F$66:$AJ$66)+LOOKUP($B24,'Cash Flow'!$F$2:$AJ$2,'Cash Flow'!$F$68:$AJ$68))</f>
        <v>-3246296.2307661744</v>
      </c>
      <c r="L24" s="149">
        <f>IF($B24&gt;Inputs!$G$17,"",LOOKUP($B24,'Cash Flow'!$F$2:$AJ$2,'Cash Flow'!$F$67:$AJ$67)+LOOKUP($B24,'Cash Flow'!$F$2:$AJ$2,'Cash Flow'!$F$69:$AJ$69))</f>
        <v>-861624.29231889115</v>
      </c>
      <c r="M24" s="149">
        <f>IF($B24&gt;Inputs!$G$17,"",H24+K24+L24)</f>
        <v>7088838.480923716</v>
      </c>
      <c r="N24" s="149">
        <f>IF($B24&gt;Inputs!$G$17,N23,N23+M24)</f>
        <v>64904816.231829301</v>
      </c>
      <c r="O24" s="153">
        <f>IF($B24&gt;Inputs!$G$17,"",LOOKUP($B24,'Cash Flow'!$F$2:$AJ$2,'Cash Flow'!$F$71:$AJ$71))</f>
        <v>0.14515766857686718</v>
      </c>
      <c r="P24" s="154" t="str">
        <f>IF($B24&gt;Inputs!$G$17,"",LOOKUP($B24,'Cash Flow'!$F$2:$AJ$2,'Cash Flow'!$F$44:$AJ$44))</f>
        <v>N/A</v>
      </c>
      <c r="R24" s="327">
        <f>IF($B24&gt;Inputs!$G$17,"",D24+K24+L24)</f>
        <v>12226121.477075282</v>
      </c>
      <c r="S24" s="328">
        <f>IF($B24&gt;Inputs!$G$17,"",-(E24+F24+G24))</f>
        <v>5137282.9961515656</v>
      </c>
    </row>
    <row r="25" spans="2:19" ht="15">
      <c r="B25" s="151">
        <v>19</v>
      </c>
      <c r="C25" s="152">
        <f>IF($B25&gt;Inputs!$G$17,"",IF($B25&lt;=Inputs!$Q$6,LOOKUP($B25,'Cash Flow'!$F$2:$AJ$2,'Cash Flow'!$F$14:$AJ$14),LOOKUP($B25,'Cash Flow'!$F$2:$AJ$2,'Cash Flow'!$F$16:$AJ$16)))</f>
        <v>18.550000000000008</v>
      </c>
      <c r="D25" s="149">
        <f>IF($B25&gt;Inputs!$G$17,"",LOOKUP($B25,'Cash Flow'!$F$2:$AJ$2,'Cash Flow'!$F$23:$AJ$23))</f>
        <v>15845254.951705309</v>
      </c>
      <c r="E25" s="149">
        <f>IF($B25&gt;Inputs!$G$17,"",LOOKUP($B25,'Cash Flow'!$F$2:$AJ$2,'Cash Flow'!$F$38:$AJ$38))</f>
        <v>-5101187.6969963536</v>
      </c>
      <c r="F25" s="149">
        <f>IF($B25&gt;Inputs!$G$17,"",LOOKUP($B25,'Cash Flow'!$F$2:$AJ$2,'Cash Flow'!$F$88:$AJ$88))</f>
        <v>0</v>
      </c>
      <c r="G25" s="149">
        <f>IF($B25&gt;Inputs!$G$17,"",LOOKUP($B25,'Cash Flow'!$F$2:$AJ$2,'Cash Flow'!$F$50:$AJ$50)+LOOKUP($B25,'Cash Flow'!$F$2:$AJ$2,'Cash Flow'!$F$51:$AJ$51))</f>
        <v>0</v>
      </c>
      <c r="H25" s="149">
        <f>IF($B25&gt;Inputs!$G$17,"",SUM(D25:G25))</f>
        <v>10744067.254708955</v>
      </c>
      <c r="I25" s="149">
        <f>IF($B25&gt;Inputs!$G$17,"",LOOKUP($B25,'Cash Flow'!$F$2:$AJ$2,'Cash Flow'!$F$63:$AJ$63))</f>
        <v>9710495.7905676272</v>
      </c>
      <c r="J25" s="149">
        <f>IF($B25&gt;Inputs!$G$17,"",LOOKUP($B25,'Cash Flow'!$F$2:$AJ$2,'Cash Flow'!$F$64:$AJ$64))</f>
        <v>9710495.7905676272</v>
      </c>
      <c r="K25" s="149">
        <f>IF($B25&gt;Inputs!$G$17,"",LOOKUP($B25,'Cash Flow'!$F$2:$AJ$2,'Cash Flow'!$F$66:$AJ$66)+LOOKUP($B25,'Cash Flow'!$F$2:$AJ$2,'Cash Flow'!$F$68:$AJ$68))</f>
        <v>-3109786.2769292826</v>
      </c>
      <c r="L25" s="149">
        <f>IF($B25&gt;Inputs!$G$17,"",LOOKUP($B25,'Cash Flow'!$F$2:$AJ$2,'Cash Flow'!$F$67:$AJ$67)+LOOKUP($B25,'Cash Flow'!$F$2:$AJ$2,'Cash Flow'!$F$69:$AJ$69))</f>
        <v>-825392.14219824842</v>
      </c>
      <c r="M25" s="149">
        <f>IF($B25&gt;Inputs!$G$17,"",H25+K25+L25)</f>
        <v>6808888.8355814237</v>
      </c>
      <c r="N25" s="149">
        <f>IF($B25&gt;Inputs!$G$17,N24,N24+M25)</f>
        <v>71713705.067410722</v>
      </c>
      <c r="O25" s="153">
        <f>IF($B25&gt;Inputs!$G$17,"",LOOKUP($B25,'Cash Flow'!$F$2:$AJ$2,'Cash Flow'!$F$71:$AJ$71))</f>
        <v>0.14749678730623761</v>
      </c>
      <c r="P25" s="154" t="str">
        <f>IF($B25&gt;Inputs!$G$17,"",LOOKUP($B25,'Cash Flow'!$F$2:$AJ$2,'Cash Flow'!$F$44:$AJ$44))</f>
        <v>N/A</v>
      </c>
      <c r="R25" s="327">
        <f>IF($B25&gt;Inputs!$G$17,"",D25+K25+L25)</f>
        <v>11910076.532577777</v>
      </c>
      <c r="S25" s="328">
        <f>IF($B25&gt;Inputs!$G$17,"",-(E25+F25+G25))</f>
        <v>5101187.6969963536</v>
      </c>
    </row>
    <row r="26" spans="2:19" ht="15">
      <c r="B26" s="157">
        <v>20</v>
      </c>
      <c r="C26" s="152">
        <f>IF($B26&gt;Inputs!$G$17,"",IF($B26&lt;=Inputs!$Q$6,LOOKUP($B26,'Cash Flow'!$F$2:$AJ$2,'Cash Flow'!$F$14:$AJ$14),LOOKUP($B26,'Cash Flow'!$F$2:$AJ$2,'Cash Flow'!$F$16:$AJ$16)))</f>
        <v>18.550000000000008</v>
      </c>
      <c r="D26" s="149">
        <f>IF($B26&gt;Inputs!$G$17,"",LOOKUP($B26,'Cash Flow'!$F$2:$AJ$2,'Cash Flow'!$F$23:$AJ$23))</f>
        <v>17423737.830493394</v>
      </c>
      <c r="E26" s="149">
        <f>IF($B26&gt;Inputs!$G$17,"",LOOKUP($B26,'Cash Flow'!$F$2:$AJ$2,'Cash Flow'!$F$38:$AJ$38))</f>
        <v>-5611478.5887963912</v>
      </c>
      <c r="F26" s="149">
        <f>IF($B26&gt;Inputs!$G$17,"",LOOKUP($B26,'Cash Flow'!$F$2:$AJ$2,'Cash Flow'!$F$88:$AJ$88))</f>
        <v>0</v>
      </c>
      <c r="G26" s="149">
        <f>IF($B26&gt;Inputs!$G$17,"",LOOKUP($B26,'Cash Flow'!$F$2:$AJ$2,'Cash Flow'!$F$50:$AJ$50)+LOOKUP($B26,'Cash Flow'!$F$2:$AJ$2,'Cash Flow'!$F$51:$AJ$51))</f>
        <v>0</v>
      </c>
      <c r="H26" s="149">
        <f>IF($B26&gt;Inputs!$G$17,"",SUM(D26:G26))</f>
        <v>11812259.241697002</v>
      </c>
      <c r="I26" s="149">
        <f>IF($B26&gt;Inputs!$G$17,"",LOOKUP($B26,'Cash Flow'!$F$2:$AJ$2,'Cash Flow'!$F$63:$AJ$63))</f>
        <v>10693331.315885209</v>
      </c>
      <c r="J26" s="149">
        <f>IF($B26&gt;Inputs!$G$17,"",LOOKUP($B26,'Cash Flow'!$F$2:$AJ$2,'Cash Flow'!$F$64:$AJ$64))</f>
        <v>10693331.315885209</v>
      </c>
      <c r="K26" s="149">
        <f>IF($B26&gt;Inputs!$G$17,"",LOOKUP($B26,'Cash Flow'!$F$2:$AJ$2,'Cash Flow'!$F$66:$AJ$66)+LOOKUP($B26,'Cash Flow'!$F$2:$AJ$2,'Cash Flow'!$F$68:$AJ$68))</f>
        <v>-3424539.353912238</v>
      </c>
      <c r="L26" s="149">
        <f>IF($B26&gt;Inputs!$G$17,"",LOOKUP($B26,'Cash Flow'!$F$2:$AJ$2,'Cash Flow'!$F$67:$AJ$67)+LOOKUP($B26,'Cash Flow'!$F$2:$AJ$2,'Cash Flow'!$F$69:$AJ$69))</f>
        <v>-908933.16185024276</v>
      </c>
      <c r="M26" s="149">
        <f>IF($B26&gt;Inputs!$G$17,"",H26+K26+L26)</f>
        <v>7478786.7259345213</v>
      </c>
      <c r="N26" s="149">
        <f>IF($B26&gt;Inputs!$G$17,N25,N25+M26)</f>
        <v>79192491.793345243</v>
      </c>
      <c r="O26" s="153">
        <f>IF($B26&gt;Inputs!$G$17,"",LOOKUP($B26,'Cash Flow'!$F$2:$AJ$2,'Cash Flow'!$F$71:$AJ$71))</f>
        <v>0.1496078751322043</v>
      </c>
      <c r="P26" s="154" t="str">
        <f>IF($B26&gt;Inputs!$G$17,"",LOOKUP($B26,'Cash Flow'!$F$2:$AJ$2,'Cash Flow'!$F$44:$AJ$44))</f>
        <v>N/A</v>
      </c>
      <c r="R26" s="327">
        <f>IF($B26&gt;Inputs!$G$17,"",D26+K26+L26)</f>
        <v>13090265.314730914</v>
      </c>
      <c r="S26" s="328">
        <f>IF($B26&gt;Inputs!$G$17,"",-(E26+F26+G26))</f>
        <v>5611478.5887963912</v>
      </c>
    </row>
    <row r="27" spans="2:19" ht="15">
      <c r="B27" s="151">
        <v>21</v>
      </c>
      <c r="C27" s="152">
        <f>IF($B27&gt;Inputs!$G$17,"",IF($B27&lt;=Inputs!$Q$6,LOOKUP($B27,'Cash Flow'!$F$2:$AJ$2,'Cash Flow'!$F$14:$AJ$14),LOOKUP($B27,'Cash Flow'!$F$2:$AJ$2,'Cash Flow'!$F$16:$AJ$16)))</f>
        <v>5.9437895839134196</v>
      </c>
      <c r="D27" s="149">
        <f>IF($B27&gt;Inputs!$G$17,"",LOOKUP($B27,'Cash Flow'!$F$2:$AJ$2,'Cash Flow'!$F$23:$AJ$23))</f>
        <v>5443779.0151159232</v>
      </c>
      <c r="E27" s="149">
        <f>IF($B27&gt;Inputs!$G$17,"",LOOKUP($B27,'Cash Flow'!$F$2:$AJ$2,'Cash Flow'!$F$38:$AJ$38))</f>
        <v>-5227060.9003470149</v>
      </c>
      <c r="F27" s="149">
        <f>IF($B27&gt;Inputs!$G$17,"",LOOKUP($B27,'Cash Flow'!$F$2:$AJ$2,'Cash Flow'!$F$88:$AJ$88))</f>
        <v>0</v>
      </c>
      <c r="G27" s="149">
        <f>IF($B27&gt;Inputs!$G$17,"",LOOKUP($B27,'Cash Flow'!$F$2:$AJ$2,'Cash Flow'!$F$50:$AJ$50)+LOOKUP($B27,'Cash Flow'!$F$2:$AJ$2,'Cash Flow'!$F$51:$AJ$51))</f>
        <v>0</v>
      </c>
      <c r="H27" s="149">
        <f>IF($B27&gt;Inputs!$G$17,"",SUM(D27:G27))</f>
        <v>216718.11476890836</v>
      </c>
      <c r="I27" s="149">
        <f>IF($B27&gt;Inputs!$G$17,"",LOOKUP($B27,'Cash Flow'!$F$2:$AJ$2,'Cash Flow'!$F$63:$AJ$63))</f>
        <v>64158.032700897602</v>
      </c>
      <c r="J27" s="149">
        <f>IF($B27&gt;Inputs!$G$17,"",LOOKUP($B27,'Cash Flow'!$F$2:$AJ$2,'Cash Flow'!$F$64:$AJ$64))</f>
        <v>64158.032700897602</v>
      </c>
      <c r="K27" s="149">
        <f>IF($B27&gt;Inputs!$G$17,"",LOOKUP($B27,'Cash Flow'!$F$2:$AJ$2,'Cash Flow'!$F$66:$AJ$66)+LOOKUP($B27,'Cash Flow'!$F$2:$AJ$2,'Cash Flow'!$F$68:$AJ$68))</f>
        <v>-20546.609972462455</v>
      </c>
      <c r="L27" s="149">
        <f>IF($B27&gt;Inputs!$G$17,"",LOOKUP($B27,'Cash Flow'!$F$2:$AJ$2,'Cash Flow'!$F$67:$AJ$67)+LOOKUP($B27,'Cash Flow'!$F$2:$AJ$2,'Cash Flow'!$F$69:$AJ$69))</f>
        <v>-5453.4327795762965</v>
      </c>
      <c r="M27" s="149">
        <f>IF($B27&gt;Inputs!$G$17,"",H27+K27+L27)</f>
        <v>190718.07201686958</v>
      </c>
      <c r="N27" s="149">
        <f>IF($B27&gt;Inputs!$G$17,N26,N26+M27)</f>
        <v>79383209.865362108</v>
      </c>
      <c r="O27" s="153">
        <f>IF($B27&gt;Inputs!$G$17,"",LOOKUP($B27,'Cash Flow'!$F$2:$AJ$2,'Cash Flow'!$F$71:$AJ$71))</f>
        <v>0.14965336028922871</v>
      </c>
      <c r="P27" s="154" t="str">
        <f>IF($B27&gt;Inputs!$G$17,"",LOOKUP($B27,'Cash Flow'!$F$2:$AJ$2,'Cash Flow'!$F$44:$AJ$44))</f>
        <v>N/A</v>
      </c>
      <c r="R27" s="327">
        <f>IF($B27&gt;Inputs!$G$17,"",D27+K27+L27)</f>
        <v>5417778.9723638846</v>
      </c>
      <c r="S27" s="328">
        <f>IF($B27&gt;Inputs!$G$17,"",-(E27+F27+G27))</f>
        <v>5227060.9003470149</v>
      </c>
    </row>
    <row r="28" spans="2:19" ht="15">
      <c r="B28" s="151">
        <v>22</v>
      </c>
      <c r="C28" s="152">
        <f>IF($B28&gt;Inputs!$G$17,"",IF($B28&lt;=Inputs!$Q$6,LOOKUP($B28,'Cash Flow'!$F$2:$AJ$2,'Cash Flow'!$F$14:$AJ$14),LOOKUP($B28,'Cash Flow'!$F$2:$AJ$2,'Cash Flow'!$F$16:$AJ$16)))</f>
        <v>6.0626653755916884</v>
      </c>
      <c r="D28" s="149">
        <f>IF($B28&gt;Inputs!$G$17,"",LOOKUP($B28,'Cash Flow'!$F$2:$AJ$2,'Cash Flow'!$F$23:$AJ$23))</f>
        <v>5386511.0456366139</v>
      </c>
      <c r="E28" s="149">
        <f>IF($B28&gt;Inputs!$G$17,"",LOOKUP($B28,'Cash Flow'!$F$2:$AJ$2,'Cash Flow'!$F$38:$AJ$38))</f>
        <v>-5201151.9395301687</v>
      </c>
      <c r="F28" s="149">
        <f>IF($B28&gt;Inputs!$G$17,"",LOOKUP($B28,'Cash Flow'!$F$2:$AJ$2,'Cash Flow'!$F$88:$AJ$88))</f>
        <v>0</v>
      </c>
      <c r="G28" s="149">
        <f>IF($B28&gt;Inputs!$G$17,"",LOOKUP($B28,'Cash Flow'!$F$2:$AJ$2,'Cash Flow'!$F$50:$AJ$50)+LOOKUP($B28,'Cash Flow'!$F$2:$AJ$2,'Cash Flow'!$F$51:$AJ$51))</f>
        <v>0</v>
      </c>
      <c r="H28" s="149">
        <f>IF($B28&gt;Inputs!$G$17,"",SUM(D28:G28))</f>
        <v>185359.10610644519</v>
      </c>
      <c r="I28" s="149">
        <f>IF($B28&gt;Inputs!$G$17,"",LOOKUP($B28,'Cash Flow'!$F$2:$AJ$2,'Cash Flow'!$F$63:$AJ$63))</f>
        <v>92679.553053222597</v>
      </c>
      <c r="J28" s="149">
        <f>IF($B28&gt;Inputs!$G$17,"",LOOKUP($B28,'Cash Flow'!$F$2:$AJ$2,'Cash Flow'!$F$64:$AJ$64))</f>
        <v>92679.553053222597</v>
      </c>
      <c r="K28" s="149">
        <f>IF($B28&gt;Inputs!$G$17,"",LOOKUP($B28,'Cash Flow'!$F$2:$AJ$2,'Cash Flow'!$F$66:$AJ$66)+LOOKUP($B28,'Cash Flow'!$F$2:$AJ$2,'Cash Flow'!$F$68:$AJ$68))</f>
        <v>-29680.626865294533</v>
      </c>
      <c r="L28" s="149">
        <f>IF($B28&gt;Inputs!$G$17,"",LOOKUP($B28,'Cash Flow'!$F$2:$AJ$2,'Cash Flow'!$F$67:$AJ$67)+LOOKUP($B28,'Cash Flow'!$F$2:$AJ$2,'Cash Flow'!$F$69:$AJ$69))</f>
        <v>-7877.7620095239217</v>
      </c>
      <c r="M28" s="149">
        <f>IF($B28&gt;Inputs!$G$17,"",H28+K28+L28)</f>
        <v>147800.71723162674</v>
      </c>
      <c r="N28" s="149">
        <f>IF($B28&gt;Inputs!$G$17,N27,N27+M28)</f>
        <v>79531010.582593739</v>
      </c>
      <c r="O28" s="153">
        <f>IF($B28&gt;Inputs!$G$17,"",LOOKUP($B28,'Cash Flow'!$F$2:$AJ$2,'Cash Flow'!$F$71:$AJ$71))</f>
        <v>0.14968398707852537</v>
      </c>
      <c r="P28" s="154" t="str">
        <f>IF($B28&gt;Inputs!$G$17,"",LOOKUP($B28,'Cash Flow'!$F$2:$AJ$2,'Cash Flow'!$F$44:$AJ$44))</f>
        <v>N/A</v>
      </c>
      <c r="R28" s="327">
        <f>IF($B28&gt;Inputs!$G$17,"",D28+K28+L28)</f>
        <v>5348952.6567617953</v>
      </c>
      <c r="S28" s="328">
        <f>IF($B28&gt;Inputs!$G$17,"",-(E28+F28+G28))</f>
        <v>5201151.9395301687</v>
      </c>
    </row>
    <row r="29" spans="2:19" ht="15">
      <c r="B29" s="157">
        <v>23</v>
      </c>
      <c r="C29" s="152">
        <f>IF($B29&gt;Inputs!$G$17,"",IF($B29&lt;=Inputs!$Q$6,LOOKUP($B29,'Cash Flow'!$F$2:$AJ$2,'Cash Flow'!$F$14:$AJ$14),LOOKUP($B29,'Cash Flow'!$F$2:$AJ$2,'Cash Flow'!$F$16:$AJ$16)))</f>
        <v>6.1839186831035224</v>
      </c>
      <c r="D29" s="149">
        <f>IF($B29&gt;Inputs!$G$17,"",LOOKUP($B29,'Cash Flow'!$F$2:$AJ$2,'Cash Flow'!$F$23:$AJ$23))</f>
        <v>5329850.116633785</v>
      </c>
      <c r="E29" s="149">
        <f>IF($B29&gt;Inputs!$G$17,"",LOOKUP($B29,'Cash Flow'!$F$2:$AJ$2,'Cash Flow'!$F$38:$AJ$38))</f>
        <v>-5176091.6713925172</v>
      </c>
      <c r="F29" s="149">
        <f>IF($B29&gt;Inputs!$G$17,"",LOOKUP($B29,'Cash Flow'!$F$2:$AJ$2,'Cash Flow'!$F$88:$AJ$88))</f>
        <v>0</v>
      </c>
      <c r="G29" s="149">
        <f>IF($B29&gt;Inputs!$G$17,"",LOOKUP($B29,'Cash Flow'!$F$2:$AJ$2,'Cash Flow'!$F$50:$AJ$50)+LOOKUP($B29,'Cash Flow'!$F$2:$AJ$2,'Cash Flow'!$F$51:$AJ$51))</f>
        <v>0</v>
      </c>
      <c r="H29" s="149">
        <f>IF($B29&gt;Inputs!$G$17,"",SUM(D29:G29))</f>
        <v>153758.44524126779</v>
      </c>
      <c r="I29" s="149">
        <f>IF($B29&gt;Inputs!$G$17,"",LOOKUP($B29,'Cash Flow'!$F$2:$AJ$2,'Cash Flow'!$F$63:$AJ$63))</f>
        <v>76879.222620633896</v>
      </c>
      <c r="J29" s="149">
        <f>IF($B29&gt;Inputs!$G$17,"",LOOKUP($B29,'Cash Flow'!$F$2:$AJ$2,'Cash Flow'!$F$64:$AJ$64))</f>
        <v>76879.222620633896</v>
      </c>
      <c r="K29" s="149">
        <f>IF($B29&gt;Inputs!$G$17,"",LOOKUP($B29,'Cash Flow'!$F$2:$AJ$2,'Cash Flow'!$F$66:$AJ$66)+LOOKUP($B29,'Cash Flow'!$F$2:$AJ$2,'Cash Flow'!$F$68:$AJ$68))</f>
        <v>-24620.571044258006</v>
      </c>
      <c r="L29" s="149">
        <f>IF($B29&gt;Inputs!$G$17,"",LOOKUP($B29,'Cash Flow'!$F$2:$AJ$2,'Cash Flow'!$F$67:$AJ$67)+LOOKUP($B29,'Cash Flow'!$F$2:$AJ$2,'Cash Flow'!$F$69:$AJ$69))</f>
        <v>-6534.7339227538814</v>
      </c>
      <c r="M29" s="149">
        <f>IF($B29&gt;Inputs!$G$17,"",H29+K29+L29)</f>
        <v>122603.14027425591</v>
      </c>
      <c r="N29" s="149">
        <f>IF($B29&gt;Inputs!$G$17,N28,N28+M29)</f>
        <v>79653613.722867996</v>
      </c>
      <c r="O29" s="153">
        <f>IF($B29&gt;Inputs!$G$17,"",LOOKUP($B29,'Cash Flow'!$F$2:$AJ$2,'Cash Flow'!$F$71:$AJ$71))</f>
        <v>0.14970606668497632</v>
      </c>
      <c r="P29" s="154" t="str">
        <f>IF($B29&gt;Inputs!$G$17,"",LOOKUP($B29,'Cash Flow'!$F$2:$AJ$2,'Cash Flow'!$F$44:$AJ$44))</f>
        <v>N/A</v>
      </c>
      <c r="R29" s="327">
        <f>IF($B29&gt;Inputs!$G$17,"",D29+K29+L29)</f>
        <v>5298694.8116667736</v>
      </c>
      <c r="S29" s="328">
        <f>IF($B29&gt;Inputs!$G$17,"",-(E29+F29+G29))</f>
        <v>5176091.6713925172</v>
      </c>
    </row>
    <row r="30" spans="2:19" ht="15">
      <c r="B30" s="151">
        <v>24</v>
      </c>
      <c r="C30" s="152">
        <f>IF($B30&gt;Inputs!$G$17,"",IF($B30&lt;=Inputs!$Q$6,LOOKUP($B30,'Cash Flow'!$F$2:$AJ$2,'Cash Flow'!$F$14:$AJ$14),LOOKUP($B30,'Cash Flow'!$F$2:$AJ$2,'Cash Flow'!$F$16:$AJ$16)))</f>
        <v>6.3075970567655926</v>
      </c>
      <c r="D30" s="149">
        <f>IF($B30&gt;Inputs!$G$17,"",LOOKUP($B30,'Cash Flow'!$F$2:$AJ$2,'Cash Flow'!$F$23:$AJ$23))</f>
        <v>5273789.7934783865</v>
      </c>
      <c r="E30" s="149">
        <f>IF($B30&gt;Inputs!$G$17,"",LOOKUP($B30,'Cash Flow'!$F$2:$AJ$2,'Cash Flow'!$F$38:$AJ$38))</f>
        <v>-5151882.5809455505</v>
      </c>
      <c r="F30" s="149">
        <f>IF($B30&gt;Inputs!$G$17,"",LOOKUP($B30,'Cash Flow'!$F$2:$AJ$2,'Cash Flow'!$F$88:$AJ$88))</f>
        <v>0</v>
      </c>
      <c r="G30" s="149">
        <f>IF($B30&gt;Inputs!$G$17,"",LOOKUP($B30,'Cash Flow'!$F$2:$AJ$2,'Cash Flow'!$F$50:$AJ$50)+LOOKUP($B30,'Cash Flow'!$F$2:$AJ$2,'Cash Flow'!$F$51:$AJ$51))</f>
        <v>0</v>
      </c>
      <c r="H30" s="149">
        <f>IF($B30&gt;Inputs!$G$17,"",SUM(D30:G30))</f>
        <v>121907.21253283601</v>
      </c>
      <c r="I30" s="149">
        <f>IF($B30&gt;Inputs!$G$17,"",LOOKUP($B30,'Cash Flow'!$F$2:$AJ$2,'Cash Flow'!$F$63:$AJ$63))</f>
        <v>60953.606266418006</v>
      </c>
      <c r="J30" s="149">
        <f>IF($B30&gt;Inputs!$G$17,"",LOOKUP($B30,'Cash Flow'!$F$2:$AJ$2,'Cash Flow'!$F$64:$AJ$64))</f>
        <v>60953.606266418006</v>
      </c>
      <c r="K30" s="149">
        <f>IF($B30&gt;Inputs!$G$17,"",LOOKUP($B30,'Cash Flow'!$F$2:$AJ$2,'Cash Flow'!$F$66:$AJ$66)+LOOKUP($B30,'Cash Flow'!$F$2:$AJ$2,'Cash Flow'!$F$68:$AJ$68))</f>
        <v>-19520.392406820363</v>
      </c>
      <c r="L30" s="149">
        <f>IF($B30&gt;Inputs!$G$17,"",LOOKUP($B30,'Cash Flow'!$F$2:$AJ$2,'Cash Flow'!$F$67:$AJ$67)+LOOKUP($B30,'Cash Flow'!$F$2:$AJ$2,'Cash Flow'!$F$69:$AJ$69))</f>
        <v>-5181.0565326455308</v>
      </c>
      <c r="M30" s="149">
        <f>IF($B30&gt;Inputs!$G$17,"",H30+K30+L30)</f>
        <v>97205.763593370124</v>
      </c>
      <c r="N30" s="149">
        <f>IF($B30&gt;Inputs!$G$17,N29,N29+M30)</f>
        <v>79750819.486461371</v>
      </c>
      <c r="O30" s="153">
        <f>IF($B30&gt;Inputs!$G$17,"",LOOKUP($B30,'Cash Flow'!$F$2:$AJ$2,'Cash Flow'!$F$71:$AJ$71))</f>
        <v>0.14972128367018578</v>
      </c>
      <c r="P30" s="154" t="str">
        <f>IF($B30&gt;Inputs!$G$17,"",LOOKUP($B30,'Cash Flow'!$F$2:$AJ$2,'Cash Flow'!$F$44:$AJ$44))</f>
        <v>N/A</v>
      </c>
      <c r="R30" s="327">
        <f>IF($B30&gt;Inputs!$G$17,"",D30+K30+L30)</f>
        <v>5249088.3445389206</v>
      </c>
      <c r="S30" s="328">
        <f>IF($B30&gt;Inputs!$G$17,"",-(E30+F30+G30))</f>
        <v>5151882.5809455505</v>
      </c>
    </row>
    <row r="31" spans="2:19" ht="15">
      <c r="B31" s="151">
        <v>25</v>
      </c>
      <c r="C31" s="152">
        <f>IF($B31&gt;Inputs!$G$17,"",IF($B31&lt;=Inputs!$Q$6,LOOKUP($B31,'Cash Flow'!$F$2:$AJ$2,'Cash Flow'!$F$14:$AJ$14),LOOKUP($B31,'Cash Flow'!$F$2:$AJ$2,'Cash Flow'!$F$16:$AJ$16)))</f>
        <v>6.4337489979009046</v>
      </c>
      <c r="D31" s="149">
        <f>IF($B31&gt;Inputs!$G$17,"",LOOKUP($B31,'Cash Flow'!$F$2:$AJ$2,'Cash Flow'!$F$23:$AJ$23))</f>
        <v>5197753.5172522198</v>
      </c>
      <c r="E31" s="149">
        <f>IF($B31&gt;Inputs!$G$17,"",LOOKUP($B31,'Cash Flow'!$F$2:$AJ$2,'Cash Flow'!$F$38:$AJ$38))</f>
        <v>-5128527.3564827191</v>
      </c>
      <c r="F31" s="149">
        <f>IF($B31&gt;Inputs!$G$17,"",LOOKUP($B31,'Cash Flow'!$F$2:$AJ$2,'Cash Flow'!$F$88:$AJ$88))</f>
        <v>0</v>
      </c>
      <c r="G31" s="149">
        <f>IF($B31&gt;Inputs!$G$17,"",LOOKUP($B31,'Cash Flow'!$F$2:$AJ$2,'Cash Flow'!$F$50:$AJ$50)+LOOKUP($B31,'Cash Flow'!$F$2:$AJ$2,'Cash Flow'!$F$51:$AJ$51))</f>
        <v>2571274.0620270707</v>
      </c>
      <c r="H31" s="149">
        <f>IF($B31&gt;Inputs!$G$17,"",SUM(D31:G31))</f>
        <v>2640500.2227965714</v>
      </c>
      <c r="I31" s="149">
        <f>IF($B31&gt;Inputs!$G$17,"",LOOKUP($B31,'Cash Flow'!$F$2:$AJ$2,'Cash Flow'!$F$63:$AJ$63))</f>
        <v>34613.080384750385</v>
      </c>
      <c r="J31" s="149">
        <f>IF($B31&gt;Inputs!$G$17,"",LOOKUP($B31,'Cash Flow'!$F$2:$AJ$2,'Cash Flow'!$F$64:$AJ$64))</f>
        <v>34613.080384750385</v>
      </c>
      <c r="K31" s="149">
        <f>IF($B31&gt;Inputs!$G$17,"",LOOKUP($B31,'Cash Flow'!$F$2:$AJ$2,'Cash Flow'!$F$66:$AJ$66)+LOOKUP($B31,'Cash Flow'!$F$2:$AJ$2,'Cash Flow'!$F$68:$AJ$68))</f>
        <v>-11084.83899321631</v>
      </c>
      <c r="L31" s="149">
        <f>IF($B31&gt;Inputs!$G$17,"",LOOKUP($B31,'Cash Flow'!$F$2:$AJ$2,'Cash Flow'!$F$67:$AJ$67)+LOOKUP($B31,'Cash Flow'!$F$2:$AJ$2,'Cash Flow'!$F$69:$AJ$69))</f>
        <v>-2942.111832703783</v>
      </c>
      <c r="M31" s="149">
        <f>IF($B31&gt;Inputs!$G$17,"",H31+K31+L31)</f>
        <v>2626473.2719706511</v>
      </c>
      <c r="N31" s="149">
        <f>IF($B31&gt;Inputs!$G$17,N30,N30+M31)</f>
        <v>82377292.758432016</v>
      </c>
      <c r="O31" s="153">
        <f>IF($B31&gt;Inputs!$G$17,"",LOOKUP($B31,'Cash Flow'!$F$2:$AJ$2,'Cash Flow'!$F$71:$AJ$71))</f>
        <v>0.15007655077733828</v>
      </c>
      <c r="P31" s="154" t="str">
        <f>IF($B31&gt;Inputs!$G$17,"",LOOKUP($B31,'Cash Flow'!$F$2:$AJ$2,'Cash Flow'!$F$44:$AJ$44))</f>
        <v>N/A</v>
      </c>
      <c r="R31" s="327">
        <f>IF($B31&gt;Inputs!$G$17,"",D31+K31+L31)</f>
        <v>5183726.5664263004</v>
      </c>
      <c r="S31" s="328">
        <f>IF($B31&gt;Inputs!$G$17,"",-(E31+F31+G31))</f>
        <v>2557253.2944556484</v>
      </c>
    </row>
    <row r="32" spans="2:19" ht="15">
      <c r="B32" s="157">
        <v>26</v>
      </c>
      <c r="C32" s="152" t="str">
        <f>IF($B32&gt;Inputs!$G$17,"",IF($B32&lt;=Inputs!$Q$6,LOOKUP($B32,'Cash Flow'!$F$2:$AJ$2,'Cash Flow'!$F$14:$AJ$14),LOOKUP($B32,'Cash Flow'!$F$2:$AJ$2,'Cash Flow'!$F$16:$AJ$16)))</f>
        <v/>
      </c>
      <c r="D32" s="149" t="str">
        <f>IF($B32&gt;Inputs!$G$17,"",LOOKUP($B32,'Cash Flow'!$F$2:$AJ$2,'Cash Flow'!$F$23:$AJ$23))</f>
        <v/>
      </c>
      <c r="E32" s="149" t="str">
        <f>IF($B32&gt;Inputs!$G$17,"",LOOKUP($B32,'Cash Flow'!$F$2:$AJ$2,'Cash Flow'!$F$38:$AJ$38))</f>
        <v/>
      </c>
      <c r="F32" s="149" t="str">
        <f>IF($B32&gt;Inputs!$G$17,"",LOOKUP($B32,'Cash Flow'!$F$2:$AJ$2,'Cash Flow'!$F$88:$AJ$88))</f>
        <v/>
      </c>
      <c r="G32" s="149" t="str">
        <f>IF($B32&gt;Inputs!$G$17,"",LOOKUP($B32,'Cash Flow'!$F$2:$AJ$2,'Cash Flow'!$F$50:$AJ$50)+LOOKUP($B32,'Cash Flow'!$F$2:$AJ$2,'Cash Flow'!$F$51:$AJ$51))</f>
        <v/>
      </c>
      <c r="H32" s="149" t="str">
        <f>IF($B32&gt;Inputs!$G$17,"",SUM(D32:G32))</f>
        <v/>
      </c>
      <c r="I32" s="149" t="str">
        <f>IF($B32&gt;Inputs!$G$17,"",LOOKUP($B32,'Cash Flow'!$F$2:$AJ$2,'Cash Flow'!$F$63:$AJ$63))</f>
        <v/>
      </c>
      <c r="J32" s="149" t="str">
        <f>IF($B32&gt;Inputs!$G$17,"",LOOKUP($B32,'Cash Flow'!$F$2:$AJ$2,'Cash Flow'!$F$64:$AJ$64))</f>
        <v/>
      </c>
      <c r="K32" s="149" t="str">
        <f>IF($B32&gt;Inputs!$G$17,"",LOOKUP($B32,'Cash Flow'!$F$2:$AJ$2,'Cash Flow'!$F$66:$AJ$66)+LOOKUP($B32,'Cash Flow'!$F$2:$AJ$2,'Cash Flow'!$F$68:$AJ$68))</f>
        <v/>
      </c>
      <c r="L32" s="149" t="str">
        <f>IF($B32&gt;Inputs!$G$17,"",LOOKUP($B32,'Cash Flow'!$F$2:$AJ$2,'Cash Flow'!$F$67:$AJ$67)+LOOKUP($B32,'Cash Flow'!$F$2:$AJ$2,'Cash Flow'!$F$69:$AJ$69))</f>
        <v/>
      </c>
      <c r="M32" s="149" t="str">
        <f>IF($B32&gt;Inputs!$G$17,"",H32+K32+L32)</f>
        <v/>
      </c>
      <c r="N32" s="149">
        <f>IF($B32&gt;Inputs!$G$17,N31,N31+M32)</f>
        <v>82377292.758432016</v>
      </c>
      <c r="O32" s="153" t="str">
        <f>IF($B32&gt;Inputs!$G$17,"",LOOKUP($B32,'Cash Flow'!$F$2:$AJ$2,'Cash Flow'!$F$71:$AJ$71))</f>
        <v/>
      </c>
      <c r="P32" s="154" t="str">
        <f>IF($B32&gt;Inputs!$G$17,"",LOOKUP($B32,'Cash Flow'!$F$2:$AJ$2,'Cash Flow'!$F$44:$AJ$44))</f>
        <v/>
      </c>
      <c r="R32" s="327" t="str">
        <f>IF($B32&gt;Inputs!$G$17,"",D32+K32+L32)</f>
        <v/>
      </c>
      <c r="S32" s="328" t="str">
        <f>IF($B32&gt;Inputs!$G$17,"",-(E32+F32+G32))</f>
        <v/>
      </c>
    </row>
    <row r="33" spans="2:19" ht="15">
      <c r="B33" s="151">
        <v>27</v>
      </c>
      <c r="C33" s="152" t="str">
        <f>IF($B33&gt;Inputs!$G$17,"",IF($B33&lt;=Inputs!$Q$6,LOOKUP($B33,'Cash Flow'!$F$2:$AJ$2,'Cash Flow'!$F$14:$AJ$14),LOOKUP($B33,'Cash Flow'!$F$2:$AJ$2,'Cash Flow'!$F$16:$AJ$16)))</f>
        <v/>
      </c>
      <c r="D33" s="149" t="str">
        <f>IF($B33&gt;Inputs!$G$17,"",LOOKUP($B33,'Cash Flow'!$F$2:$AJ$2,'Cash Flow'!$F$23:$AJ$23))</f>
        <v/>
      </c>
      <c r="E33" s="149" t="str">
        <f>IF($B33&gt;Inputs!$G$17,"",LOOKUP($B33,'Cash Flow'!$F$2:$AJ$2,'Cash Flow'!$F$38:$AJ$38))</f>
        <v/>
      </c>
      <c r="F33" s="149" t="str">
        <f>IF($B33&gt;Inputs!$G$17,"",LOOKUP($B33,'Cash Flow'!$F$2:$AJ$2,'Cash Flow'!$F$88:$AJ$88))</f>
        <v/>
      </c>
      <c r="G33" s="149" t="str">
        <f>IF($B33&gt;Inputs!$G$17,"",LOOKUP($B33,'Cash Flow'!$F$2:$AJ$2,'Cash Flow'!$F$50:$AJ$50)+LOOKUP($B33,'Cash Flow'!$F$2:$AJ$2,'Cash Flow'!$F$51:$AJ$51))</f>
        <v/>
      </c>
      <c r="H33" s="149" t="str">
        <f>IF($B33&gt;Inputs!$G$17,"",SUM(D33:G33))</f>
        <v/>
      </c>
      <c r="I33" s="149" t="str">
        <f>IF($B33&gt;Inputs!$G$17,"",LOOKUP($B33,'Cash Flow'!$F$2:$AJ$2,'Cash Flow'!$F$63:$AJ$63))</f>
        <v/>
      </c>
      <c r="J33" s="149" t="str">
        <f>IF($B33&gt;Inputs!$G$17,"",LOOKUP($B33,'Cash Flow'!$F$2:$AJ$2,'Cash Flow'!$F$64:$AJ$64))</f>
        <v/>
      </c>
      <c r="K33" s="149" t="str">
        <f>IF($B33&gt;Inputs!$G$17,"",LOOKUP($B33,'Cash Flow'!$F$2:$AJ$2,'Cash Flow'!$F$66:$AJ$66)+LOOKUP($B33,'Cash Flow'!$F$2:$AJ$2,'Cash Flow'!$F$68:$AJ$68))</f>
        <v/>
      </c>
      <c r="L33" s="149" t="str">
        <f>IF($B33&gt;Inputs!$G$17,"",LOOKUP($B33,'Cash Flow'!$F$2:$AJ$2,'Cash Flow'!$F$67:$AJ$67)+LOOKUP($B33,'Cash Flow'!$F$2:$AJ$2,'Cash Flow'!$F$69:$AJ$69))</f>
        <v/>
      </c>
      <c r="M33" s="149" t="str">
        <f>IF($B33&gt;Inputs!$G$17,"",H33+K33+L33)</f>
        <v/>
      </c>
      <c r="N33" s="149">
        <f>IF($B33&gt;Inputs!$G$17,N32,N32+M33)</f>
        <v>82377292.758432016</v>
      </c>
      <c r="O33" s="153" t="str">
        <f>IF($B33&gt;Inputs!$G$17,"",LOOKUP($B33,'Cash Flow'!$F$2:$AJ$2,'Cash Flow'!$F$71:$AJ$71))</f>
        <v/>
      </c>
      <c r="P33" s="154" t="str">
        <f>IF($B33&gt;Inputs!$G$17,"",LOOKUP($B33,'Cash Flow'!$F$2:$AJ$2,'Cash Flow'!$F$44:$AJ$44))</f>
        <v/>
      </c>
      <c r="R33" s="327" t="str">
        <f>IF($B33&gt;Inputs!$G$17,"",D33+K33+L33)</f>
        <v/>
      </c>
      <c r="S33" s="328" t="str">
        <f>IF($B33&gt;Inputs!$G$17,"",-(E33+F33+G33))</f>
        <v/>
      </c>
    </row>
    <row r="34" spans="2:19" ht="15">
      <c r="B34" s="151">
        <v>28</v>
      </c>
      <c r="C34" s="152" t="str">
        <f>IF($B34&gt;Inputs!$G$17,"",IF($B34&lt;=Inputs!$Q$6,LOOKUP($B34,'Cash Flow'!$F$2:$AJ$2,'Cash Flow'!$F$14:$AJ$14),LOOKUP($B34,'Cash Flow'!$F$2:$AJ$2,'Cash Flow'!$F$16:$AJ$16)))</f>
        <v/>
      </c>
      <c r="D34" s="149" t="str">
        <f>IF($B34&gt;Inputs!$G$17,"",LOOKUP($B34,'Cash Flow'!$F$2:$AJ$2,'Cash Flow'!$F$23:$AJ$23))</f>
        <v/>
      </c>
      <c r="E34" s="149" t="str">
        <f>IF($B34&gt;Inputs!$G$17,"",LOOKUP($B34,'Cash Flow'!$F$2:$AJ$2,'Cash Flow'!$F$38:$AJ$38))</f>
        <v/>
      </c>
      <c r="F34" s="149" t="str">
        <f>IF($B34&gt;Inputs!$G$17,"",LOOKUP($B34,'Cash Flow'!$F$2:$AJ$2,'Cash Flow'!$F$88:$AJ$88))</f>
        <v/>
      </c>
      <c r="G34" s="149" t="str">
        <f>IF($B34&gt;Inputs!$G$17,"",LOOKUP($B34,'Cash Flow'!$F$2:$AJ$2,'Cash Flow'!$F$50:$AJ$50)+LOOKUP($B34,'Cash Flow'!$F$2:$AJ$2,'Cash Flow'!$F$51:$AJ$51))</f>
        <v/>
      </c>
      <c r="H34" s="149" t="str">
        <f>IF($B34&gt;Inputs!$G$17,"",SUM(D34:G34))</f>
        <v/>
      </c>
      <c r="I34" s="149" t="str">
        <f>IF($B34&gt;Inputs!$G$17,"",LOOKUP($B34,'Cash Flow'!$F$2:$AJ$2,'Cash Flow'!$F$63:$AJ$63))</f>
        <v/>
      </c>
      <c r="J34" s="149" t="str">
        <f>IF($B34&gt;Inputs!$G$17,"",LOOKUP($B34,'Cash Flow'!$F$2:$AJ$2,'Cash Flow'!$F$64:$AJ$64))</f>
        <v/>
      </c>
      <c r="K34" s="149" t="str">
        <f>IF($B34&gt;Inputs!$G$17,"",LOOKUP($B34,'Cash Flow'!$F$2:$AJ$2,'Cash Flow'!$F$66:$AJ$66)+LOOKUP($B34,'Cash Flow'!$F$2:$AJ$2,'Cash Flow'!$F$68:$AJ$68))</f>
        <v/>
      </c>
      <c r="L34" s="149" t="str">
        <f>IF($B34&gt;Inputs!$G$17,"",LOOKUP($B34,'Cash Flow'!$F$2:$AJ$2,'Cash Flow'!$F$67:$AJ$67)+LOOKUP($B34,'Cash Flow'!$F$2:$AJ$2,'Cash Flow'!$F$69:$AJ$69))</f>
        <v/>
      </c>
      <c r="M34" s="149" t="str">
        <f>IF($B34&gt;Inputs!$G$17,"",H34+K34+L34)</f>
        <v/>
      </c>
      <c r="N34" s="149">
        <f>IF($B34&gt;Inputs!$G$17,N33,N33+M34)</f>
        <v>82377292.758432016</v>
      </c>
      <c r="O34" s="153" t="str">
        <f>IF($B34&gt;Inputs!$G$17,"",LOOKUP($B34,'Cash Flow'!$F$2:$AJ$2,'Cash Flow'!$F$71:$AJ$71))</f>
        <v/>
      </c>
      <c r="P34" s="154" t="str">
        <f>IF($B34&gt;Inputs!$G$17,"",LOOKUP($B34,'Cash Flow'!$F$2:$AJ$2,'Cash Flow'!$F$44:$AJ$44))</f>
        <v/>
      </c>
      <c r="R34" s="327" t="str">
        <f>IF($B34&gt;Inputs!$G$17,"",D34+K34+L34)</f>
        <v/>
      </c>
      <c r="S34" s="328" t="str">
        <f>IF($B34&gt;Inputs!$G$17,"",-(E34+F34+G34))</f>
        <v/>
      </c>
    </row>
    <row r="35" spans="2:19" ht="15">
      <c r="B35" s="157">
        <v>29</v>
      </c>
      <c r="C35" s="152" t="str">
        <f>IF($B35&gt;Inputs!$G$17,"",IF($B35&lt;=Inputs!$Q$6,LOOKUP($B35,'Cash Flow'!$F$2:$AJ$2,'Cash Flow'!$F$14:$AJ$14),LOOKUP($B35,'Cash Flow'!$F$2:$AJ$2,'Cash Flow'!$F$16:$AJ$16)))</f>
        <v/>
      </c>
      <c r="D35" s="149" t="str">
        <f>IF($B35&gt;Inputs!$G$17,"",LOOKUP($B35,'Cash Flow'!$F$2:$AJ$2,'Cash Flow'!$F$23:$AJ$23))</f>
        <v/>
      </c>
      <c r="E35" s="149" t="str">
        <f>IF($B35&gt;Inputs!$G$17,"",LOOKUP($B35,'Cash Flow'!$F$2:$AJ$2,'Cash Flow'!$F$38:$AJ$38))</f>
        <v/>
      </c>
      <c r="F35" s="149" t="str">
        <f>IF($B35&gt;Inputs!$G$17,"",LOOKUP($B35,'Cash Flow'!$F$2:$AJ$2,'Cash Flow'!$F$88:$AJ$88))</f>
        <v/>
      </c>
      <c r="G35" s="149" t="str">
        <f>IF($B35&gt;Inputs!$G$17,"",LOOKUP($B35,'Cash Flow'!$F$2:$AJ$2,'Cash Flow'!$F$50:$AJ$50)+LOOKUP($B35,'Cash Flow'!$F$2:$AJ$2,'Cash Flow'!$F$51:$AJ$51))</f>
        <v/>
      </c>
      <c r="H35" s="149" t="str">
        <f>IF($B35&gt;Inputs!$G$17,"",SUM(D35:G35))</f>
        <v/>
      </c>
      <c r="I35" s="149" t="str">
        <f>IF($B35&gt;Inputs!$G$17,"",LOOKUP($B35,'Cash Flow'!$F$2:$AJ$2,'Cash Flow'!$F$63:$AJ$63))</f>
        <v/>
      </c>
      <c r="J35" s="149" t="str">
        <f>IF($B35&gt;Inputs!$G$17,"",LOOKUP($B35,'Cash Flow'!$F$2:$AJ$2,'Cash Flow'!$F$64:$AJ$64))</f>
        <v/>
      </c>
      <c r="K35" s="149" t="str">
        <f>IF($B35&gt;Inputs!$G$17,"",LOOKUP($B35,'Cash Flow'!$F$2:$AJ$2,'Cash Flow'!$F$66:$AJ$66)+LOOKUP($B35,'Cash Flow'!$F$2:$AJ$2,'Cash Flow'!$F$68:$AJ$68))</f>
        <v/>
      </c>
      <c r="L35" s="149" t="str">
        <f>IF($B35&gt;Inputs!$G$17,"",LOOKUP($B35,'Cash Flow'!$F$2:$AJ$2,'Cash Flow'!$F$67:$AJ$67)+LOOKUP($B35,'Cash Flow'!$F$2:$AJ$2,'Cash Flow'!$F$69:$AJ$69))</f>
        <v/>
      </c>
      <c r="M35" s="149" t="str">
        <f>IF($B35&gt;Inputs!$G$17,"",H35+K35+L35)</f>
        <v/>
      </c>
      <c r="N35" s="149">
        <f>IF($B35&gt;Inputs!$G$17,N34,N34+M35)</f>
        <v>82377292.758432016</v>
      </c>
      <c r="O35" s="153" t="str">
        <f>IF($B35&gt;Inputs!$G$17,"",LOOKUP($B35,'Cash Flow'!$F$2:$AJ$2,'Cash Flow'!$F$71:$AJ$71))</f>
        <v/>
      </c>
      <c r="P35" s="154" t="str">
        <f>IF($B35&gt;Inputs!$G$17,"",LOOKUP($B35,'Cash Flow'!$F$2:$AJ$2,'Cash Flow'!$F$44:$AJ$44))</f>
        <v/>
      </c>
      <c r="R35" s="327" t="str">
        <f>IF($B35&gt;Inputs!$G$17,"",D35+K35+L35)</f>
        <v/>
      </c>
      <c r="S35" s="328" t="str">
        <f>IF($B35&gt;Inputs!$G$17,"",-(E35+F35+G35))</f>
        <v/>
      </c>
    </row>
    <row r="36" spans="2:19" ht="15">
      <c r="B36" s="151">
        <v>30</v>
      </c>
      <c r="C36" s="152" t="str">
        <f>IF($B36&gt;Inputs!$G$17,"",IF($B36&lt;=Inputs!$Q$6,LOOKUP($B36,'Cash Flow'!$F$2:$AJ$2,'Cash Flow'!$F$14:$AJ$14),LOOKUP($B36,'Cash Flow'!$F$2:$AJ$2,'Cash Flow'!$F$16:$AJ$16)))</f>
        <v/>
      </c>
      <c r="D36" s="149" t="str">
        <f>IF($B36&gt;Inputs!$G$17,"",LOOKUP($B36,'Cash Flow'!$F$2:$AJ$2,'Cash Flow'!$F$23:$AJ$23))</f>
        <v/>
      </c>
      <c r="E36" s="149" t="str">
        <f>IF($B36&gt;Inputs!$G$17,"",LOOKUP($B36,'Cash Flow'!$F$2:$AJ$2,'Cash Flow'!$F$38:$AJ$38))</f>
        <v/>
      </c>
      <c r="F36" s="149" t="str">
        <f>IF($B36&gt;Inputs!$G$17,"",LOOKUP($B36,'Cash Flow'!$F$2:$AJ$2,'Cash Flow'!$F$88:$AJ$88))</f>
        <v/>
      </c>
      <c r="G36" s="149" t="str">
        <f>IF($B36&gt;Inputs!$G$17,"",LOOKUP($B36,'Cash Flow'!$F$2:$AJ$2,'Cash Flow'!$F$50:$AJ$50)+LOOKUP($B36,'Cash Flow'!$F$2:$AJ$2,'Cash Flow'!$F$51:$AJ$51))</f>
        <v/>
      </c>
      <c r="H36" s="149" t="str">
        <f>IF($B36&gt;Inputs!$G$17,"",SUM(D36:G36))</f>
        <v/>
      </c>
      <c r="I36" s="149" t="str">
        <f>IF($B36&gt;Inputs!$G$17,"",LOOKUP($B36,'Cash Flow'!$F$2:$AJ$2,'Cash Flow'!$F$63:$AJ$63))</f>
        <v/>
      </c>
      <c r="J36" s="149" t="str">
        <f>IF($B36&gt;Inputs!$G$17,"",LOOKUP($B36,'Cash Flow'!$F$2:$AJ$2,'Cash Flow'!$F$64:$AJ$64))</f>
        <v/>
      </c>
      <c r="K36" s="149" t="str">
        <f>IF($B36&gt;Inputs!$G$17,"",LOOKUP($B36,'Cash Flow'!$F$2:$AJ$2,'Cash Flow'!$F$66:$AJ$66)+LOOKUP($B36,'Cash Flow'!$F$2:$AJ$2,'Cash Flow'!$F$68:$AJ$68))</f>
        <v/>
      </c>
      <c r="L36" s="149" t="str">
        <f>IF($B36&gt;Inputs!$G$17,"",LOOKUP($B36,'Cash Flow'!$F$2:$AJ$2,'Cash Flow'!$F$67:$AJ$67)+LOOKUP($B36,'Cash Flow'!$F$2:$AJ$2,'Cash Flow'!$F$69:$AJ$69))</f>
        <v/>
      </c>
      <c r="M36" s="149" t="str">
        <f>IF($B36&gt;Inputs!$G$17,"",H36+K36+L36)</f>
        <v/>
      </c>
      <c r="N36" s="149">
        <f>IF($B36&gt;Inputs!$G$17,N35,N35+M36)</f>
        <v>82377292.758432016</v>
      </c>
      <c r="O36" s="153" t="str">
        <f>IF($B36&gt;Inputs!$G$17,"",LOOKUP($B36,'Cash Flow'!$F$2:$AJ$2,'Cash Flow'!$F$71:$AJ$71))</f>
        <v/>
      </c>
      <c r="P36" s="154" t="str">
        <f>IF($B36&gt;Inputs!$G$17,"",LOOKUP($B36,'Cash Flow'!$F$2:$AJ$2,'Cash Flow'!$F$44:$AJ$44))</f>
        <v/>
      </c>
      <c r="R36" s="327" t="str">
        <f>IF($B36&gt;Inputs!$G$17,"",D36+K36+L36)</f>
        <v/>
      </c>
      <c r="S36" s="328" t="str">
        <f>IF($B36&gt;Inputs!$G$17,"",-(E36+F36+G36))</f>
        <v/>
      </c>
    </row>
    <row r="37" spans="2:19">
      <c r="B37" s="158"/>
      <c r="C37" s="159"/>
      <c r="D37" s="159"/>
      <c r="E37" s="159"/>
      <c r="F37" s="159"/>
      <c r="G37" s="170"/>
      <c r="H37" s="159"/>
      <c r="I37" s="159"/>
      <c r="J37" s="159"/>
      <c r="K37" s="159"/>
      <c r="L37" s="159"/>
      <c r="M37" s="170"/>
      <c r="N37" s="170"/>
      <c r="O37" s="170"/>
      <c r="P37" s="171"/>
      <c r="R37" s="329"/>
      <c r="S37" s="330"/>
    </row>
    <row r="38" spans="2:19">
      <c r="G38" s="172"/>
      <c r="M38" s="172"/>
      <c r="N38" s="172"/>
      <c r="O38" s="172"/>
      <c r="P38" s="172"/>
    </row>
  </sheetData>
  <mergeCells count="3">
    <mergeCell ref="R4:R5"/>
    <mergeCell ref="S4:S5"/>
    <mergeCell ref="R3:S3"/>
  </mergeCells>
  <conditionalFormatting sqref="N7:N36">
    <cfRule type="expression" dxfId="6" priority="1">
      <formula>$N7=$N6</formula>
    </cfRule>
  </conditionalFormatting>
  <pageMargins left="0.7" right="0.7" top="0.75" bottom="0.75" header="0.3" footer="0.3"/>
  <pageSetup orientation="portrait" horizontalDpi="4294967293"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J271"/>
  <sheetViews>
    <sheetView showGridLines="0" zoomScale="70" zoomScaleNormal="70" workbookViewId="0">
      <pane xSplit="5" ySplit="2" topLeftCell="F3" activePane="bottomRight" state="frozen"/>
      <selection pane="topRight" activeCell="D1" sqref="D1"/>
      <selection pane="bottomLeft" activeCell="A4" sqref="A4"/>
      <selection pane="bottomRight" activeCell="G169" sqref="G169"/>
    </sheetView>
  </sheetViews>
  <sheetFormatPr baseColWidth="10" defaultColWidth="8.83203125" defaultRowHeight="15"/>
  <cols>
    <col min="1" max="1" width="5.5" style="47" customWidth="1"/>
    <col min="2" max="2" width="58.6640625" style="47" customWidth="1"/>
    <col min="3" max="5" width="15.33203125" style="47" customWidth="1"/>
    <col min="6" max="6" width="20.33203125" style="47" customWidth="1"/>
    <col min="7" max="7" width="15.1640625" style="47" customWidth="1"/>
    <col min="8" max="8" width="15.83203125" style="47" customWidth="1"/>
    <col min="9" max="9" width="15.6640625" style="47" customWidth="1"/>
    <col min="10" max="10" width="17.5" style="47" customWidth="1"/>
    <col min="11" max="11" width="15.6640625" style="47" bestFit="1" customWidth="1"/>
    <col min="12" max="19" width="18.1640625" style="47" customWidth="1"/>
    <col min="20" max="22" width="16.33203125" style="47" customWidth="1"/>
    <col min="23" max="36" width="18.5" style="47" customWidth="1"/>
    <col min="37" max="228" width="9.1640625" style="47"/>
    <col min="229" max="229" width="5.5" style="47" customWidth="1"/>
    <col min="230" max="230" width="56.5" style="47" customWidth="1"/>
    <col min="231" max="231" width="15.33203125" style="47" customWidth="1"/>
    <col min="232" max="232" width="15.83203125" style="47" customWidth="1"/>
    <col min="233" max="233" width="15.1640625" style="47" customWidth="1"/>
    <col min="234" max="292" width="13.6640625" style="47" customWidth="1"/>
    <col min="293" max="484" width="9.1640625" style="47"/>
    <col min="485" max="485" width="5.5" style="47" customWidth="1"/>
    <col min="486" max="486" width="56.5" style="47" customWidth="1"/>
    <col min="487" max="487" width="15.33203125" style="47" customWidth="1"/>
    <col min="488" max="488" width="15.83203125" style="47" customWidth="1"/>
    <col min="489" max="489" width="15.1640625" style="47" customWidth="1"/>
    <col min="490" max="548" width="13.6640625" style="47" customWidth="1"/>
    <col min="549" max="740" width="9.1640625" style="47"/>
    <col min="741" max="741" width="5.5" style="47" customWidth="1"/>
    <col min="742" max="742" width="56.5" style="47" customWidth="1"/>
    <col min="743" max="743" width="15.33203125" style="47" customWidth="1"/>
    <col min="744" max="744" width="15.83203125" style="47" customWidth="1"/>
    <col min="745" max="745" width="15.1640625" style="47" customWidth="1"/>
    <col min="746" max="804" width="13.6640625" style="47" customWidth="1"/>
    <col min="805" max="996" width="9.1640625" style="47"/>
    <col min="997" max="997" width="5.5" style="47" customWidth="1"/>
    <col min="998" max="998" width="56.5" style="47" customWidth="1"/>
    <col min="999" max="999" width="15.33203125" style="47" customWidth="1"/>
    <col min="1000" max="1000" width="15.83203125" style="47" customWidth="1"/>
    <col min="1001" max="1001" width="15.1640625" style="47" customWidth="1"/>
    <col min="1002" max="1060" width="13.6640625" style="47" customWidth="1"/>
    <col min="1061" max="1252" width="9.1640625" style="47"/>
    <col min="1253" max="1253" width="5.5" style="47" customWidth="1"/>
    <col min="1254" max="1254" width="56.5" style="47" customWidth="1"/>
    <col min="1255" max="1255" width="15.33203125" style="47" customWidth="1"/>
    <col min="1256" max="1256" width="15.83203125" style="47" customWidth="1"/>
    <col min="1257" max="1257" width="15.1640625" style="47" customWidth="1"/>
    <col min="1258" max="1316" width="13.6640625" style="47" customWidth="1"/>
    <col min="1317" max="1508" width="9.1640625" style="47"/>
    <col min="1509" max="1509" width="5.5" style="47" customWidth="1"/>
    <col min="1510" max="1510" width="56.5" style="47" customWidth="1"/>
    <col min="1511" max="1511" width="15.33203125" style="47" customWidth="1"/>
    <col min="1512" max="1512" width="15.83203125" style="47" customWidth="1"/>
    <col min="1513" max="1513" width="15.1640625" style="47" customWidth="1"/>
    <col min="1514" max="1572" width="13.6640625" style="47" customWidth="1"/>
    <col min="1573" max="1764" width="9.1640625" style="47"/>
    <col min="1765" max="1765" width="5.5" style="47" customWidth="1"/>
    <col min="1766" max="1766" width="56.5" style="47" customWidth="1"/>
    <col min="1767" max="1767" width="15.33203125" style="47" customWidth="1"/>
    <col min="1768" max="1768" width="15.83203125" style="47" customWidth="1"/>
    <col min="1769" max="1769" width="15.1640625" style="47" customWidth="1"/>
    <col min="1770" max="1828" width="13.6640625" style="47" customWidth="1"/>
    <col min="1829" max="2020" width="9.1640625" style="47"/>
    <col min="2021" max="2021" width="5.5" style="47" customWidth="1"/>
    <col min="2022" max="2022" width="56.5" style="47" customWidth="1"/>
    <col min="2023" max="2023" width="15.33203125" style="47" customWidth="1"/>
    <col min="2024" max="2024" width="15.83203125" style="47" customWidth="1"/>
    <col min="2025" max="2025" width="15.1640625" style="47" customWidth="1"/>
    <col min="2026" max="2084" width="13.6640625" style="47" customWidth="1"/>
    <col min="2085" max="2276" width="9.1640625" style="47"/>
    <col min="2277" max="2277" width="5.5" style="47" customWidth="1"/>
    <col min="2278" max="2278" width="56.5" style="47" customWidth="1"/>
    <col min="2279" max="2279" width="15.33203125" style="47" customWidth="1"/>
    <col min="2280" max="2280" width="15.83203125" style="47" customWidth="1"/>
    <col min="2281" max="2281" width="15.1640625" style="47" customWidth="1"/>
    <col min="2282" max="2340" width="13.6640625" style="47" customWidth="1"/>
    <col min="2341" max="2532" width="9.1640625" style="47"/>
    <col min="2533" max="2533" width="5.5" style="47" customWidth="1"/>
    <col min="2534" max="2534" width="56.5" style="47" customWidth="1"/>
    <col min="2535" max="2535" width="15.33203125" style="47" customWidth="1"/>
    <col min="2536" max="2536" width="15.83203125" style="47" customWidth="1"/>
    <col min="2537" max="2537" width="15.1640625" style="47" customWidth="1"/>
    <col min="2538" max="2596" width="13.6640625" style="47" customWidth="1"/>
    <col min="2597" max="2788" width="9.1640625" style="47"/>
    <col min="2789" max="2789" width="5.5" style="47" customWidth="1"/>
    <col min="2790" max="2790" width="56.5" style="47" customWidth="1"/>
    <col min="2791" max="2791" width="15.33203125" style="47" customWidth="1"/>
    <col min="2792" max="2792" width="15.83203125" style="47" customWidth="1"/>
    <col min="2793" max="2793" width="15.1640625" style="47" customWidth="1"/>
    <col min="2794" max="2852" width="13.6640625" style="47" customWidth="1"/>
    <col min="2853" max="3044" width="9.1640625" style="47"/>
    <col min="3045" max="3045" width="5.5" style="47" customWidth="1"/>
    <col min="3046" max="3046" width="56.5" style="47" customWidth="1"/>
    <col min="3047" max="3047" width="15.33203125" style="47" customWidth="1"/>
    <col min="3048" max="3048" width="15.83203125" style="47" customWidth="1"/>
    <col min="3049" max="3049" width="15.1640625" style="47" customWidth="1"/>
    <col min="3050" max="3108" width="13.6640625" style="47" customWidth="1"/>
    <col min="3109" max="3300" width="9.1640625" style="47"/>
    <col min="3301" max="3301" width="5.5" style="47" customWidth="1"/>
    <col min="3302" max="3302" width="56.5" style="47" customWidth="1"/>
    <col min="3303" max="3303" width="15.33203125" style="47" customWidth="1"/>
    <col min="3304" max="3304" width="15.83203125" style="47" customWidth="1"/>
    <col min="3305" max="3305" width="15.1640625" style="47" customWidth="1"/>
    <col min="3306" max="3364" width="13.6640625" style="47" customWidth="1"/>
    <col min="3365" max="3556" width="9.1640625" style="47"/>
    <col min="3557" max="3557" width="5.5" style="47" customWidth="1"/>
    <col min="3558" max="3558" width="56.5" style="47" customWidth="1"/>
    <col min="3559" max="3559" width="15.33203125" style="47" customWidth="1"/>
    <col min="3560" max="3560" width="15.83203125" style="47" customWidth="1"/>
    <col min="3561" max="3561" width="15.1640625" style="47" customWidth="1"/>
    <col min="3562" max="3620" width="13.6640625" style="47" customWidth="1"/>
    <col min="3621" max="3812" width="9.1640625" style="47"/>
    <col min="3813" max="3813" width="5.5" style="47" customWidth="1"/>
    <col min="3814" max="3814" width="56.5" style="47" customWidth="1"/>
    <col min="3815" max="3815" width="15.33203125" style="47" customWidth="1"/>
    <col min="3816" max="3816" width="15.83203125" style="47" customWidth="1"/>
    <col min="3817" max="3817" width="15.1640625" style="47" customWidth="1"/>
    <col min="3818" max="3876" width="13.6640625" style="47" customWidth="1"/>
    <col min="3877" max="4068" width="9.1640625" style="47"/>
    <col min="4069" max="4069" width="5.5" style="47" customWidth="1"/>
    <col min="4070" max="4070" width="56.5" style="47" customWidth="1"/>
    <col min="4071" max="4071" width="15.33203125" style="47" customWidth="1"/>
    <col min="4072" max="4072" width="15.83203125" style="47" customWidth="1"/>
    <col min="4073" max="4073" width="15.1640625" style="47" customWidth="1"/>
    <col min="4074" max="4132" width="13.6640625" style="47" customWidth="1"/>
    <col min="4133" max="4324" width="9.1640625" style="47"/>
    <col min="4325" max="4325" width="5.5" style="47" customWidth="1"/>
    <col min="4326" max="4326" width="56.5" style="47" customWidth="1"/>
    <col min="4327" max="4327" width="15.33203125" style="47" customWidth="1"/>
    <col min="4328" max="4328" width="15.83203125" style="47" customWidth="1"/>
    <col min="4329" max="4329" width="15.1640625" style="47" customWidth="1"/>
    <col min="4330" max="4388" width="13.6640625" style="47" customWidth="1"/>
    <col min="4389" max="4580" width="9.1640625" style="47"/>
    <col min="4581" max="4581" width="5.5" style="47" customWidth="1"/>
    <col min="4582" max="4582" width="56.5" style="47" customWidth="1"/>
    <col min="4583" max="4583" width="15.33203125" style="47" customWidth="1"/>
    <col min="4584" max="4584" width="15.83203125" style="47" customWidth="1"/>
    <col min="4585" max="4585" width="15.1640625" style="47" customWidth="1"/>
    <col min="4586" max="4644" width="13.6640625" style="47" customWidth="1"/>
    <col min="4645" max="4836" width="9.1640625" style="47"/>
    <col min="4837" max="4837" width="5.5" style="47" customWidth="1"/>
    <col min="4838" max="4838" width="56.5" style="47" customWidth="1"/>
    <col min="4839" max="4839" width="15.33203125" style="47" customWidth="1"/>
    <col min="4840" max="4840" width="15.83203125" style="47" customWidth="1"/>
    <col min="4841" max="4841" width="15.1640625" style="47" customWidth="1"/>
    <col min="4842" max="4900" width="13.6640625" style="47" customWidth="1"/>
    <col min="4901" max="5092" width="9.1640625" style="47"/>
    <col min="5093" max="5093" width="5.5" style="47" customWidth="1"/>
    <col min="5094" max="5094" width="56.5" style="47" customWidth="1"/>
    <col min="5095" max="5095" width="15.33203125" style="47" customWidth="1"/>
    <col min="5096" max="5096" width="15.83203125" style="47" customWidth="1"/>
    <col min="5097" max="5097" width="15.1640625" style="47" customWidth="1"/>
    <col min="5098" max="5156" width="13.6640625" style="47" customWidth="1"/>
    <col min="5157" max="5348" width="9.1640625" style="47"/>
    <col min="5349" max="5349" width="5.5" style="47" customWidth="1"/>
    <col min="5350" max="5350" width="56.5" style="47" customWidth="1"/>
    <col min="5351" max="5351" width="15.33203125" style="47" customWidth="1"/>
    <col min="5352" max="5352" width="15.83203125" style="47" customWidth="1"/>
    <col min="5353" max="5353" width="15.1640625" style="47" customWidth="1"/>
    <col min="5354" max="5412" width="13.6640625" style="47" customWidth="1"/>
    <col min="5413" max="5604" width="9.1640625" style="47"/>
    <col min="5605" max="5605" width="5.5" style="47" customWidth="1"/>
    <col min="5606" max="5606" width="56.5" style="47" customWidth="1"/>
    <col min="5607" max="5607" width="15.33203125" style="47" customWidth="1"/>
    <col min="5608" max="5608" width="15.83203125" style="47" customWidth="1"/>
    <col min="5609" max="5609" width="15.1640625" style="47" customWidth="1"/>
    <col min="5610" max="5668" width="13.6640625" style="47" customWidth="1"/>
    <col min="5669" max="5860" width="9.1640625" style="47"/>
    <col min="5861" max="5861" width="5.5" style="47" customWidth="1"/>
    <col min="5862" max="5862" width="56.5" style="47" customWidth="1"/>
    <col min="5863" max="5863" width="15.33203125" style="47" customWidth="1"/>
    <col min="5864" max="5864" width="15.83203125" style="47" customWidth="1"/>
    <col min="5865" max="5865" width="15.1640625" style="47" customWidth="1"/>
    <col min="5866" max="5924" width="13.6640625" style="47" customWidth="1"/>
    <col min="5925" max="6116" width="9.1640625" style="47"/>
    <col min="6117" max="6117" width="5.5" style="47" customWidth="1"/>
    <col min="6118" max="6118" width="56.5" style="47" customWidth="1"/>
    <col min="6119" max="6119" width="15.33203125" style="47" customWidth="1"/>
    <col min="6120" max="6120" width="15.83203125" style="47" customWidth="1"/>
    <col min="6121" max="6121" width="15.1640625" style="47" customWidth="1"/>
    <col min="6122" max="6180" width="13.6640625" style="47" customWidth="1"/>
    <col min="6181" max="6372" width="9.1640625" style="47"/>
    <col min="6373" max="6373" width="5.5" style="47" customWidth="1"/>
    <col min="6374" max="6374" width="56.5" style="47" customWidth="1"/>
    <col min="6375" max="6375" width="15.33203125" style="47" customWidth="1"/>
    <col min="6376" max="6376" width="15.83203125" style="47" customWidth="1"/>
    <col min="6377" max="6377" width="15.1640625" style="47" customWidth="1"/>
    <col min="6378" max="6436" width="13.6640625" style="47" customWidth="1"/>
    <col min="6437" max="6628" width="9.1640625" style="47"/>
    <col min="6629" max="6629" width="5.5" style="47" customWidth="1"/>
    <col min="6630" max="6630" width="56.5" style="47" customWidth="1"/>
    <col min="6631" max="6631" width="15.33203125" style="47" customWidth="1"/>
    <col min="6632" max="6632" width="15.83203125" style="47" customWidth="1"/>
    <col min="6633" max="6633" width="15.1640625" style="47" customWidth="1"/>
    <col min="6634" max="6692" width="13.6640625" style="47" customWidth="1"/>
    <col min="6693" max="6884" width="9.1640625" style="47"/>
    <col min="6885" max="6885" width="5.5" style="47" customWidth="1"/>
    <col min="6886" max="6886" width="56.5" style="47" customWidth="1"/>
    <col min="6887" max="6887" width="15.33203125" style="47" customWidth="1"/>
    <col min="6888" max="6888" width="15.83203125" style="47" customWidth="1"/>
    <col min="6889" max="6889" width="15.1640625" style="47" customWidth="1"/>
    <col min="6890" max="6948" width="13.6640625" style="47" customWidth="1"/>
    <col min="6949" max="7140" width="9.1640625" style="47"/>
    <col min="7141" max="7141" width="5.5" style="47" customWidth="1"/>
    <col min="7142" max="7142" width="56.5" style="47" customWidth="1"/>
    <col min="7143" max="7143" width="15.33203125" style="47" customWidth="1"/>
    <col min="7144" max="7144" width="15.83203125" style="47" customWidth="1"/>
    <col min="7145" max="7145" width="15.1640625" style="47" customWidth="1"/>
    <col min="7146" max="7204" width="13.6640625" style="47" customWidth="1"/>
    <col min="7205" max="7396" width="9.1640625" style="47"/>
    <col min="7397" max="7397" width="5.5" style="47" customWidth="1"/>
    <col min="7398" max="7398" width="56.5" style="47" customWidth="1"/>
    <col min="7399" max="7399" width="15.33203125" style="47" customWidth="1"/>
    <col min="7400" max="7400" width="15.83203125" style="47" customWidth="1"/>
    <col min="7401" max="7401" width="15.1640625" style="47" customWidth="1"/>
    <col min="7402" max="7460" width="13.6640625" style="47" customWidth="1"/>
    <col min="7461" max="7652" width="9.1640625" style="47"/>
    <col min="7653" max="7653" width="5.5" style="47" customWidth="1"/>
    <col min="7654" max="7654" width="56.5" style="47" customWidth="1"/>
    <col min="7655" max="7655" width="15.33203125" style="47" customWidth="1"/>
    <col min="7656" max="7656" width="15.83203125" style="47" customWidth="1"/>
    <col min="7657" max="7657" width="15.1640625" style="47" customWidth="1"/>
    <col min="7658" max="7716" width="13.6640625" style="47" customWidth="1"/>
    <col min="7717" max="7908" width="9.1640625" style="47"/>
    <col min="7909" max="7909" width="5.5" style="47" customWidth="1"/>
    <col min="7910" max="7910" width="56.5" style="47" customWidth="1"/>
    <col min="7911" max="7911" width="15.33203125" style="47" customWidth="1"/>
    <col min="7912" max="7912" width="15.83203125" style="47" customWidth="1"/>
    <col min="7913" max="7913" width="15.1640625" style="47" customWidth="1"/>
    <col min="7914" max="7972" width="13.6640625" style="47" customWidth="1"/>
    <col min="7973" max="8164" width="9.1640625" style="47"/>
    <col min="8165" max="8165" width="5.5" style="47" customWidth="1"/>
    <col min="8166" max="8166" width="56.5" style="47" customWidth="1"/>
    <col min="8167" max="8167" width="15.33203125" style="47" customWidth="1"/>
    <col min="8168" max="8168" width="15.83203125" style="47" customWidth="1"/>
    <col min="8169" max="8169" width="15.1640625" style="47" customWidth="1"/>
    <col min="8170" max="8228" width="13.6640625" style="47" customWidth="1"/>
    <col min="8229" max="8420" width="9.1640625" style="47"/>
    <col min="8421" max="8421" width="5.5" style="47" customWidth="1"/>
    <col min="8422" max="8422" width="56.5" style="47" customWidth="1"/>
    <col min="8423" max="8423" width="15.33203125" style="47" customWidth="1"/>
    <col min="8424" max="8424" width="15.83203125" style="47" customWidth="1"/>
    <col min="8425" max="8425" width="15.1640625" style="47" customWidth="1"/>
    <col min="8426" max="8484" width="13.6640625" style="47" customWidth="1"/>
    <col min="8485" max="8676" width="9.1640625" style="47"/>
    <col min="8677" max="8677" width="5.5" style="47" customWidth="1"/>
    <col min="8678" max="8678" width="56.5" style="47" customWidth="1"/>
    <col min="8679" max="8679" width="15.33203125" style="47" customWidth="1"/>
    <col min="8680" max="8680" width="15.83203125" style="47" customWidth="1"/>
    <col min="8681" max="8681" width="15.1640625" style="47" customWidth="1"/>
    <col min="8682" max="8740" width="13.6640625" style="47" customWidth="1"/>
    <col min="8741" max="8932" width="9.1640625" style="47"/>
    <col min="8933" max="8933" width="5.5" style="47" customWidth="1"/>
    <col min="8934" max="8934" width="56.5" style="47" customWidth="1"/>
    <col min="8935" max="8935" width="15.33203125" style="47" customWidth="1"/>
    <col min="8936" max="8936" width="15.83203125" style="47" customWidth="1"/>
    <col min="8937" max="8937" width="15.1640625" style="47" customWidth="1"/>
    <col min="8938" max="8996" width="13.6640625" style="47" customWidth="1"/>
    <col min="8997" max="9188" width="9.1640625" style="47"/>
    <col min="9189" max="9189" width="5.5" style="47" customWidth="1"/>
    <col min="9190" max="9190" width="56.5" style="47" customWidth="1"/>
    <col min="9191" max="9191" width="15.33203125" style="47" customWidth="1"/>
    <col min="9192" max="9192" width="15.83203125" style="47" customWidth="1"/>
    <col min="9193" max="9193" width="15.1640625" style="47" customWidth="1"/>
    <col min="9194" max="9252" width="13.6640625" style="47" customWidth="1"/>
    <col min="9253" max="9444" width="9.1640625" style="47"/>
    <col min="9445" max="9445" width="5.5" style="47" customWidth="1"/>
    <col min="9446" max="9446" width="56.5" style="47" customWidth="1"/>
    <col min="9447" max="9447" width="15.33203125" style="47" customWidth="1"/>
    <col min="9448" max="9448" width="15.83203125" style="47" customWidth="1"/>
    <col min="9449" max="9449" width="15.1640625" style="47" customWidth="1"/>
    <col min="9450" max="9508" width="13.6640625" style="47" customWidth="1"/>
    <col min="9509" max="9700" width="9.1640625" style="47"/>
    <col min="9701" max="9701" width="5.5" style="47" customWidth="1"/>
    <col min="9702" max="9702" width="56.5" style="47" customWidth="1"/>
    <col min="9703" max="9703" width="15.33203125" style="47" customWidth="1"/>
    <col min="9704" max="9704" width="15.83203125" style="47" customWidth="1"/>
    <col min="9705" max="9705" width="15.1640625" style="47" customWidth="1"/>
    <col min="9706" max="9764" width="13.6640625" style="47" customWidth="1"/>
    <col min="9765" max="9956" width="9.1640625" style="47"/>
    <col min="9957" max="9957" width="5.5" style="47" customWidth="1"/>
    <col min="9958" max="9958" width="56.5" style="47" customWidth="1"/>
    <col min="9959" max="9959" width="15.33203125" style="47" customWidth="1"/>
    <col min="9960" max="9960" width="15.83203125" style="47" customWidth="1"/>
    <col min="9961" max="9961" width="15.1640625" style="47" customWidth="1"/>
    <col min="9962" max="10020" width="13.6640625" style="47" customWidth="1"/>
    <col min="10021" max="10212" width="9.1640625" style="47"/>
    <col min="10213" max="10213" width="5.5" style="47" customWidth="1"/>
    <col min="10214" max="10214" width="56.5" style="47" customWidth="1"/>
    <col min="10215" max="10215" width="15.33203125" style="47" customWidth="1"/>
    <col min="10216" max="10216" width="15.83203125" style="47" customWidth="1"/>
    <col min="10217" max="10217" width="15.1640625" style="47" customWidth="1"/>
    <col min="10218" max="10276" width="13.6640625" style="47" customWidth="1"/>
    <col min="10277" max="10468" width="9.1640625" style="47"/>
    <col min="10469" max="10469" width="5.5" style="47" customWidth="1"/>
    <col min="10470" max="10470" width="56.5" style="47" customWidth="1"/>
    <col min="10471" max="10471" width="15.33203125" style="47" customWidth="1"/>
    <col min="10472" max="10472" width="15.83203125" style="47" customWidth="1"/>
    <col min="10473" max="10473" width="15.1640625" style="47" customWidth="1"/>
    <col min="10474" max="10532" width="13.6640625" style="47" customWidth="1"/>
    <col min="10533" max="10724" width="9.1640625" style="47"/>
    <col min="10725" max="10725" width="5.5" style="47" customWidth="1"/>
    <col min="10726" max="10726" width="56.5" style="47" customWidth="1"/>
    <col min="10727" max="10727" width="15.33203125" style="47" customWidth="1"/>
    <col min="10728" max="10728" width="15.83203125" style="47" customWidth="1"/>
    <col min="10729" max="10729" width="15.1640625" style="47" customWidth="1"/>
    <col min="10730" max="10788" width="13.6640625" style="47" customWidth="1"/>
    <col min="10789" max="10980" width="9.1640625" style="47"/>
    <col min="10981" max="10981" width="5.5" style="47" customWidth="1"/>
    <col min="10982" max="10982" width="56.5" style="47" customWidth="1"/>
    <col min="10983" max="10983" width="15.33203125" style="47" customWidth="1"/>
    <col min="10984" max="10984" width="15.83203125" style="47" customWidth="1"/>
    <col min="10985" max="10985" width="15.1640625" style="47" customWidth="1"/>
    <col min="10986" max="11044" width="13.6640625" style="47" customWidth="1"/>
    <col min="11045" max="11236" width="9.1640625" style="47"/>
    <col min="11237" max="11237" width="5.5" style="47" customWidth="1"/>
    <col min="11238" max="11238" width="56.5" style="47" customWidth="1"/>
    <col min="11239" max="11239" width="15.33203125" style="47" customWidth="1"/>
    <col min="11240" max="11240" width="15.83203125" style="47" customWidth="1"/>
    <col min="11241" max="11241" width="15.1640625" style="47" customWidth="1"/>
    <col min="11242" max="11300" width="13.6640625" style="47" customWidth="1"/>
    <col min="11301" max="11492" width="9.1640625" style="47"/>
    <col min="11493" max="11493" width="5.5" style="47" customWidth="1"/>
    <col min="11494" max="11494" width="56.5" style="47" customWidth="1"/>
    <col min="11495" max="11495" width="15.33203125" style="47" customWidth="1"/>
    <col min="11496" max="11496" width="15.83203125" style="47" customWidth="1"/>
    <col min="11497" max="11497" width="15.1640625" style="47" customWidth="1"/>
    <col min="11498" max="11556" width="13.6640625" style="47" customWidth="1"/>
    <col min="11557" max="11748" width="9.1640625" style="47"/>
    <col min="11749" max="11749" width="5.5" style="47" customWidth="1"/>
    <col min="11750" max="11750" width="56.5" style="47" customWidth="1"/>
    <col min="11751" max="11751" width="15.33203125" style="47" customWidth="1"/>
    <col min="11752" max="11752" width="15.83203125" style="47" customWidth="1"/>
    <col min="11753" max="11753" width="15.1640625" style="47" customWidth="1"/>
    <col min="11754" max="11812" width="13.6640625" style="47" customWidth="1"/>
    <col min="11813" max="12004" width="9.1640625" style="47"/>
    <col min="12005" max="12005" width="5.5" style="47" customWidth="1"/>
    <col min="12006" max="12006" width="56.5" style="47" customWidth="1"/>
    <col min="12007" max="12007" width="15.33203125" style="47" customWidth="1"/>
    <col min="12008" max="12008" width="15.83203125" style="47" customWidth="1"/>
    <col min="12009" max="12009" width="15.1640625" style="47" customWidth="1"/>
    <col min="12010" max="12068" width="13.6640625" style="47" customWidth="1"/>
    <col min="12069" max="12260" width="9.1640625" style="47"/>
    <col min="12261" max="12261" width="5.5" style="47" customWidth="1"/>
    <col min="12262" max="12262" width="56.5" style="47" customWidth="1"/>
    <col min="12263" max="12263" width="15.33203125" style="47" customWidth="1"/>
    <col min="12264" max="12264" width="15.83203125" style="47" customWidth="1"/>
    <col min="12265" max="12265" width="15.1640625" style="47" customWidth="1"/>
    <col min="12266" max="12324" width="13.6640625" style="47" customWidth="1"/>
    <col min="12325" max="12516" width="9.1640625" style="47"/>
    <col min="12517" max="12517" width="5.5" style="47" customWidth="1"/>
    <col min="12518" max="12518" width="56.5" style="47" customWidth="1"/>
    <col min="12519" max="12519" width="15.33203125" style="47" customWidth="1"/>
    <col min="12520" max="12520" width="15.83203125" style="47" customWidth="1"/>
    <col min="12521" max="12521" width="15.1640625" style="47" customWidth="1"/>
    <col min="12522" max="12580" width="13.6640625" style="47" customWidth="1"/>
    <col min="12581" max="12772" width="9.1640625" style="47"/>
    <col min="12773" max="12773" width="5.5" style="47" customWidth="1"/>
    <col min="12774" max="12774" width="56.5" style="47" customWidth="1"/>
    <col min="12775" max="12775" width="15.33203125" style="47" customWidth="1"/>
    <col min="12776" max="12776" width="15.83203125" style="47" customWidth="1"/>
    <col min="12777" max="12777" width="15.1640625" style="47" customWidth="1"/>
    <col min="12778" max="12836" width="13.6640625" style="47" customWidth="1"/>
    <col min="12837" max="13028" width="9.1640625" style="47"/>
    <col min="13029" max="13029" width="5.5" style="47" customWidth="1"/>
    <col min="13030" max="13030" width="56.5" style="47" customWidth="1"/>
    <col min="13031" max="13031" width="15.33203125" style="47" customWidth="1"/>
    <col min="13032" max="13032" width="15.83203125" style="47" customWidth="1"/>
    <col min="13033" max="13033" width="15.1640625" style="47" customWidth="1"/>
    <col min="13034" max="13092" width="13.6640625" style="47" customWidth="1"/>
    <col min="13093" max="13284" width="9.1640625" style="47"/>
    <col min="13285" max="13285" width="5.5" style="47" customWidth="1"/>
    <col min="13286" max="13286" width="56.5" style="47" customWidth="1"/>
    <col min="13287" max="13287" width="15.33203125" style="47" customWidth="1"/>
    <col min="13288" max="13288" width="15.83203125" style="47" customWidth="1"/>
    <col min="13289" max="13289" width="15.1640625" style="47" customWidth="1"/>
    <col min="13290" max="13348" width="13.6640625" style="47" customWidth="1"/>
    <col min="13349" max="13540" width="9.1640625" style="47"/>
    <col min="13541" max="13541" width="5.5" style="47" customWidth="1"/>
    <col min="13542" max="13542" width="56.5" style="47" customWidth="1"/>
    <col min="13543" max="13543" width="15.33203125" style="47" customWidth="1"/>
    <col min="13544" max="13544" width="15.83203125" style="47" customWidth="1"/>
    <col min="13545" max="13545" width="15.1640625" style="47" customWidth="1"/>
    <col min="13546" max="13604" width="13.6640625" style="47" customWidth="1"/>
    <col min="13605" max="13796" width="9.1640625" style="47"/>
    <col min="13797" max="13797" width="5.5" style="47" customWidth="1"/>
    <col min="13798" max="13798" width="56.5" style="47" customWidth="1"/>
    <col min="13799" max="13799" width="15.33203125" style="47" customWidth="1"/>
    <col min="13800" max="13800" width="15.83203125" style="47" customWidth="1"/>
    <col min="13801" max="13801" width="15.1640625" style="47" customWidth="1"/>
    <col min="13802" max="13860" width="13.6640625" style="47" customWidth="1"/>
    <col min="13861" max="14052" width="9.1640625" style="47"/>
    <col min="14053" max="14053" width="5.5" style="47" customWidth="1"/>
    <col min="14054" max="14054" width="56.5" style="47" customWidth="1"/>
    <col min="14055" max="14055" width="15.33203125" style="47" customWidth="1"/>
    <col min="14056" max="14056" width="15.83203125" style="47" customWidth="1"/>
    <col min="14057" max="14057" width="15.1640625" style="47" customWidth="1"/>
    <col min="14058" max="14116" width="13.6640625" style="47" customWidth="1"/>
    <col min="14117" max="14308" width="9.1640625" style="47"/>
    <col min="14309" max="14309" width="5.5" style="47" customWidth="1"/>
    <col min="14310" max="14310" width="56.5" style="47" customWidth="1"/>
    <col min="14311" max="14311" width="15.33203125" style="47" customWidth="1"/>
    <col min="14312" max="14312" width="15.83203125" style="47" customWidth="1"/>
    <col min="14313" max="14313" width="15.1640625" style="47" customWidth="1"/>
    <col min="14314" max="14372" width="13.6640625" style="47" customWidth="1"/>
    <col min="14373" max="14564" width="9.1640625" style="47"/>
    <col min="14565" max="14565" width="5.5" style="47" customWidth="1"/>
    <col min="14566" max="14566" width="56.5" style="47" customWidth="1"/>
    <col min="14567" max="14567" width="15.33203125" style="47" customWidth="1"/>
    <col min="14568" max="14568" width="15.83203125" style="47" customWidth="1"/>
    <col min="14569" max="14569" width="15.1640625" style="47" customWidth="1"/>
    <col min="14570" max="14628" width="13.6640625" style="47" customWidth="1"/>
    <col min="14629" max="14820" width="9.1640625" style="47"/>
    <col min="14821" max="14821" width="5.5" style="47" customWidth="1"/>
    <col min="14822" max="14822" width="56.5" style="47" customWidth="1"/>
    <col min="14823" max="14823" width="15.33203125" style="47" customWidth="1"/>
    <col min="14824" max="14824" width="15.83203125" style="47" customWidth="1"/>
    <col min="14825" max="14825" width="15.1640625" style="47" customWidth="1"/>
    <col min="14826" max="14884" width="13.6640625" style="47" customWidth="1"/>
    <col min="14885" max="15076" width="9.1640625" style="47"/>
    <col min="15077" max="15077" width="5.5" style="47" customWidth="1"/>
    <col min="15078" max="15078" width="56.5" style="47" customWidth="1"/>
    <col min="15079" max="15079" width="15.33203125" style="47" customWidth="1"/>
    <col min="15080" max="15080" width="15.83203125" style="47" customWidth="1"/>
    <col min="15081" max="15081" width="15.1640625" style="47" customWidth="1"/>
    <col min="15082" max="15140" width="13.6640625" style="47" customWidth="1"/>
    <col min="15141" max="15332" width="9.1640625" style="47"/>
    <col min="15333" max="15333" width="5.5" style="47" customWidth="1"/>
    <col min="15334" max="15334" width="56.5" style="47" customWidth="1"/>
    <col min="15335" max="15335" width="15.33203125" style="47" customWidth="1"/>
    <col min="15336" max="15336" width="15.83203125" style="47" customWidth="1"/>
    <col min="15337" max="15337" width="15.1640625" style="47" customWidth="1"/>
    <col min="15338" max="15396" width="13.6640625" style="47" customWidth="1"/>
    <col min="15397" max="15588" width="9.1640625" style="47"/>
    <col min="15589" max="15589" width="5.5" style="47" customWidth="1"/>
    <col min="15590" max="15590" width="56.5" style="47" customWidth="1"/>
    <col min="15591" max="15591" width="15.33203125" style="47" customWidth="1"/>
    <col min="15592" max="15592" width="15.83203125" style="47" customWidth="1"/>
    <col min="15593" max="15593" width="15.1640625" style="47" customWidth="1"/>
    <col min="15594" max="15652" width="13.6640625" style="47" customWidth="1"/>
    <col min="15653" max="15844" width="9.1640625" style="47"/>
    <col min="15845" max="15845" width="5.5" style="47" customWidth="1"/>
    <col min="15846" max="15846" width="56.5" style="47" customWidth="1"/>
    <col min="15847" max="15847" width="15.33203125" style="47" customWidth="1"/>
    <col min="15848" max="15848" width="15.83203125" style="47" customWidth="1"/>
    <col min="15849" max="15849" width="15.1640625" style="47" customWidth="1"/>
    <col min="15850" max="15908" width="13.6640625" style="47" customWidth="1"/>
    <col min="15909" max="16100" width="9.1640625" style="47"/>
    <col min="16101" max="16101" width="5.5" style="47" customWidth="1"/>
    <col min="16102" max="16102" width="56.5" style="47" customWidth="1"/>
    <col min="16103" max="16103" width="15.33203125" style="47" customWidth="1"/>
    <col min="16104" max="16104" width="15.83203125" style="47" customWidth="1"/>
    <col min="16105" max="16105" width="15.1640625" style="47" customWidth="1"/>
    <col min="16106" max="16164" width="13.6640625" style="47" customWidth="1"/>
    <col min="16165" max="16384" width="9.1640625" style="47"/>
  </cols>
  <sheetData>
    <row r="1" spans="2:36" ht="16">
      <c r="F1" s="12" t="s">
        <v>60</v>
      </c>
    </row>
    <row r="2" spans="2:36" s="11" customFormat="1" ht="16">
      <c r="B2" s="13" t="s">
        <v>114</v>
      </c>
      <c r="C2" s="13"/>
      <c r="D2" s="13"/>
      <c r="E2" s="224" t="s">
        <v>57</v>
      </c>
      <c r="F2" s="14">
        <v>0</v>
      </c>
      <c r="G2" s="14">
        <v>1</v>
      </c>
      <c r="H2" s="14">
        <v>2</v>
      </c>
      <c r="I2" s="14">
        <v>3</v>
      </c>
      <c r="J2" s="14">
        <v>4</v>
      </c>
      <c r="K2" s="14">
        <v>5</v>
      </c>
      <c r="L2" s="14">
        <v>6</v>
      </c>
      <c r="M2" s="14">
        <v>7</v>
      </c>
      <c r="N2" s="14">
        <v>8</v>
      </c>
      <c r="O2" s="14">
        <v>9</v>
      </c>
      <c r="P2" s="14">
        <v>10</v>
      </c>
      <c r="Q2" s="14">
        <v>11</v>
      </c>
      <c r="R2" s="14">
        <v>12</v>
      </c>
      <c r="S2" s="14">
        <v>13</v>
      </c>
      <c r="T2" s="14">
        <v>14</v>
      </c>
      <c r="U2" s="14">
        <v>15</v>
      </c>
      <c r="V2" s="14">
        <v>16</v>
      </c>
      <c r="W2" s="14">
        <v>17</v>
      </c>
      <c r="X2" s="14">
        <v>18</v>
      </c>
      <c r="Y2" s="14">
        <v>19</v>
      </c>
      <c r="Z2" s="14">
        <v>20</v>
      </c>
      <c r="AA2" s="14">
        <v>21</v>
      </c>
      <c r="AB2" s="14">
        <v>22</v>
      </c>
      <c r="AC2" s="14">
        <v>23</v>
      </c>
      <c r="AD2" s="14">
        <v>24</v>
      </c>
      <c r="AE2" s="14">
        <v>25</v>
      </c>
      <c r="AF2" s="14">
        <v>26</v>
      </c>
      <c r="AG2" s="14">
        <v>27</v>
      </c>
      <c r="AH2" s="14">
        <v>28</v>
      </c>
      <c r="AI2" s="14">
        <v>29</v>
      </c>
      <c r="AJ2" s="14">
        <v>30</v>
      </c>
    </row>
    <row r="3" spans="2:36" s="11" customFormat="1" ht="16"/>
    <row r="4" spans="2:36" s="11" customFormat="1" ht="16">
      <c r="B4" s="11" t="s">
        <v>61</v>
      </c>
      <c r="E4" s="61"/>
      <c r="G4" s="290">
        <v>1</v>
      </c>
      <c r="H4" s="15">
        <f>G4*(1-Inputs!$G$10)</f>
        <v>0.995</v>
      </c>
      <c r="I4" s="15">
        <f>H4*(1-Inputs!$G$10)</f>
        <v>0.99002500000000004</v>
      </c>
      <c r="J4" s="15">
        <f>I4*(1-Inputs!$G$10)</f>
        <v>0.98507487500000002</v>
      </c>
      <c r="K4" s="15">
        <f>J4*(1-Inputs!$G$10)</f>
        <v>0.98014950062500006</v>
      </c>
      <c r="L4" s="15">
        <f>K4*(1-Inputs!$G$10)</f>
        <v>0.97524875312187509</v>
      </c>
      <c r="M4" s="15">
        <f>L4*(1-Inputs!$G$10)</f>
        <v>0.97037250935626573</v>
      </c>
      <c r="N4" s="15">
        <f>M4*(1-Inputs!$G$10)</f>
        <v>0.96552064680948435</v>
      </c>
      <c r="O4" s="15">
        <f>N4*(1-Inputs!$G$10)</f>
        <v>0.96069304357543694</v>
      </c>
      <c r="P4" s="15">
        <f>O4*(1-Inputs!$G$10)</f>
        <v>0.95588957835755972</v>
      </c>
      <c r="Q4" s="15">
        <f>P4*(1-Inputs!$G$10)</f>
        <v>0.95111013046577186</v>
      </c>
      <c r="R4" s="15">
        <f>Q4*(1-Inputs!$G$10)</f>
        <v>0.94635457981344295</v>
      </c>
      <c r="S4" s="15">
        <f>R4*(1-Inputs!$G$10)</f>
        <v>0.94162280691437572</v>
      </c>
      <c r="T4" s="15">
        <f>S4*(1-Inputs!$G$10)</f>
        <v>0.93691469287980389</v>
      </c>
      <c r="U4" s="15">
        <f>T4*(1-Inputs!$G$10)</f>
        <v>0.9322301194154049</v>
      </c>
      <c r="V4" s="15">
        <f>U4*(1-Inputs!$G$10)</f>
        <v>0.92756896881832784</v>
      </c>
      <c r="W4" s="15">
        <f>V4*(1-Inputs!$G$10)</f>
        <v>0.92293112397423616</v>
      </c>
      <c r="X4" s="15">
        <f>W4*(1-Inputs!$G$10)</f>
        <v>0.91831646835436498</v>
      </c>
      <c r="Y4" s="15">
        <f>X4*(1-Inputs!$G$10)</f>
        <v>0.91372488601259316</v>
      </c>
      <c r="Z4" s="15">
        <f>Y4*(1-Inputs!$G$10)</f>
        <v>0.90915626158253016</v>
      </c>
      <c r="AA4" s="15">
        <f>Z4*(1-Inputs!$G$10)</f>
        <v>0.90461048027461755</v>
      </c>
      <c r="AB4" s="15">
        <f>AA4*(1-Inputs!$G$10)</f>
        <v>0.90008742787324447</v>
      </c>
      <c r="AC4" s="15">
        <f>AB4*(1-Inputs!$G$10)</f>
        <v>0.89558699073387826</v>
      </c>
      <c r="AD4" s="15">
        <f>AC4*(1-Inputs!$G$10)</f>
        <v>0.89110905578020883</v>
      </c>
      <c r="AE4" s="15">
        <f>AD4*(1-Inputs!$G$10)</f>
        <v>0.88665351050130781</v>
      </c>
      <c r="AF4" s="15">
        <f>AE4*(1-Inputs!$G$10)</f>
        <v>0.8822202429488013</v>
      </c>
      <c r="AG4" s="15">
        <f>AF4*(1-Inputs!$G$10)</f>
        <v>0.87780914173405733</v>
      </c>
      <c r="AH4" s="15">
        <f>AG4*(1-Inputs!$G$10)</f>
        <v>0.87342009602538706</v>
      </c>
      <c r="AI4" s="15">
        <f>AH4*(1-Inputs!$G$10)</f>
        <v>0.86905299554526017</v>
      </c>
      <c r="AJ4" s="15">
        <f>AI4*(1-Inputs!$G$10)</f>
        <v>0.86470773056753381</v>
      </c>
    </row>
    <row r="5" spans="2:36" s="11" customFormat="1" ht="16">
      <c r="B5" s="16" t="s">
        <v>3</v>
      </c>
      <c r="C5" s="16"/>
      <c r="D5" s="16"/>
      <c r="E5" s="61" t="s">
        <v>2</v>
      </c>
      <c r="G5" s="17">
        <f>IF(G$2&gt;Inputs!$G$17,0,'Cash Flow'!G$220)</f>
        <v>112347000</v>
      </c>
      <c r="H5" s="17">
        <f>IF(H$2&gt;Inputs!$G$17,0,'Cash Flow'!H$220)</f>
        <v>111785265</v>
      </c>
      <c r="I5" s="17">
        <f>IF(I$2&gt;Inputs!$G$17,0,'Cash Flow'!I$220)</f>
        <v>111226338.67499998</v>
      </c>
      <c r="J5" s="17">
        <f>IF(J$2&gt;Inputs!$G$17,0,'Cash Flow'!J$220)</f>
        <v>110670206.98162499</v>
      </c>
      <c r="K5" s="17">
        <f>IF(K$2&gt;Inputs!$G$17,0,'Cash Flow'!K$220)</f>
        <v>110116855.94671687</v>
      </c>
      <c r="L5" s="17">
        <f>IF(L$2&gt;Inputs!$G$17,0,'Cash Flow'!L$220)</f>
        <v>109566271.66698329</v>
      </c>
      <c r="M5" s="17">
        <f>IF(M$2&gt;Inputs!$G$17,0,'Cash Flow'!M$220)</f>
        <v>109018440.30864838</v>
      </c>
      <c r="N5" s="17">
        <f>IF(N$2&gt;Inputs!$G$17,0,'Cash Flow'!N$220)</f>
        <v>108473348.10710512</v>
      </c>
      <c r="O5" s="17">
        <f>IF(O$2&gt;Inputs!$G$17,0,'Cash Flow'!O$220)</f>
        <v>107930981.36656959</v>
      </c>
      <c r="P5" s="17">
        <f>IF(P$2&gt;Inputs!$G$17,0,'Cash Flow'!P$220)</f>
        <v>107391326.45973675</v>
      </c>
      <c r="Q5" s="17">
        <f>IF(Q$2&gt;Inputs!$G$17,0,'Cash Flow'!Q$220)</f>
        <v>106854369.82743807</v>
      </c>
      <c r="R5" s="17">
        <f>IF(R$2&gt;Inputs!$G$17,0,'Cash Flow'!R$220)</f>
        <v>105444544.59555131</v>
      </c>
      <c r="S5" s="17">
        <f>IF(S$2&gt;Inputs!$G$17,0,'Cash Flow'!S$220)</f>
        <v>102281208.25768477</v>
      </c>
      <c r="T5" s="17">
        <f>IF(T$2&gt;Inputs!$G$17,0,'Cash Flow'!T$220)</f>
        <v>99212772.009954214</v>
      </c>
      <c r="U5" s="17">
        <f>IF(U$2&gt;Inputs!$G$17,0,'Cash Flow'!U$220)</f>
        <v>96236388.849655584</v>
      </c>
      <c r="V5" s="17">
        <f>IF(V$2&gt;Inputs!$G$17,0,'Cash Flow'!V$220)</f>
        <v>93349297.18416591</v>
      </c>
      <c r="W5" s="17">
        <f>IF(W$2&gt;Inputs!$G$17,0,'Cash Flow'!W$220)</f>
        <v>90548818.268640935</v>
      </c>
      <c r="X5" s="17">
        <f>IF(X$2&gt;Inputs!$G$17,0,'Cash Flow'!X$220)</f>
        <v>87832353.72058171</v>
      </c>
      <c r="Y5" s="17">
        <f>IF(Y$2&gt;Inputs!$G$17,0,'Cash Flow'!Y$220)</f>
        <v>85197383.108964249</v>
      </c>
      <c r="Z5" s="17">
        <f>IF(Z$2&gt;Inputs!$G$17,0,'Cash Flow'!Z$220)</f>
        <v>93706724.773590058</v>
      </c>
      <c r="AA5" s="17">
        <f>IF(AA$2&gt;Inputs!$G$17,0,'Cash Flow'!AA$220)</f>
        <v>90895523.03038235</v>
      </c>
      <c r="AB5" s="17">
        <f>IF(AB$2&gt;Inputs!$G$17,0,'Cash Flow'!AB$220)</f>
        <v>88168657.339470878</v>
      </c>
      <c r="AC5" s="17">
        <f>IF(AC$2&gt;Inputs!$G$17,0,'Cash Flow'!AC$220)</f>
        <v>85523597.619286746</v>
      </c>
      <c r="AD5" s="17">
        <f>IF(AD$2&gt;Inputs!$G$17,0,'Cash Flow'!AD$220)</f>
        <v>82957889.690708145</v>
      </c>
      <c r="AE5" s="17">
        <f>IF(AE$2&gt;Inputs!$G$17,0,'Cash Flow'!AE$220)</f>
        <v>80469152.999986902</v>
      </c>
      <c r="AF5" s="17">
        <f>IF(AF$2&gt;Inputs!$G$17,0,'Cash Flow'!AF$220)</f>
        <v>0</v>
      </c>
      <c r="AG5" s="17">
        <f>IF(AG$2&gt;Inputs!$G$17,0,'Cash Flow'!AG$220)</f>
        <v>0</v>
      </c>
      <c r="AH5" s="17">
        <f>IF(AH$2&gt;Inputs!$G$17,0,'Cash Flow'!AH$220)</f>
        <v>0</v>
      </c>
      <c r="AI5" s="17">
        <f>IF(AI$2&gt;Inputs!$G$17,0,'Cash Flow'!AI$220)</f>
        <v>0</v>
      </c>
      <c r="AJ5" s="17">
        <f>IF(AJ$2&gt;Inputs!$G$17,0,'Cash Flow'!AJ$220)</f>
        <v>0</v>
      </c>
    </row>
    <row r="6" spans="2:36" s="11" customFormat="1" ht="16">
      <c r="B6" s="16"/>
      <c r="C6" s="16"/>
      <c r="D6" s="16"/>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row>
    <row r="7" spans="2:36" s="11" customFormat="1" ht="16">
      <c r="B7" s="16" t="s">
        <v>93</v>
      </c>
      <c r="C7" s="16"/>
      <c r="D7" s="16"/>
      <c r="E7" s="61"/>
    </row>
    <row r="8" spans="2:36" s="11" customFormat="1" ht="16">
      <c r="B8" s="11" t="s">
        <v>95</v>
      </c>
      <c r="E8" s="61"/>
      <c r="G8" s="290">
        <v>1</v>
      </c>
      <c r="H8" s="15">
        <f>G8*(1+(Inputs!$Q$8*Inputs!$Q$7))</f>
        <v>1</v>
      </c>
      <c r="I8" s="15">
        <f>H8*(1+(Inputs!$Q$8*Inputs!$Q$7))</f>
        <v>1</v>
      </c>
      <c r="J8" s="15">
        <f>I8*(1+(Inputs!$Q$8*Inputs!$Q$7))</f>
        <v>1</v>
      </c>
      <c r="K8" s="15">
        <f>J8*(1+(Inputs!$Q$8*Inputs!$Q$7))</f>
        <v>1</v>
      </c>
      <c r="L8" s="15">
        <f>K8*(1+(Inputs!$Q$8*Inputs!$Q$7))</f>
        <v>1</v>
      </c>
      <c r="M8" s="15">
        <f>L8*(1+(Inputs!$Q$8*Inputs!$Q$7))</f>
        <v>1</v>
      </c>
      <c r="N8" s="15">
        <f>M8*(1+(Inputs!$Q$8*Inputs!$Q$7))</f>
        <v>1</v>
      </c>
      <c r="O8" s="15">
        <f>N8*(1+(Inputs!$Q$8*Inputs!$Q$7))</f>
        <v>1</v>
      </c>
      <c r="P8" s="15">
        <f>O8*(1+(Inputs!$Q$8*Inputs!$Q$7))</f>
        <v>1</v>
      </c>
      <c r="Q8" s="15">
        <f>P8*(1+(Inputs!$Q$8*Inputs!$Q$7))</f>
        <v>1</v>
      </c>
      <c r="R8" s="15">
        <f>Q8*(1+(Inputs!$Q$8*Inputs!$Q$7))</f>
        <v>1</v>
      </c>
      <c r="S8" s="15">
        <f>R8*(1+(Inputs!$Q$8*Inputs!$Q$7))</f>
        <v>1</v>
      </c>
      <c r="T8" s="15">
        <f>S8*(1+(Inputs!$Q$8*Inputs!$Q$7))</f>
        <v>1</v>
      </c>
      <c r="U8" s="15">
        <f>T8*(1+(Inputs!$Q$8*Inputs!$Q$7))</f>
        <v>1</v>
      </c>
      <c r="V8" s="15">
        <f>U8*(1+(Inputs!$Q$8*Inputs!$Q$7))</f>
        <v>1</v>
      </c>
      <c r="W8" s="15">
        <f>V8*(1+(Inputs!$Q$8*Inputs!$Q$7))</f>
        <v>1</v>
      </c>
      <c r="X8" s="15">
        <f>W8*(1+(Inputs!$Q$8*Inputs!$Q$7))</f>
        <v>1</v>
      </c>
      <c r="Y8" s="15">
        <f>X8*(1+(Inputs!$Q$8*Inputs!$Q$7))</f>
        <v>1</v>
      </c>
      <c r="Z8" s="15">
        <f>Y8*(1+(Inputs!$Q$8*Inputs!$Q$7))</f>
        <v>1</v>
      </c>
      <c r="AA8" s="15">
        <f>Z8*(1+(Inputs!$Q$8*Inputs!$Q$7))</f>
        <v>1</v>
      </c>
      <c r="AB8" s="15">
        <f>AA8*(1+(Inputs!$Q$8*Inputs!$Q$7))</f>
        <v>1</v>
      </c>
      <c r="AC8" s="15">
        <f>AB8*(1+(Inputs!$Q$8*Inputs!$Q$7))</f>
        <v>1</v>
      </c>
      <c r="AD8" s="15">
        <f>AC8*(1+(Inputs!$Q$8*Inputs!$Q$7))</f>
        <v>1</v>
      </c>
      <c r="AE8" s="15">
        <f>AD8*(1+(Inputs!$Q$8*Inputs!$Q$7))</f>
        <v>1</v>
      </c>
      <c r="AF8" s="15">
        <f>AE8*(1+(Inputs!$Q$8*Inputs!$Q$7))</f>
        <v>1</v>
      </c>
      <c r="AG8" s="15">
        <f>AF8*(1+(Inputs!$Q$8*Inputs!$Q$7))</f>
        <v>1</v>
      </c>
      <c r="AH8" s="15">
        <f>AG8*(1+(Inputs!$Q$8*Inputs!$Q$7))</f>
        <v>1</v>
      </c>
      <c r="AI8" s="15">
        <f>AH8*(1+(Inputs!$Q$8*Inputs!$Q$7))</f>
        <v>1</v>
      </c>
      <c r="AJ8" s="15">
        <f>AI8*(1+(Inputs!$Q$8*Inputs!$Q$7))</f>
        <v>1</v>
      </c>
    </row>
    <row r="9" spans="2:36" s="11" customFormat="1" ht="16">
      <c r="B9" s="11" t="s">
        <v>127</v>
      </c>
      <c r="E9" s="61"/>
      <c r="G9" s="290">
        <v>1</v>
      </c>
      <c r="H9" s="15">
        <f>G9*(1+Inputs!$Q$64)</f>
        <v>1.02</v>
      </c>
      <c r="I9" s="15">
        <f>H9*(1+Inputs!$Q$64)</f>
        <v>1.0404</v>
      </c>
      <c r="J9" s="15">
        <f>I9*(1+Inputs!$Q$64)</f>
        <v>1.0612079999999999</v>
      </c>
      <c r="K9" s="15">
        <f>J9*(1+Inputs!$Q$64)</f>
        <v>1.08243216</v>
      </c>
      <c r="L9" s="15">
        <f>K9*(1+Inputs!$Q$64)</f>
        <v>1.1040808032</v>
      </c>
      <c r="M9" s="15">
        <f>L9*(1+Inputs!$Q$64)</f>
        <v>1.1261624192640001</v>
      </c>
      <c r="N9" s="15">
        <f>M9*(1+Inputs!$Q$64)</f>
        <v>1.14868566764928</v>
      </c>
      <c r="O9" s="15">
        <f>N9*(1+Inputs!$Q$64)</f>
        <v>1.1716593810022657</v>
      </c>
      <c r="P9" s="15">
        <f>O9*(1+Inputs!$Q$64)</f>
        <v>1.1950925686223111</v>
      </c>
      <c r="Q9" s="15">
        <f>P9*(1+Inputs!$Q$64)</f>
        <v>1.2189944199947573</v>
      </c>
      <c r="R9" s="15">
        <f>Q9*(1+Inputs!$Q$64)</f>
        <v>1.2433743083946525</v>
      </c>
      <c r="S9" s="15">
        <f>R9*(1+Inputs!$Q$64)</f>
        <v>1.2682417945625455</v>
      </c>
      <c r="T9" s="15">
        <f>S9*(1+Inputs!$Q$64)</f>
        <v>1.2936066304537963</v>
      </c>
      <c r="U9" s="15">
        <f>T9*(1+Inputs!$Q$64)</f>
        <v>1.3194787630628724</v>
      </c>
      <c r="V9" s="15">
        <f>U9*(1+Inputs!$Q$64)</f>
        <v>1.3458683383241299</v>
      </c>
      <c r="W9" s="15">
        <f>V9*(1+Inputs!$Q$64)</f>
        <v>1.3727857050906125</v>
      </c>
      <c r="X9" s="15">
        <f>W9*(1+Inputs!$Q$64)</f>
        <v>1.4002414191924248</v>
      </c>
      <c r="Y9" s="15">
        <f>X9*(1+Inputs!$Q$64)</f>
        <v>1.4282462475762734</v>
      </c>
      <c r="Z9" s="15">
        <f>Y9*(1+Inputs!$Q$64)</f>
        <v>1.4568111725277988</v>
      </c>
      <c r="AA9" s="15">
        <f>Z9*(1+Inputs!$Q$64)</f>
        <v>1.4859473959783549</v>
      </c>
      <c r="AB9" s="15">
        <f>AA9*(1+Inputs!$Q$64)</f>
        <v>1.5156663438979221</v>
      </c>
      <c r="AC9" s="15">
        <f>AB9*(1+Inputs!$Q$64)</f>
        <v>1.5459796707758806</v>
      </c>
      <c r="AD9" s="15">
        <f>AC9*(1+Inputs!$Q$64)</f>
        <v>1.5768992641913981</v>
      </c>
      <c r="AE9" s="15">
        <f>AD9*(1+Inputs!$Q$64)</f>
        <v>1.6084372494752261</v>
      </c>
      <c r="AF9" s="15">
        <f>AE9*(1+Inputs!$Q$64)</f>
        <v>1.6406059944647307</v>
      </c>
      <c r="AG9" s="15">
        <f>AF9*(1+Inputs!$Q$64)</f>
        <v>1.6734181143540252</v>
      </c>
      <c r="AH9" s="15">
        <f>AG9*(1+Inputs!$Q$64)</f>
        <v>1.7068864766411058</v>
      </c>
      <c r="AI9" s="15">
        <f>AH9*(1+Inputs!$Q$64)</f>
        <v>1.7410242061739281</v>
      </c>
      <c r="AJ9" s="15">
        <f>AI9*(1+Inputs!$Q$64)</f>
        <v>1.7758446902974065</v>
      </c>
    </row>
    <row r="10" spans="2:36" s="11" customFormat="1" ht="16">
      <c r="B10" s="11" t="s">
        <v>128</v>
      </c>
      <c r="E10" s="61"/>
      <c r="G10" s="290">
        <v>1</v>
      </c>
      <c r="H10" s="15">
        <f>G10*(1+Inputs!$Q$80)</f>
        <v>1.02</v>
      </c>
      <c r="I10" s="15">
        <f>H10*(1+Inputs!$Q$80)</f>
        <v>1.0404</v>
      </c>
      <c r="J10" s="15">
        <f>I10*(1+Inputs!$Q$80)</f>
        <v>1.0612079999999999</v>
      </c>
      <c r="K10" s="15">
        <f>J10*(1+Inputs!$Q$80)</f>
        <v>1.08243216</v>
      </c>
      <c r="L10" s="15">
        <f>K10*(1+Inputs!$Q$80)</f>
        <v>1.1040808032</v>
      </c>
      <c r="M10" s="15">
        <f>L10*(1+Inputs!$Q$80)</f>
        <v>1.1261624192640001</v>
      </c>
      <c r="N10" s="15">
        <f>M10*(1+Inputs!$Q$80)</f>
        <v>1.14868566764928</v>
      </c>
      <c r="O10" s="15">
        <f>N10*(1+Inputs!$Q$80)</f>
        <v>1.1716593810022657</v>
      </c>
      <c r="P10" s="15">
        <f>O10*(1+Inputs!$Q$80)</f>
        <v>1.1950925686223111</v>
      </c>
      <c r="Q10" s="15">
        <f>P10*(1+Inputs!$Q$80)</f>
        <v>1.2189944199947573</v>
      </c>
      <c r="R10" s="15">
        <f>Q10*(1+Inputs!$Q$80)</f>
        <v>1.2433743083946525</v>
      </c>
      <c r="S10" s="15">
        <f>R10*(1+Inputs!$Q$80)</f>
        <v>1.2682417945625455</v>
      </c>
      <c r="T10" s="15">
        <f>S10*(1+Inputs!$Q$80)</f>
        <v>1.2936066304537963</v>
      </c>
      <c r="U10" s="15">
        <f>T10*(1+Inputs!$Q$80)</f>
        <v>1.3194787630628724</v>
      </c>
      <c r="V10" s="15">
        <f>U10*(1+Inputs!$Q$80)</f>
        <v>1.3458683383241299</v>
      </c>
      <c r="W10" s="15">
        <f>V10*(1+Inputs!$Q$80)</f>
        <v>1.3727857050906125</v>
      </c>
      <c r="X10" s="15">
        <f>W10*(1+Inputs!$Q$80)</f>
        <v>1.4002414191924248</v>
      </c>
      <c r="Y10" s="15">
        <f>X10*(1+Inputs!$Q$80)</f>
        <v>1.4282462475762734</v>
      </c>
      <c r="Z10" s="15">
        <f>Y10*(1+Inputs!$Q$80)</f>
        <v>1.4568111725277988</v>
      </c>
      <c r="AA10" s="15">
        <f>Z10*(1+Inputs!$Q$80)</f>
        <v>1.4859473959783549</v>
      </c>
      <c r="AB10" s="15">
        <f>AA10*(1+Inputs!$Q$80)</f>
        <v>1.5156663438979221</v>
      </c>
      <c r="AC10" s="15">
        <f>AB10*(1+Inputs!$Q$80)</f>
        <v>1.5459796707758806</v>
      </c>
      <c r="AD10" s="15">
        <f>AC10*(1+Inputs!$Q$80)</f>
        <v>1.5768992641913981</v>
      </c>
      <c r="AE10" s="15">
        <f>AD10*(1+Inputs!$Q$80)</f>
        <v>1.6084372494752261</v>
      </c>
      <c r="AF10" s="15">
        <f>AE10*(1+Inputs!$Q$80)</f>
        <v>1.6406059944647307</v>
      </c>
      <c r="AG10" s="15">
        <f>AF10*(1+Inputs!$Q$80)</f>
        <v>1.6734181143540252</v>
      </c>
      <c r="AH10" s="15">
        <f>AG10*(1+Inputs!$Q$80)</f>
        <v>1.7068864766411058</v>
      </c>
      <c r="AI10" s="15">
        <f>AH10*(1+Inputs!$Q$80)</f>
        <v>1.7410242061739281</v>
      </c>
      <c r="AJ10" s="15">
        <f>AI10*(1+Inputs!$Q$80)</f>
        <v>1.7758446902974065</v>
      </c>
    </row>
    <row r="11" spans="2:36" s="11" customFormat="1" ht="16">
      <c r="E11" s="61"/>
      <c r="F11" s="61"/>
      <c r="G11" s="70"/>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row>
    <row r="12" spans="2:36" s="11" customFormat="1" ht="16">
      <c r="B12" s="18" t="s">
        <v>228</v>
      </c>
      <c r="C12" s="18"/>
      <c r="D12" s="18"/>
      <c r="E12" s="61" t="s">
        <v>48</v>
      </c>
      <c r="F12" s="320">
        <f>1-F13</f>
        <v>1</v>
      </c>
      <c r="G12" s="72">
        <f>$G$75*$F12</f>
        <v>18.550000000000008</v>
      </c>
      <c r="H12" s="72">
        <f>IF(H2&gt;Inputs!$Q$6,0,G12)</f>
        <v>18.550000000000008</v>
      </c>
      <c r="I12" s="72">
        <f>IF(I2&gt;Inputs!$Q$6,0,H12)</f>
        <v>18.550000000000008</v>
      </c>
      <c r="J12" s="72">
        <f>IF(J2&gt;Inputs!$Q$6,0,I12)</f>
        <v>18.550000000000008</v>
      </c>
      <c r="K12" s="72">
        <f>IF(K2&gt;Inputs!$Q$6,0,J12)</f>
        <v>18.550000000000008</v>
      </c>
      <c r="L12" s="72">
        <f>IF(L2&gt;Inputs!$Q$6,0,K12)</f>
        <v>18.550000000000008</v>
      </c>
      <c r="M12" s="72">
        <f>IF(M2&gt;Inputs!$Q$6,0,L12)</f>
        <v>18.550000000000008</v>
      </c>
      <c r="N12" s="72">
        <f>IF(N2&gt;Inputs!$Q$6,0,M12)</f>
        <v>18.550000000000008</v>
      </c>
      <c r="O12" s="72">
        <f>IF(O2&gt;Inputs!$Q$6,0,N12)</f>
        <v>18.550000000000008</v>
      </c>
      <c r="P12" s="72">
        <f>IF(P2&gt;Inputs!$Q$6,0,O12)</f>
        <v>18.550000000000008</v>
      </c>
      <c r="Q12" s="72">
        <f>IF(Q2&gt;Inputs!$Q$6,0,P12)</f>
        <v>18.550000000000008</v>
      </c>
      <c r="R12" s="72">
        <f>IF(R2&gt;Inputs!$Q$6,0,Q12)</f>
        <v>18.550000000000008</v>
      </c>
      <c r="S12" s="72">
        <f>IF(S2&gt;Inputs!$Q$6,0,R12)</f>
        <v>18.550000000000008</v>
      </c>
      <c r="T12" s="72">
        <f>IF(T2&gt;Inputs!$Q$6,0,S12)</f>
        <v>18.550000000000008</v>
      </c>
      <c r="U12" s="72">
        <f>IF(U2&gt;Inputs!$Q$6,0,T12)</f>
        <v>18.550000000000008</v>
      </c>
      <c r="V12" s="72">
        <f>IF(V2&gt;Inputs!$Q$6,0,U12)</f>
        <v>18.550000000000008</v>
      </c>
      <c r="W12" s="72">
        <f>IF(W2&gt;Inputs!$Q$6,0,V12)</f>
        <v>18.550000000000008</v>
      </c>
      <c r="X12" s="72">
        <f>IF(X2&gt;Inputs!$Q$6,0,W12)</f>
        <v>18.550000000000008</v>
      </c>
      <c r="Y12" s="72">
        <f>IF(Y2&gt;Inputs!$Q$6,0,X12)</f>
        <v>18.550000000000008</v>
      </c>
      <c r="Z12" s="72">
        <f>IF(Z2&gt;Inputs!$Q$6,0,Y12)</f>
        <v>18.550000000000008</v>
      </c>
      <c r="AA12" s="72">
        <f>IF(AA2&gt;Inputs!$Q$6,0,Z12)</f>
        <v>0</v>
      </c>
      <c r="AB12" s="72">
        <f>IF(AB2&gt;Inputs!$Q$6,0,AA12)</f>
        <v>0</v>
      </c>
      <c r="AC12" s="72">
        <f>IF(AC2&gt;Inputs!$Q$6,0,AB12)</f>
        <v>0</v>
      </c>
      <c r="AD12" s="72">
        <f>IF(AD2&gt;Inputs!$Q$6,0,AC12)</f>
        <v>0</v>
      </c>
      <c r="AE12" s="72">
        <f>IF(AE2&gt;Inputs!$Q$6,0,AD12)</f>
        <v>0</v>
      </c>
      <c r="AF12" s="72">
        <f>IF(AF2&gt;Inputs!$Q$6,0,AE12)</f>
        <v>0</v>
      </c>
      <c r="AG12" s="72">
        <f>IF(AG2&gt;Inputs!$Q$6,0,AF12)</f>
        <v>0</v>
      </c>
      <c r="AH12" s="72">
        <f>IF(AH2&gt;Inputs!$Q$6,0,AG12)</f>
        <v>0</v>
      </c>
      <c r="AI12" s="72">
        <f>IF(AI2&gt;Inputs!$Q$6,0,AH12)</f>
        <v>0</v>
      </c>
      <c r="AJ12" s="72">
        <f>IF(AJ2&gt;Inputs!$Q$6,0,AI12)</f>
        <v>0</v>
      </c>
    </row>
    <row r="13" spans="2:36" s="11" customFormat="1" ht="16">
      <c r="B13" s="321" t="s">
        <v>230</v>
      </c>
      <c r="C13" s="321"/>
      <c r="D13" s="321"/>
      <c r="E13" s="61" t="s">
        <v>48</v>
      </c>
      <c r="F13" s="319">
        <f>Inputs!Q7</f>
        <v>0</v>
      </c>
      <c r="G13" s="322">
        <f>$G$75*$F13</f>
        <v>0</v>
      </c>
      <c r="H13" s="322">
        <f>IF(H2&gt;Inputs!$Q$6,0,G13*(1+Inputs!$Q$8))</f>
        <v>0</v>
      </c>
      <c r="I13" s="322">
        <f>IF(I2&gt;Inputs!$Q$6,0,H13*(1+Inputs!$Q$8))</f>
        <v>0</v>
      </c>
      <c r="J13" s="322">
        <f>IF(J2&gt;Inputs!$Q$6,0,I13*(1+Inputs!$Q$8))</f>
        <v>0</v>
      </c>
      <c r="K13" s="322">
        <f>IF(K2&gt;Inputs!$Q$6,0,J13*(1+Inputs!$Q$8))</f>
        <v>0</v>
      </c>
      <c r="L13" s="322">
        <f>IF(L2&gt;Inputs!$Q$6,0,K13*(1+Inputs!$Q$8))</f>
        <v>0</v>
      </c>
      <c r="M13" s="322">
        <f>IF(M2&gt;Inputs!$Q$6,0,L13*(1+Inputs!$Q$8))</f>
        <v>0</v>
      </c>
      <c r="N13" s="322">
        <f>IF(N2&gt;Inputs!$Q$6,0,M13*(1+Inputs!$Q$8))</f>
        <v>0</v>
      </c>
      <c r="O13" s="322">
        <f>IF(O2&gt;Inputs!$Q$6,0,N13*(1+Inputs!$Q$8))</f>
        <v>0</v>
      </c>
      <c r="P13" s="322">
        <f>IF(P2&gt;Inputs!$Q$6,0,O13*(1+Inputs!$Q$8))</f>
        <v>0</v>
      </c>
      <c r="Q13" s="322">
        <f>IF(Q2&gt;Inputs!$Q$6,0,P13*(1+Inputs!$Q$8))</f>
        <v>0</v>
      </c>
      <c r="R13" s="322">
        <f>IF(R2&gt;Inputs!$Q$6,0,Q13*(1+Inputs!$Q$8))</f>
        <v>0</v>
      </c>
      <c r="S13" s="322">
        <f>IF(S2&gt;Inputs!$Q$6,0,R13*(1+Inputs!$Q$8))</f>
        <v>0</v>
      </c>
      <c r="T13" s="322">
        <f>IF(T2&gt;Inputs!$Q$6,0,S13*(1+Inputs!$Q$8))</f>
        <v>0</v>
      </c>
      <c r="U13" s="322">
        <f>IF(U2&gt;Inputs!$Q$6,0,T13*(1+Inputs!$Q$8))</f>
        <v>0</v>
      </c>
      <c r="V13" s="322">
        <f>IF(V2&gt;Inputs!$Q$6,0,U13*(1+Inputs!$Q$8))</f>
        <v>0</v>
      </c>
      <c r="W13" s="322">
        <f>IF(W2&gt;Inputs!$Q$6,0,V13*(1+Inputs!$Q$8))</f>
        <v>0</v>
      </c>
      <c r="X13" s="322">
        <f>IF(X2&gt;Inputs!$Q$6,0,W13*(1+Inputs!$Q$8))</f>
        <v>0</v>
      </c>
      <c r="Y13" s="322">
        <f>IF(Y2&gt;Inputs!$Q$6,0,X13*(1+Inputs!$Q$8))</f>
        <v>0</v>
      </c>
      <c r="Z13" s="322">
        <f>IF(Z2&gt;Inputs!$Q$6,0,Y13*(1+Inputs!$Q$8))</f>
        <v>0</v>
      </c>
      <c r="AA13" s="322">
        <f>IF(AA2&gt;Inputs!$Q$6,0,Z13*(1+Inputs!$Q$8))</f>
        <v>0</v>
      </c>
      <c r="AB13" s="322">
        <f>IF(AB2&gt;Inputs!$Q$6,0,AA13*(1+Inputs!$Q$8))</f>
        <v>0</v>
      </c>
      <c r="AC13" s="322">
        <f>IF(AC2&gt;Inputs!$Q$6,0,AB13*(1+Inputs!$Q$8))</f>
        <v>0</v>
      </c>
      <c r="AD13" s="322">
        <f>IF(AD2&gt;Inputs!$Q$6,0,AC13*(1+Inputs!$Q$8))</f>
        <v>0</v>
      </c>
      <c r="AE13" s="322">
        <f>IF(AE2&gt;Inputs!$Q$6,0,AD13*(1+Inputs!$Q$8))</f>
        <v>0</v>
      </c>
      <c r="AF13" s="322">
        <f>IF(AF2&gt;Inputs!$Q$6,0,AE13*(1+Inputs!$Q$8))</f>
        <v>0</v>
      </c>
      <c r="AG13" s="322">
        <f>IF(AG2&gt;Inputs!$Q$6,0,AF13*(1+Inputs!$Q$8))</f>
        <v>0</v>
      </c>
      <c r="AH13" s="322">
        <f>IF(AH2&gt;Inputs!$Q$6,0,AG13*(1+Inputs!$Q$8))</f>
        <v>0</v>
      </c>
      <c r="AI13" s="322">
        <f>IF(AI2&gt;Inputs!$Q$6,0,AH13*(1+Inputs!$Q$8))</f>
        <v>0</v>
      </c>
      <c r="AJ13" s="322">
        <f>IF(AJ2&gt;Inputs!$Q$6,0,AI13*(1+Inputs!$Q$8))</f>
        <v>0</v>
      </c>
    </row>
    <row r="14" spans="2:36" s="11" customFormat="1" ht="16">
      <c r="B14" s="18" t="s">
        <v>229</v>
      </c>
      <c r="C14" s="18"/>
      <c r="D14" s="18"/>
      <c r="E14" s="61" t="s">
        <v>48</v>
      </c>
      <c r="F14" s="75"/>
      <c r="G14" s="72">
        <f>SUM(G12:G13)</f>
        <v>18.550000000000008</v>
      </c>
      <c r="H14" s="72">
        <f t="shared" ref="H14:AJ14" si="0">SUM(H12:H13)</f>
        <v>18.550000000000008</v>
      </c>
      <c r="I14" s="72">
        <f t="shared" si="0"/>
        <v>18.550000000000008</v>
      </c>
      <c r="J14" s="72">
        <f t="shared" si="0"/>
        <v>18.550000000000008</v>
      </c>
      <c r="K14" s="72">
        <f t="shared" si="0"/>
        <v>18.550000000000008</v>
      </c>
      <c r="L14" s="72">
        <f t="shared" si="0"/>
        <v>18.550000000000008</v>
      </c>
      <c r="M14" s="72">
        <f t="shared" si="0"/>
        <v>18.550000000000008</v>
      </c>
      <c r="N14" s="72">
        <f t="shared" si="0"/>
        <v>18.550000000000008</v>
      </c>
      <c r="O14" s="72">
        <f t="shared" si="0"/>
        <v>18.550000000000008</v>
      </c>
      <c r="P14" s="72">
        <f t="shared" si="0"/>
        <v>18.550000000000008</v>
      </c>
      <c r="Q14" s="72">
        <f t="shared" si="0"/>
        <v>18.550000000000008</v>
      </c>
      <c r="R14" s="72">
        <f t="shared" si="0"/>
        <v>18.550000000000008</v>
      </c>
      <c r="S14" s="72">
        <f t="shared" si="0"/>
        <v>18.550000000000008</v>
      </c>
      <c r="T14" s="72">
        <f t="shared" si="0"/>
        <v>18.550000000000008</v>
      </c>
      <c r="U14" s="72">
        <f t="shared" si="0"/>
        <v>18.550000000000008</v>
      </c>
      <c r="V14" s="72">
        <f t="shared" si="0"/>
        <v>18.550000000000008</v>
      </c>
      <c r="W14" s="72">
        <f t="shared" si="0"/>
        <v>18.550000000000008</v>
      </c>
      <c r="X14" s="72">
        <f t="shared" si="0"/>
        <v>18.550000000000008</v>
      </c>
      <c r="Y14" s="72">
        <f t="shared" si="0"/>
        <v>18.550000000000008</v>
      </c>
      <c r="Z14" s="72">
        <f t="shared" si="0"/>
        <v>18.550000000000008</v>
      </c>
      <c r="AA14" s="72">
        <f t="shared" si="0"/>
        <v>0</v>
      </c>
      <c r="AB14" s="72">
        <f t="shared" si="0"/>
        <v>0</v>
      </c>
      <c r="AC14" s="72">
        <f t="shared" si="0"/>
        <v>0</v>
      </c>
      <c r="AD14" s="72">
        <f t="shared" si="0"/>
        <v>0</v>
      </c>
      <c r="AE14" s="72">
        <f t="shared" si="0"/>
        <v>0</v>
      </c>
      <c r="AF14" s="72">
        <f t="shared" si="0"/>
        <v>0</v>
      </c>
      <c r="AG14" s="72">
        <f t="shared" si="0"/>
        <v>0</v>
      </c>
      <c r="AH14" s="72">
        <f t="shared" si="0"/>
        <v>0</v>
      </c>
      <c r="AI14" s="72">
        <f t="shared" si="0"/>
        <v>0</v>
      </c>
      <c r="AJ14" s="72">
        <f t="shared" si="0"/>
        <v>0</v>
      </c>
    </row>
    <row r="15" spans="2:36" s="11" customFormat="1" ht="16">
      <c r="B15" s="18" t="s">
        <v>96</v>
      </c>
      <c r="C15" s="18"/>
      <c r="D15" s="18"/>
      <c r="E15" s="59" t="s">
        <v>0</v>
      </c>
      <c r="F15" s="18"/>
      <c r="G15" s="19">
        <f>(G$14*G$5)/100</f>
        <v>20840368.500000011</v>
      </c>
      <c r="H15" s="19">
        <f t="shared" ref="H15:AJ15" si="1">(H$14*H$5)/100</f>
        <v>20736166.65750001</v>
      </c>
      <c r="I15" s="19">
        <f t="shared" si="1"/>
        <v>20632485.824212506</v>
      </c>
      <c r="J15" s="19">
        <f t="shared" si="1"/>
        <v>20529323.395091444</v>
      </c>
      <c r="K15" s="19">
        <f t="shared" si="1"/>
        <v>20426676.778115988</v>
      </c>
      <c r="L15" s="19">
        <f t="shared" si="1"/>
        <v>20324543.394225407</v>
      </c>
      <c r="M15" s="19">
        <f t="shared" si="1"/>
        <v>20222920.677254282</v>
      </c>
      <c r="N15" s="19">
        <f t="shared" si="1"/>
        <v>20121806.073868006</v>
      </c>
      <c r="O15" s="19">
        <f t="shared" si="1"/>
        <v>20021197.043498669</v>
      </c>
      <c r="P15" s="19">
        <f t="shared" si="1"/>
        <v>19921091.058281176</v>
      </c>
      <c r="Q15" s="19">
        <f t="shared" si="1"/>
        <v>19821485.60298977</v>
      </c>
      <c r="R15" s="19">
        <f t="shared" si="1"/>
        <v>19559963.022474777</v>
      </c>
      <c r="S15" s="19">
        <f t="shared" si="1"/>
        <v>18973164.131800532</v>
      </c>
      <c r="T15" s="19">
        <f t="shared" si="1"/>
        <v>18403969.207846515</v>
      </c>
      <c r="U15" s="19">
        <f t="shared" si="1"/>
        <v>17851850.13161112</v>
      </c>
      <c r="V15" s="19">
        <f t="shared" si="1"/>
        <v>17316294.627662782</v>
      </c>
      <c r="W15" s="19">
        <f t="shared" si="1"/>
        <v>16796805.788832899</v>
      </c>
      <c r="X15" s="19">
        <f t="shared" si="1"/>
        <v>16292901.615167914</v>
      </c>
      <c r="Y15" s="19">
        <f t="shared" si="1"/>
        <v>15804114.566712875</v>
      </c>
      <c r="Z15" s="19">
        <f t="shared" si="1"/>
        <v>17382597.445500962</v>
      </c>
      <c r="AA15" s="19">
        <f t="shared" si="1"/>
        <v>0</v>
      </c>
      <c r="AB15" s="19">
        <f t="shared" si="1"/>
        <v>0</v>
      </c>
      <c r="AC15" s="19">
        <f t="shared" si="1"/>
        <v>0</v>
      </c>
      <c r="AD15" s="19">
        <f t="shared" si="1"/>
        <v>0</v>
      </c>
      <c r="AE15" s="19">
        <f t="shared" si="1"/>
        <v>0</v>
      </c>
      <c r="AF15" s="19">
        <f t="shared" si="1"/>
        <v>0</v>
      </c>
      <c r="AG15" s="19">
        <f t="shared" si="1"/>
        <v>0</v>
      </c>
      <c r="AH15" s="19">
        <f t="shared" si="1"/>
        <v>0</v>
      </c>
      <c r="AI15" s="19">
        <f t="shared" si="1"/>
        <v>0</v>
      </c>
      <c r="AJ15" s="19">
        <f t="shared" si="1"/>
        <v>0</v>
      </c>
    </row>
    <row r="16" spans="2:36" s="11" customFormat="1" ht="16">
      <c r="B16" s="18" t="s">
        <v>192</v>
      </c>
      <c r="C16" s="18"/>
      <c r="D16" s="18"/>
      <c r="E16" s="61" t="s">
        <v>48</v>
      </c>
      <c r="F16" s="18"/>
      <c r="G16" s="72">
        <f>IF(Inputs!$Q$6=Inputs!$G$17,0,IF(Inputs!$Q$11="Year One",Inputs!$Q$12,'Complex Inputs'!$D129))</f>
        <v>4</v>
      </c>
      <c r="H16" s="72">
        <f>IF(H$2&gt;Inputs!$G$17,0,IF(Inputs!$Q$11="Year One",G$16*(1+Inputs!$Q$13),'Complex Inputs'!$D130))</f>
        <v>4.08</v>
      </c>
      <c r="I16" s="72">
        <f>IF(I$2&gt;Inputs!$G$17,0,IF(Inputs!$Q$11="Year One",H$16*(1+Inputs!$Q$13),'Complex Inputs'!$D131))</f>
        <v>4.1616</v>
      </c>
      <c r="J16" s="72">
        <f>IF(J$2&gt;Inputs!$G$17,0,IF(Inputs!$Q$11="Year One",I$16*(1+Inputs!$Q$13),'Complex Inputs'!$D132))</f>
        <v>4.2448319999999997</v>
      </c>
      <c r="K16" s="72">
        <f>IF(K$2&gt;Inputs!$G$17,0,IF(Inputs!$Q$11="Year One",J$16*(1+Inputs!$Q$13),'Complex Inputs'!$D133))</f>
        <v>4.3297286399999999</v>
      </c>
      <c r="L16" s="72">
        <f>IF(L$2&gt;Inputs!$G$17,0,IF(Inputs!$Q$11="Year One",K$16*(1+Inputs!$Q$13),'Complex Inputs'!$D134))</f>
        <v>4.4163232128000001</v>
      </c>
      <c r="M16" s="72">
        <f>IF(M$2&gt;Inputs!$G$17,0,IF(Inputs!$Q$11="Year One",L$16*(1+Inputs!$Q$13),'Complex Inputs'!$D135))</f>
        <v>4.5046496770560003</v>
      </c>
      <c r="N16" s="72">
        <f>IF(N$2&gt;Inputs!$G$17,0,IF(Inputs!$Q$11="Year One",M$16*(1+Inputs!$Q$13),'Complex Inputs'!$D136))</f>
        <v>4.5947426705971202</v>
      </c>
      <c r="O16" s="72">
        <f>IF(O$2&gt;Inputs!$G$17,0,IF(Inputs!$Q$11="Year One",N$16*(1+Inputs!$Q$13),'Complex Inputs'!$D137))</f>
        <v>4.686637524009063</v>
      </c>
      <c r="P16" s="72">
        <f>IF(P$2&gt;Inputs!$G$17,0,IF(Inputs!$Q$11="Year One",O$16*(1+Inputs!$Q$13),'Complex Inputs'!$D138))</f>
        <v>4.7803702744892442</v>
      </c>
      <c r="Q16" s="72">
        <f>IF(Q$2&gt;Inputs!$G$17,0,IF(Inputs!$Q$11="Year One",P$16*(1+Inputs!$Q$13),'Complex Inputs'!$D139))</f>
        <v>4.8759776799790293</v>
      </c>
      <c r="R16" s="72">
        <f>IF(R$2&gt;Inputs!$G$17,0,IF(Inputs!$Q$11="Year One",Q$16*(1+Inputs!$Q$13),'Complex Inputs'!$D140))</f>
        <v>4.9734972335786098</v>
      </c>
      <c r="S16" s="72">
        <f>IF(S$2&gt;Inputs!$G$17,0,IF(Inputs!$Q$11="Year One",R$16*(1+Inputs!$Q$13),'Complex Inputs'!$D141))</f>
        <v>5.072967178250182</v>
      </c>
      <c r="T16" s="72">
        <f>IF(T$2&gt;Inputs!$G$17,0,IF(Inputs!$Q$11="Year One",S$16*(1+Inputs!$Q$13),'Complex Inputs'!$D142))</f>
        <v>5.1744265218151853</v>
      </c>
      <c r="U16" s="72">
        <f>IF(U$2&gt;Inputs!$G$17,0,IF(Inputs!$Q$11="Year One",T$16*(1+Inputs!$Q$13),'Complex Inputs'!$D143))</f>
        <v>5.2779150522514895</v>
      </c>
      <c r="V16" s="72">
        <f>IF(V$2&gt;Inputs!$G$17,0,IF(Inputs!$Q$11="Year One",U$16*(1+Inputs!$Q$13),'Complex Inputs'!$D144))</f>
        <v>5.3834733532965195</v>
      </c>
      <c r="W16" s="72">
        <f>IF(W$2&gt;Inputs!$G$17,0,IF(Inputs!$Q$11="Year One",V$16*(1+Inputs!$Q$13),'Complex Inputs'!$D145))</f>
        <v>5.4911428203624499</v>
      </c>
      <c r="X16" s="72">
        <f>IF(X$2&gt;Inputs!$G$17,0,IF(Inputs!$Q$11="Year One",W$16*(1+Inputs!$Q$13),'Complex Inputs'!$D146))</f>
        <v>5.6009656767696994</v>
      </c>
      <c r="Y16" s="72">
        <f>IF(Y$2&gt;Inputs!$G$17,0,IF(Inputs!$Q$11="Year One",X$16*(1+Inputs!$Q$13),'Complex Inputs'!$D147))</f>
        <v>5.7129849903050935</v>
      </c>
      <c r="Z16" s="72">
        <f>IF(Z$2&gt;Inputs!$G$17,0,IF(Inputs!$Q$11="Year One",Y$16*(1+Inputs!$Q$13),'Complex Inputs'!$D148))</f>
        <v>5.8272446901111952</v>
      </c>
      <c r="AA16" s="72">
        <f>IF(AA$2&gt;Inputs!$G$17,0,IF(Inputs!$Q$11="Year One",Z$16*(1+Inputs!$Q$13),'Complex Inputs'!$D149))</f>
        <v>5.9437895839134196</v>
      </c>
      <c r="AB16" s="72">
        <f>IF(AB$2&gt;Inputs!$G$17,0,IF(Inputs!$Q$11="Year One",AA$16*(1+Inputs!$Q$13),'Complex Inputs'!$D150))</f>
        <v>6.0626653755916884</v>
      </c>
      <c r="AC16" s="72">
        <f>IF(AC$2&gt;Inputs!$G$17,0,IF(Inputs!$Q$11="Year One",AB$16*(1+Inputs!$Q$13),'Complex Inputs'!$D151))</f>
        <v>6.1839186831035224</v>
      </c>
      <c r="AD16" s="72">
        <f>IF(AD$2&gt;Inputs!$G$17,0,IF(Inputs!$Q$11="Year One",AC$16*(1+Inputs!$Q$13),'Complex Inputs'!$D152))</f>
        <v>6.3075970567655926</v>
      </c>
      <c r="AE16" s="72">
        <f>IF(AE$2&gt;Inputs!$G$17,0,IF(Inputs!$Q$11="Year One",AD$16*(1+Inputs!$Q$13),'Complex Inputs'!$D153))</f>
        <v>6.4337489979009046</v>
      </c>
      <c r="AF16" s="72">
        <f>IF(AF$2&gt;Inputs!$G$17,0,IF(Inputs!$Q$11="Year One",AE$16*(1+Inputs!$Q$13),'Complex Inputs'!$D154))</f>
        <v>0</v>
      </c>
      <c r="AG16" s="72">
        <f>IF(AG$2&gt;Inputs!$G$17,0,IF(Inputs!$Q$11="Year One",AF$16*(1+Inputs!$Q$13),'Complex Inputs'!$D155))</f>
        <v>0</v>
      </c>
      <c r="AH16" s="72">
        <f>IF(AH$2&gt;Inputs!$G$17,0,IF(Inputs!$Q$11="Year One",AG$16*(1+Inputs!$Q$13),'Complex Inputs'!$D156))</f>
        <v>0</v>
      </c>
      <c r="AI16" s="72">
        <f>IF(AI$2&gt;Inputs!$G$17,0,IF(Inputs!$Q$11="Year One",AH$16*(1+Inputs!$Q$13),'Complex Inputs'!$D157))</f>
        <v>0</v>
      </c>
      <c r="AJ16" s="72">
        <f>IF(AJ$2&gt;Inputs!$G$17,0,IF(Inputs!$Q$11="Year One",AI$16*(1+Inputs!$Q$13),'Complex Inputs'!$D158))</f>
        <v>0</v>
      </c>
    </row>
    <row r="17" spans="2:36" s="11" customFormat="1" ht="16">
      <c r="B17" s="18" t="s">
        <v>191</v>
      </c>
      <c r="C17" s="18"/>
      <c r="D17" s="18"/>
      <c r="E17" s="59" t="s">
        <v>0</v>
      </c>
      <c r="F17" s="18"/>
      <c r="G17" s="19">
        <f>IF(G$2&lt;=Inputs!$Q$6,0,IF(G$2&gt;Inputs!$G$17,0,(G$16*G$5)/100))</f>
        <v>0</v>
      </c>
      <c r="H17" s="19">
        <f>IF(H$2&lt;=Inputs!$Q$6,0,IF(H$2&gt;Inputs!$G$17,0,(H$16*H$5)/100))</f>
        <v>0</v>
      </c>
      <c r="I17" s="19">
        <f>IF(I$2&lt;=Inputs!$Q$6,0,IF(I$2&gt;Inputs!$G$17,0,(I$16*I$5)/100))</f>
        <v>0</v>
      </c>
      <c r="J17" s="19">
        <f>IF(J$2&lt;=Inputs!$Q$6,0,IF(J$2&gt;Inputs!$G$17,0,(J$16*J$5)/100))</f>
        <v>0</v>
      </c>
      <c r="K17" s="19">
        <f>IF(K$2&lt;=Inputs!$Q$6,0,IF(K$2&gt;Inputs!$G$17,0,(K$16*K$5)/100))</f>
        <v>0</v>
      </c>
      <c r="L17" s="19">
        <f>IF(L$2&lt;=Inputs!$Q$6,0,IF(L$2&gt;Inputs!$G$17,0,(L$16*L$5)/100))</f>
        <v>0</v>
      </c>
      <c r="M17" s="19">
        <f>IF(M$2&lt;=Inputs!$Q$6,0,IF(M$2&gt;Inputs!$G$17,0,(M$16*M$5)/100))</f>
        <v>0</v>
      </c>
      <c r="N17" s="19">
        <f>IF(N$2&lt;=Inputs!$Q$6,0,IF(N$2&gt;Inputs!$G$17,0,(N$16*N$5)/100))</f>
        <v>0</v>
      </c>
      <c r="O17" s="19">
        <f>IF(O$2&lt;=Inputs!$Q$6,0,IF(O$2&gt;Inputs!$G$17,0,(O$16*O$5)/100))</f>
        <v>0</v>
      </c>
      <c r="P17" s="19">
        <f>IF(P$2&lt;=Inputs!$Q$6,0,IF(P$2&gt;Inputs!$G$17,0,(P$16*P$5)/100))</f>
        <v>0</v>
      </c>
      <c r="Q17" s="19">
        <f>IF(Q$2&lt;=Inputs!$Q$6,0,IF(Q$2&gt;Inputs!$G$17,0,(Q$16*Q$5)/100))</f>
        <v>0</v>
      </c>
      <c r="R17" s="19">
        <f>IF(R$2&lt;=Inputs!$Q$6,0,IF(R$2&gt;Inputs!$G$17,0,(R$16*R$5)/100))</f>
        <v>0</v>
      </c>
      <c r="S17" s="19">
        <f>IF(S$2&lt;=Inputs!$Q$6,0,IF(S$2&gt;Inputs!$G$17,0,(S$16*S$5)/100))</f>
        <v>0</v>
      </c>
      <c r="T17" s="19">
        <f>IF(T$2&lt;=Inputs!$Q$6,0,IF(T$2&gt;Inputs!$G$17,0,(T$16*T$5)/100))</f>
        <v>0</v>
      </c>
      <c r="U17" s="19">
        <f>IF(U$2&lt;=Inputs!$Q$6,0,IF(U$2&gt;Inputs!$G$17,0,(U$16*U$5)/100))</f>
        <v>0</v>
      </c>
      <c r="V17" s="19">
        <f>IF(V$2&lt;=Inputs!$Q$6,0,IF(V$2&gt;Inputs!$G$17,0,(V$16*V$5)/100))</f>
        <v>0</v>
      </c>
      <c r="W17" s="19">
        <f>IF(W$2&lt;=Inputs!$Q$6,0,IF(W$2&gt;Inputs!$G$17,0,(W$16*W$5)/100))</f>
        <v>0</v>
      </c>
      <c r="X17" s="19">
        <f>IF(X$2&lt;=Inputs!$Q$6,0,IF(X$2&gt;Inputs!$G$17,0,(X$16*X$5)/100))</f>
        <v>0</v>
      </c>
      <c r="Y17" s="19">
        <f>IF(Y$2&lt;=Inputs!$Q$6,0,IF(Y$2&gt;Inputs!$G$17,0,(Y$16*Y$5)/100))</f>
        <v>0</v>
      </c>
      <c r="Z17" s="19">
        <f>IF(Z$2&lt;=Inputs!$Q$6,0,IF(Z$2&gt;Inputs!$G$17,0,(Z$16*Z$5)/100))</f>
        <v>0</v>
      </c>
      <c r="AA17" s="19">
        <f>IF(AA$2&lt;=Inputs!$Q$6,0,IF(AA$2&gt;Inputs!$G$17,0,(AA$16*AA$5)/100))</f>
        <v>5402638.6301234905</v>
      </c>
      <c r="AB17" s="19">
        <f>IF(AB$2&lt;=Inputs!$Q$6,0,IF(AB$2&gt;Inputs!$G$17,0,(AB$16*AB$5)/100))</f>
        <v>5345370.6606441811</v>
      </c>
      <c r="AC17" s="19">
        <f>IF(AC$2&lt;=Inputs!$Q$6,0,IF(AC$2&gt;Inputs!$G$17,0,(AC$16*AC$5)/100))</f>
        <v>5288709.7316413522</v>
      </c>
      <c r="AD17" s="19">
        <f>IF(AD$2&lt;=Inputs!$Q$6,0,IF(AD$2&gt;Inputs!$G$17,0,(AD$16*AD$5)/100))</f>
        <v>5232649.4084859537</v>
      </c>
      <c r="AE17" s="19">
        <f>IF(AE$2&lt;=Inputs!$Q$6,0,IF(AE$2&gt;Inputs!$G$17,0,(AE$16*AE$5)/100))</f>
        <v>5177183.324756003</v>
      </c>
      <c r="AF17" s="19">
        <f>IF(AF$2&lt;=Inputs!$Q$6,0,IF(AF$2&gt;Inputs!$G$17,0,(AF$16*AF$5)/100))</f>
        <v>0</v>
      </c>
      <c r="AG17" s="19">
        <f>IF(AG$2&lt;=Inputs!$Q$6,0,IF(AG$2&gt;Inputs!$G$17,0,(AG$16*AG$5)/100))</f>
        <v>0</v>
      </c>
      <c r="AH17" s="19">
        <f>IF(AH$2&lt;=Inputs!$Q$6,0,IF(AH$2&gt;Inputs!$G$17,0,(AH$16*AH$5)/100))</f>
        <v>0</v>
      </c>
      <c r="AI17" s="19">
        <f>IF(AI$2&lt;=Inputs!$Q$6,0,IF(AI$2&gt;Inputs!$G$17,0,(AI$16*AI$5)/100))</f>
        <v>0</v>
      </c>
      <c r="AJ17" s="19">
        <f>IF(AJ$2&lt;=Inputs!$Q$6,0,IF(AJ$2&gt;Inputs!$G$17,0,(AJ$16*AJ$5)/100))</f>
        <v>0</v>
      </c>
    </row>
    <row r="18" spans="2:36" s="11" customFormat="1" ht="16">
      <c r="B18" s="18" t="s">
        <v>97</v>
      </c>
      <c r="C18" s="18"/>
      <c r="D18" s="18"/>
      <c r="E18" s="61" t="s">
        <v>48</v>
      </c>
      <c r="F18" s="18"/>
      <c r="G18" s="72">
        <f>IF(OR(Inputs!$Q$55="Cost-Based",Inputs!$Q$55="Neither"),0,IF(AND(Inputs!$Q$60="Cash",G$2&lt;=Inputs!$Q$63),Inputs!$Q$61*G$9,0))</f>
        <v>0</v>
      </c>
      <c r="H18" s="72">
        <f>IF(OR(Inputs!$Q$55="Cost-Based",Inputs!$Q$55="Neither"),0,IF(AND(Inputs!$Q$60="Cash",H$2&lt;=Inputs!$Q$63),Inputs!$Q$61*H$9,0))</f>
        <v>0</v>
      </c>
      <c r="I18" s="72">
        <f>IF(OR(Inputs!$Q$55="Cost-Based",Inputs!$Q$55="Neither"),0,IF(AND(Inputs!$Q$60="Cash",I$2&lt;=Inputs!$Q$63),Inputs!$Q$61*I$9,0))</f>
        <v>0</v>
      </c>
      <c r="J18" s="72">
        <f>IF(OR(Inputs!$Q$55="Cost-Based",Inputs!$Q$55="Neither"),0,IF(AND(Inputs!$Q$60="Cash",J$2&lt;=Inputs!$Q$63),Inputs!$Q$61*J$9,0))</f>
        <v>0</v>
      </c>
      <c r="K18" s="72">
        <f>IF(OR(Inputs!$Q$55="Cost-Based",Inputs!$Q$55="Neither"),0,IF(AND(Inputs!$Q$60="Cash",K$2&lt;=Inputs!$Q$63),Inputs!$Q$61*K$9,0))</f>
        <v>0</v>
      </c>
      <c r="L18" s="72">
        <f>IF(OR(Inputs!$Q$55="Cost-Based",Inputs!$Q$55="Neither"),0,IF(AND(Inputs!$Q$60="Cash",L$2&lt;=Inputs!$Q$63),Inputs!$Q$61*L$9,0))</f>
        <v>0</v>
      </c>
      <c r="M18" s="72">
        <f>IF(OR(Inputs!$Q$55="Cost-Based",Inputs!$Q$55="Neither"),0,IF(AND(Inputs!$Q$60="Cash",M$2&lt;=Inputs!$Q$63),Inputs!$Q$61*M$9,0))</f>
        <v>0</v>
      </c>
      <c r="N18" s="72">
        <f>IF(OR(Inputs!$Q$55="Cost-Based",Inputs!$Q$55="Neither"),0,IF(AND(Inputs!$Q$60="Cash",N$2&lt;=Inputs!$Q$63),Inputs!$Q$61*N$9,0))</f>
        <v>0</v>
      </c>
      <c r="O18" s="72">
        <f>IF(OR(Inputs!$Q$55="Cost-Based",Inputs!$Q$55="Neither"),0,IF(AND(Inputs!$Q$60="Cash",O$2&lt;=Inputs!$Q$63),Inputs!$Q$61*O$9,0))</f>
        <v>0</v>
      </c>
      <c r="P18" s="72">
        <f>IF(OR(Inputs!$Q$55="Cost-Based",Inputs!$Q$55="Neither"),0,IF(AND(Inputs!$Q$60="Cash",P$2&lt;=Inputs!$Q$63),Inputs!$Q$61*P$9,0))</f>
        <v>0</v>
      </c>
      <c r="Q18" s="72">
        <f>IF(OR(Inputs!$Q$55="Cost-Based",Inputs!$Q$55="Neither"),0,IF(AND(Inputs!$Q$60="Cash",Q$2&lt;=Inputs!$Q$63),Inputs!$Q$61*Q$9,0))</f>
        <v>0</v>
      </c>
      <c r="R18" s="72">
        <f>IF(OR(Inputs!$Q$55="Cost-Based",Inputs!$Q$55="Neither"),0,IF(AND(Inputs!$Q$60="Cash",R$2&lt;=Inputs!$Q$63),Inputs!$Q$61*R$9,0))</f>
        <v>0</v>
      </c>
      <c r="S18" s="72">
        <f>IF(OR(Inputs!$Q$55="Cost-Based",Inputs!$Q$55="Neither"),0,IF(AND(Inputs!$Q$60="Cash",S$2&lt;=Inputs!$Q$63),Inputs!$Q$61*S$9,0))</f>
        <v>0</v>
      </c>
      <c r="T18" s="72">
        <f>IF(OR(Inputs!$Q$55="Cost-Based",Inputs!$Q$55="Neither"),0,IF(AND(Inputs!$Q$60="Cash",T$2&lt;=Inputs!$Q$63),Inputs!$Q$61*T$9,0))</f>
        <v>0</v>
      </c>
      <c r="U18" s="72">
        <f>IF(OR(Inputs!$Q$55="Cost-Based",Inputs!$Q$55="Neither"),0,IF(AND(Inputs!$Q$60="Cash",U$2&lt;=Inputs!$Q$63),Inputs!$Q$61*U$9,0))</f>
        <v>0</v>
      </c>
      <c r="V18" s="72">
        <f>IF(OR(Inputs!$Q$55="Cost-Based",Inputs!$Q$55="Neither"),0,IF(AND(Inputs!$Q$60="Cash",V$2&lt;=Inputs!$Q$63),Inputs!$Q$61*V$9,0))</f>
        <v>0</v>
      </c>
      <c r="W18" s="72">
        <f>IF(OR(Inputs!$Q$55="Cost-Based",Inputs!$Q$55="Neither"),0,IF(AND(Inputs!$Q$60="Cash",W$2&lt;=Inputs!$Q$63),Inputs!$Q$61*W$9,0))</f>
        <v>0</v>
      </c>
      <c r="X18" s="72">
        <f>IF(OR(Inputs!$Q$55="Cost-Based",Inputs!$Q$55="Neither"),0,IF(AND(Inputs!$Q$60="Cash",X$2&lt;=Inputs!$Q$63),Inputs!$Q$61*X$9,0))</f>
        <v>0</v>
      </c>
      <c r="Y18" s="72">
        <f>IF(OR(Inputs!$Q$55="Cost-Based",Inputs!$Q$55="Neither"),0,IF(AND(Inputs!$Q$60="Cash",Y$2&lt;=Inputs!$Q$63),Inputs!$Q$61*Y$9,0))</f>
        <v>0</v>
      </c>
      <c r="Z18" s="72">
        <f>IF(OR(Inputs!$Q$55="Cost-Based",Inputs!$Q$55="Neither"),0,IF(AND(Inputs!$Q$60="Cash",Z$2&lt;=Inputs!$Q$63),Inputs!$Q$61*Z$9,0))</f>
        <v>0</v>
      </c>
      <c r="AA18" s="72">
        <f>IF(OR(Inputs!$Q$55="Cost-Based",Inputs!$Q$55="Neither"),0,IF(AND(Inputs!$Q$60="Cash",AA$2&lt;=Inputs!$Q$63),Inputs!$Q$61*AA$9,0))</f>
        <v>0</v>
      </c>
      <c r="AB18" s="72">
        <f>IF(OR(Inputs!$Q$55="Cost-Based",Inputs!$Q$55="Neither"),0,IF(AND(Inputs!$Q$60="Cash",AB$2&lt;=Inputs!$Q$63),Inputs!$Q$61*AB$9,0))</f>
        <v>0</v>
      </c>
      <c r="AC18" s="72">
        <f>IF(OR(Inputs!$Q$55="Cost-Based",Inputs!$Q$55="Neither"),0,IF(AND(Inputs!$Q$60="Cash",AC$2&lt;=Inputs!$Q$63),Inputs!$Q$61*AC$9,0))</f>
        <v>0</v>
      </c>
      <c r="AD18" s="72">
        <f>IF(OR(Inputs!$Q$55="Cost-Based",Inputs!$Q$55="Neither"),0,IF(AND(Inputs!$Q$60="Cash",AD$2&lt;=Inputs!$Q$63),Inputs!$Q$61*AD$9,0))</f>
        <v>0</v>
      </c>
      <c r="AE18" s="72">
        <f>IF(OR(Inputs!$Q$55="Cost-Based",Inputs!$Q$55="Neither"),0,IF(AND(Inputs!$Q$60="Cash",AE$2&lt;=Inputs!$Q$63),Inputs!$Q$61*AE$9,0))</f>
        <v>0</v>
      </c>
      <c r="AF18" s="72">
        <f>IF(OR(Inputs!$Q$55="Cost-Based",Inputs!$Q$55="Neither"),0,IF(AND(Inputs!$Q$60="Cash",AF$2&lt;=Inputs!$Q$63),Inputs!$Q$61*AF$9,0))</f>
        <v>0</v>
      </c>
      <c r="AG18" s="72">
        <f>IF(OR(Inputs!$Q$55="Cost-Based",Inputs!$Q$55="Neither"),0,IF(AND(Inputs!$Q$60="Cash",AG$2&lt;=Inputs!$Q$63),Inputs!$Q$61*AG$9,0))</f>
        <v>0</v>
      </c>
      <c r="AH18" s="72">
        <f>IF(OR(Inputs!$Q$55="Cost-Based",Inputs!$Q$55="Neither"),0,IF(AND(Inputs!$Q$60="Cash",AH$2&lt;=Inputs!$Q$63),Inputs!$Q$61*AH$9,0))</f>
        <v>0</v>
      </c>
      <c r="AI18" s="72">
        <f>IF(OR(Inputs!$Q$55="Cost-Based",Inputs!$Q$55="Neither"),0,IF(AND(Inputs!$Q$60="Cash",AI$2&lt;=Inputs!$Q$63),Inputs!$Q$61*AI$9,0))</f>
        <v>0</v>
      </c>
      <c r="AJ18" s="72">
        <f>IF(OR(Inputs!$Q$55="Cost-Based",Inputs!$Q$55="Neither"),0,IF(AND(Inputs!$Q$60="Cash",AJ$2&lt;=Inputs!$Q$63),Inputs!$Q$61*AJ$9,0))</f>
        <v>0</v>
      </c>
    </row>
    <row r="19" spans="2:36" s="11" customFormat="1" ht="16">
      <c r="B19" s="18" t="s">
        <v>98</v>
      </c>
      <c r="C19" s="18"/>
      <c r="D19" s="18"/>
      <c r="E19" s="59" t="s">
        <v>0</v>
      </c>
      <c r="F19" s="18"/>
      <c r="G19" s="19">
        <f>(G$18*G$5)/100</f>
        <v>0</v>
      </c>
      <c r="H19" s="19">
        <f t="shared" ref="H19:AJ19" si="2">(H$18*H$5)/100</f>
        <v>0</v>
      </c>
      <c r="I19" s="19">
        <f t="shared" si="2"/>
        <v>0</v>
      </c>
      <c r="J19" s="19">
        <f t="shared" si="2"/>
        <v>0</v>
      </c>
      <c r="K19" s="19">
        <f t="shared" si="2"/>
        <v>0</v>
      </c>
      <c r="L19" s="19">
        <f t="shared" si="2"/>
        <v>0</v>
      </c>
      <c r="M19" s="19">
        <f t="shared" si="2"/>
        <v>0</v>
      </c>
      <c r="N19" s="19">
        <f t="shared" si="2"/>
        <v>0</v>
      </c>
      <c r="O19" s="19">
        <f t="shared" si="2"/>
        <v>0</v>
      </c>
      <c r="P19" s="19">
        <f t="shared" si="2"/>
        <v>0</v>
      </c>
      <c r="Q19" s="19">
        <f t="shared" si="2"/>
        <v>0</v>
      </c>
      <c r="R19" s="19">
        <f t="shared" si="2"/>
        <v>0</v>
      </c>
      <c r="S19" s="19">
        <f t="shared" si="2"/>
        <v>0</v>
      </c>
      <c r="T19" s="19">
        <f t="shared" si="2"/>
        <v>0</v>
      </c>
      <c r="U19" s="19">
        <f t="shared" si="2"/>
        <v>0</v>
      </c>
      <c r="V19" s="19">
        <f t="shared" si="2"/>
        <v>0</v>
      </c>
      <c r="W19" s="19">
        <f t="shared" si="2"/>
        <v>0</v>
      </c>
      <c r="X19" s="19">
        <f t="shared" si="2"/>
        <v>0</v>
      </c>
      <c r="Y19" s="19">
        <f t="shared" si="2"/>
        <v>0</v>
      </c>
      <c r="Z19" s="19">
        <f t="shared" si="2"/>
        <v>0</v>
      </c>
      <c r="AA19" s="19">
        <f t="shared" si="2"/>
        <v>0</v>
      </c>
      <c r="AB19" s="19">
        <f t="shared" si="2"/>
        <v>0</v>
      </c>
      <c r="AC19" s="19">
        <f t="shared" si="2"/>
        <v>0</v>
      </c>
      <c r="AD19" s="19">
        <f t="shared" si="2"/>
        <v>0</v>
      </c>
      <c r="AE19" s="19">
        <f t="shared" si="2"/>
        <v>0</v>
      </c>
      <c r="AF19" s="19">
        <f t="shared" si="2"/>
        <v>0</v>
      </c>
      <c r="AG19" s="19">
        <f t="shared" si="2"/>
        <v>0</v>
      </c>
      <c r="AH19" s="19">
        <f t="shared" si="2"/>
        <v>0</v>
      </c>
      <c r="AI19" s="19">
        <f t="shared" si="2"/>
        <v>0</v>
      </c>
      <c r="AJ19" s="19">
        <f t="shared" si="2"/>
        <v>0</v>
      </c>
    </row>
    <row r="20" spans="2:36" s="20" customFormat="1" ht="16">
      <c r="B20" s="18" t="s">
        <v>99</v>
      </c>
      <c r="C20" s="18"/>
      <c r="D20" s="18"/>
      <c r="E20" s="61" t="s">
        <v>48</v>
      </c>
      <c r="F20" s="18"/>
      <c r="G20" s="72">
        <f>IF(OR(Inputs!$Q$69="Cost-Based",Inputs!$Q$69="Neither"),0,IF(AND(Inputs!$Q$74="Cash",G$2&lt;=Inputs!$Q$79),Inputs!$Q$77*G$10*Inputs!$Q$78,0))</f>
        <v>0</v>
      </c>
      <c r="H20" s="72">
        <f>IF(OR(Inputs!$Q$69="Cost-Based",Inputs!$Q$69="Neither"),0,IF(AND(Inputs!$Q$74="Cash",H$2&lt;=Inputs!$Q$79),Inputs!$Q$77*H$10*Inputs!$Q$78,0))</f>
        <v>0</v>
      </c>
      <c r="I20" s="72">
        <f>IF(OR(Inputs!$Q$69="Cost-Based",Inputs!$Q$69="Neither"),0,IF(AND(Inputs!$Q$74="Cash",I$2&lt;=Inputs!$Q$79),Inputs!$Q$77*I$10*Inputs!$Q$78,0))</f>
        <v>0</v>
      </c>
      <c r="J20" s="72">
        <f>IF(OR(Inputs!$Q$69="Cost-Based",Inputs!$Q$69="Neither"),0,IF(AND(Inputs!$Q$74="Cash",J$2&lt;=Inputs!$Q$79),Inputs!$Q$77*J$10*Inputs!$Q$78,0))</f>
        <v>0</v>
      </c>
      <c r="K20" s="72">
        <f>IF(OR(Inputs!$Q$69="Cost-Based",Inputs!$Q$69="Neither"),0,IF(AND(Inputs!$Q$74="Cash",K$2&lt;=Inputs!$Q$79),Inputs!$Q$77*K$10*Inputs!$Q$78,0))</f>
        <v>0</v>
      </c>
      <c r="L20" s="72">
        <f>IF(OR(Inputs!$Q$69="Cost-Based",Inputs!$Q$69="Neither"),0,IF(AND(Inputs!$Q$74="Cash",L$2&lt;=Inputs!$Q$79),Inputs!$Q$77*L$10*Inputs!$Q$78,0))</f>
        <v>0</v>
      </c>
      <c r="M20" s="72">
        <f>IF(OR(Inputs!$Q$69="Cost-Based",Inputs!$Q$69="Neither"),0,IF(AND(Inputs!$Q$74="Cash",M$2&lt;=Inputs!$Q$79),Inputs!$Q$77*M$10*Inputs!$Q$78,0))</f>
        <v>0</v>
      </c>
      <c r="N20" s="72">
        <f>IF(OR(Inputs!$Q$69="Cost-Based",Inputs!$Q$69="Neither"),0,IF(AND(Inputs!$Q$74="Cash",N$2&lt;=Inputs!$Q$79),Inputs!$Q$77*N$10*Inputs!$Q$78,0))</f>
        <v>0</v>
      </c>
      <c r="O20" s="72">
        <f>IF(OR(Inputs!$Q$69="Cost-Based",Inputs!$Q$69="Neither"),0,IF(AND(Inputs!$Q$74="Cash",O$2&lt;=Inputs!$Q$79),Inputs!$Q$77*O$10*Inputs!$Q$78,0))</f>
        <v>0</v>
      </c>
      <c r="P20" s="72">
        <f>IF(OR(Inputs!$Q$69="Cost-Based",Inputs!$Q$69="Neither"),0,IF(AND(Inputs!$Q$74="Cash",P$2&lt;=Inputs!$Q$79),Inputs!$Q$77*P$10*Inputs!$Q$78,0))</f>
        <v>0</v>
      </c>
      <c r="Q20" s="72">
        <f>IF(OR(Inputs!$Q$69="Cost-Based",Inputs!$Q$69="Neither"),0,IF(AND(Inputs!$Q$74="Cash",Q$2&lt;=Inputs!$Q$79),Inputs!$Q$77*Q$10*Inputs!$Q$78,0))</f>
        <v>0</v>
      </c>
      <c r="R20" s="72">
        <f>IF(OR(Inputs!$Q$69="Cost-Based",Inputs!$Q$69="Neither"),0,IF(AND(Inputs!$Q$74="Cash",R$2&lt;=Inputs!$Q$79),Inputs!$Q$77*R$10*Inputs!$Q$78,0))</f>
        <v>0</v>
      </c>
      <c r="S20" s="72">
        <f>IF(OR(Inputs!$Q$69="Cost-Based",Inputs!$Q$69="Neither"),0,IF(AND(Inputs!$Q$74="Cash",S$2&lt;=Inputs!$Q$79),Inputs!$Q$77*S$10*Inputs!$Q$78,0))</f>
        <v>0</v>
      </c>
      <c r="T20" s="72">
        <f>IF(OR(Inputs!$Q$69="Cost-Based",Inputs!$Q$69="Neither"),0,IF(AND(Inputs!$Q$74="Cash",T$2&lt;=Inputs!$Q$79),Inputs!$Q$77*T$10*Inputs!$Q$78,0))</f>
        <v>0</v>
      </c>
      <c r="U20" s="72">
        <f>IF(OR(Inputs!$Q$69="Cost-Based",Inputs!$Q$69="Neither"),0,IF(AND(Inputs!$Q$74="Cash",U$2&lt;=Inputs!$Q$79),Inputs!$Q$77*U$10*Inputs!$Q$78,0))</f>
        <v>0</v>
      </c>
      <c r="V20" s="72">
        <f>IF(OR(Inputs!$Q$69="Cost-Based",Inputs!$Q$69="Neither"),0,IF(AND(Inputs!$Q$74="Cash",V$2&lt;=Inputs!$Q$79),Inputs!$Q$77*V$10*Inputs!$Q$78,0))</f>
        <v>0</v>
      </c>
      <c r="W20" s="72">
        <f>IF(OR(Inputs!$Q$69="Cost-Based",Inputs!$Q$69="Neither"),0,IF(AND(Inputs!$Q$74="Cash",W$2&lt;=Inputs!$Q$79),Inputs!$Q$77*W$10*Inputs!$Q$78,0))</f>
        <v>0</v>
      </c>
      <c r="X20" s="72">
        <f>IF(OR(Inputs!$Q$69="Cost-Based",Inputs!$Q$69="Neither"),0,IF(AND(Inputs!$Q$74="Cash",X$2&lt;=Inputs!$Q$79),Inputs!$Q$77*X$10*Inputs!$Q$78,0))</f>
        <v>0</v>
      </c>
      <c r="Y20" s="72">
        <f>IF(OR(Inputs!$Q$69="Cost-Based",Inputs!$Q$69="Neither"),0,IF(AND(Inputs!$Q$74="Cash",Y$2&lt;=Inputs!$Q$79),Inputs!$Q$77*Y$10*Inputs!$Q$78,0))</f>
        <v>0</v>
      </c>
      <c r="Z20" s="72">
        <f>IF(OR(Inputs!$Q$69="Cost-Based",Inputs!$Q$69="Neither"),0,IF(AND(Inputs!$Q$74="Cash",Z$2&lt;=Inputs!$Q$79),Inputs!$Q$77*Z$10*Inputs!$Q$78,0))</f>
        <v>0</v>
      </c>
      <c r="AA20" s="72">
        <f>IF(OR(Inputs!$Q$69="Cost-Based",Inputs!$Q$69="Neither"),0,IF(AND(Inputs!$Q$74="Cash",AA$2&lt;=Inputs!$Q$79),Inputs!$Q$77*AA$10*Inputs!$Q$78,0))</f>
        <v>0</v>
      </c>
      <c r="AB20" s="72">
        <f>IF(OR(Inputs!$Q$69="Cost-Based",Inputs!$Q$69="Neither"),0,IF(AND(Inputs!$Q$74="Cash",AB$2&lt;=Inputs!$Q$79),Inputs!$Q$77*AB$10*Inputs!$Q$78,0))</f>
        <v>0</v>
      </c>
      <c r="AC20" s="72">
        <f>IF(OR(Inputs!$Q$69="Cost-Based",Inputs!$Q$69="Neither"),0,IF(AND(Inputs!$Q$74="Cash",AC$2&lt;=Inputs!$Q$79),Inputs!$Q$77*AC$10*Inputs!$Q$78,0))</f>
        <v>0</v>
      </c>
      <c r="AD20" s="72">
        <f>IF(OR(Inputs!$Q$69="Cost-Based",Inputs!$Q$69="Neither"),0,IF(AND(Inputs!$Q$74="Cash",AD$2&lt;=Inputs!$Q$79),Inputs!$Q$77*AD$10*Inputs!$Q$78,0))</f>
        <v>0</v>
      </c>
      <c r="AE20" s="72">
        <f>IF(OR(Inputs!$Q$69="Cost-Based",Inputs!$Q$69="Neither"),0,IF(AND(Inputs!$Q$74="Cash",AE$2&lt;=Inputs!$Q$79),Inputs!$Q$77*AE$10*Inputs!$Q$78,0))</f>
        <v>0</v>
      </c>
      <c r="AF20" s="72">
        <f>IF(OR(Inputs!$Q$69="Cost-Based",Inputs!$Q$69="Neither"),0,IF(AND(Inputs!$Q$74="Cash",AF$2&lt;=Inputs!$Q$79),Inputs!$Q$77*AF$10*Inputs!$Q$78,0))</f>
        <v>0</v>
      </c>
      <c r="AG20" s="72">
        <f>IF(OR(Inputs!$Q$69="Cost-Based",Inputs!$Q$69="Neither"),0,IF(AND(Inputs!$Q$74="Cash",AG$2&lt;=Inputs!$Q$79),Inputs!$Q$77*AG$10*Inputs!$Q$78,0))</f>
        <v>0</v>
      </c>
      <c r="AH20" s="72">
        <f>IF(OR(Inputs!$Q$69="Cost-Based",Inputs!$Q$69="Neither"),0,IF(AND(Inputs!$Q$74="Cash",AH$2&lt;=Inputs!$Q$79),Inputs!$Q$77*AH$10*Inputs!$Q$78,0))</f>
        <v>0</v>
      </c>
      <c r="AI20" s="72">
        <f>IF(OR(Inputs!$Q$69="Cost-Based",Inputs!$Q$69="Neither"),0,IF(AND(Inputs!$Q$74="Cash",AI$2&lt;=Inputs!$Q$79),Inputs!$Q$77*AI$10*Inputs!$Q$78,0))</f>
        <v>0</v>
      </c>
      <c r="AJ20" s="72">
        <f>IF(OR(Inputs!$Q$69="Cost-Based",Inputs!$Q$69="Neither"),0,IF(AND(Inputs!$Q$74="Cash",AJ$2&lt;=Inputs!$Q$79),Inputs!$Q$77*AJ$10*Inputs!$Q$78,0))</f>
        <v>0</v>
      </c>
    </row>
    <row r="21" spans="2:36" s="20" customFormat="1" ht="16">
      <c r="B21" s="18" t="s">
        <v>100</v>
      </c>
      <c r="C21" s="18"/>
      <c r="D21" s="18"/>
      <c r="E21" s="59" t="s">
        <v>0</v>
      </c>
      <c r="F21" s="18"/>
      <c r="G21" s="19">
        <f>IF(Inputs!$Q$75=0,(G$20*G$5)/100,MIN((G$20*G$5)/100,Inputs!$Q$75))</f>
        <v>0</v>
      </c>
      <c r="H21" s="19">
        <f>IF(Inputs!$Q$75=0,(H$20*H$5)/100,MIN((H$20*H$5)/100,Inputs!$Q$75))</f>
        <v>0</v>
      </c>
      <c r="I21" s="19">
        <f>IF(Inputs!$Q$75=0,(I$20*I$5)/100,MIN((I$20*I$5)/100,Inputs!$Q$75))</f>
        <v>0</v>
      </c>
      <c r="J21" s="19">
        <f>IF(Inputs!$Q$75=0,(J$20*J$5)/100,MIN((J$20*J$5)/100,Inputs!$Q$75))</f>
        <v>0</v>
      </c>
      <c r="K21" s="19">
        <f>IF(Inputs!$Q$75=0,(K$20*K$5)/100,MIN((K$20*K$5)/100,Inputs!$Q$75))</f>
        <v>0</v>
      </c>
      <c r="L21" s="19">
        <f>IF(Inputs!$Q$75=0,(L$20*L$5)/100,MIN((L$20*L$5)/100,Inputs!$Q$75))</f>
        <v>0</v>
      </c>
      <c r="M21" s="19">
        <f>IF(Inputs!$Q$75=0,(M$20*M$5)/100,MIN((M$20*M$5)/100,Inputs!$Q$75))</f>
        <v>0</v>
      </c>
      <c r="N21" s="19">
        <f>IF(Inputs!$Q$75=0,(N$20*N$5)/100,MIN((N$20*N$5)/100,Inputs!$Q$75))</f>
        <v>0</v>
      </c>
      <c r="O21" s="19">
        <f>IF(Inputs!$Q$75=0,(O$20*O$5)/100,MIN((O$20*O$5)/100,Inputs!$Q$75))</f>
        <v>0</v>
      </c>
      <c r="P21" s="19">
        <f>IF(Inputs!$Q$75=0,(P$20*P$5)/100,MIN((P$20*P$5)/100,Inputs!$Q$75))</f>
        <v>0</v>
      </c>
      <c r="Q21" s="19">
        <f>IF(Inputs!$Q$75=0,(Q$20*Q$5)/100,MIN((Q$20*Q$5)/100,Inputs!$Q$75))</f>
        <v>0</v>
      </c>
      <c r="R21" s="19">
        <f>IF(Inputs!$Q$75=0,(R$20*R$5)/100,MIN((R$20*R$5)/100,Inputs!$Q$75))</f>
        <v>0</v>
      </c>
      <c r="S21" s="19">
        <f>IF(Inputs!$Q$75=0,(S$20*S$5)/100,MIN((S$20*S$5)/100,Inputs!$Q$75))</f>
        <v>0</v>
      </c>
      <c r="T21" s="19">
        <f>IF(Inputs!$Q$75=0,(T$20*T$5)/100,MIN((T$20*T$5)/100,Inputs!$Q$75))</f>
        <v>0</v>
      </c>
      <c r="U21" s="19">
        <f>IF(Inputs!$Q$75=0,(U$20*U$5)/100,MIN((U$20*U$5)/100,Inputs!$Q$75))</f>
        <v>0</v>
      </c>
      <c r="V21" s="19">
        <f>IF(Inputs!$Q$75=0,(V$20*V$5)/100,MIN((V$20*V$5)/100,Inputs!$Q$75))</f>
        <v>0</v>
      </c>
      <c r="W21" s="19">
        <f>IF(Inputs!$Q$75=0,(W$20*W$5)/100,MIN((W$20*W$5)/100,Inputs!$Q$75))</f>
        <v>0</v>
      </c>
      <c r="X21" s="19">
        <f>IF(Inputs!$Q$75=0,(X$20*X$5)/100,MIN((X$20*X$5)/100,Inputs!$Q$75))</f>
        <v>0</v>
      </c>
      <c r="Y21" s="19">
        <f>IF(Inputs!$Q$75=0,(Y$20*Y$5)/100,MIN((Y$20*Y$5)/100,Inputs!$Q$75))</f>
        <v>0</v>
      </c>
      <c r="Z21" s="19">
        <f>IF(Inputs!$Q$75=0,(Z$20*Z$5)/100,MIN((Z$20*Z$5)/100,Inputs!$Q$75))</f>
        <v>0</v>
      </c>
      <c r="AA21" s="19">
        <f>IF(Inputs!$Q$75=0,(AA$20*AA$5)/100,MIN((AA$20*AA$5)/100,Inputs!$Q$75))</f>
        <v>0</v>
      </c>
      <c r="AB21" s="19">
        <f>IF(Inputs!$Q$75=0,(AB$20*AB$5)/100,MIN((AB$20*AB$5)/100,Inputs!$Q$75))</f>
        <v>0</v>
      </c>
      <c r="AC21" s="19">
        <f>IF(Inputs!$Q$75=0,(AC$20*AC$5)/100,MIN((AC$20*AC$5)/100,Inputs!$Q$75))</f>
        <v>0</v>
      </c>
      <c r="AD21" s="19">
        <f>IF(Inputs!$Q$75=0,(AD$20*AD$5)/100,MIN((AD$20*AD$5)/100,Inputs!$Q$75))</f>
        <v>0</v>
      </c>
      <c r="AE21" s="19">
        <f>IF(Inputs!$Q$75=0,(AE$20*AE$5)/100,MIN((AE$20*AE$5)/100,Inputs!$Q$75))</f>
        <v>0</v>
      </c>
      <c r="AF21" s="19">
        <f>IF(Inputs!$Q$75=0,(AF$20*AF$5)/100,MIN((AF$20*AF$5)/100,Inputs!$Q$75))</f>
        <v>0</v>
      </c>
      <c r="AG21" s="19">
        <f>IF(Inputs!$Q$75=0,(AG$20*AG$5)/100,MIN((AG$20*AG$5)/100,Inputs!$Q$75))</f>
        <v>0</v>
      </c>
      <c r="AH21" s="19">
        <f>IF(Inputs!$Q$75=0,(AH$20*AH$5)/100,MIN((AH$20*AH$5)/100,Inputs!$Q$75))</f>
        <v>0</v>
      </c>
      <c r="AI21" s="19">
        <f>IF(Inputs!$Q$75=0,(AI$20*AI$5)/100,MIN((AI$20*AI$5)/100,Inputs!$Q$75))</f>
        <v>0</v>
      </c>
      <c r="AJ21" s="19">
        <f>IF(Inputs!$Q$75=0,(AJ$20*AJ$5)/100,MIN((AJ$20*AJ$5)/100,Inputs!$Q$75))</f>
        <v>0</v>
      </c>
    </row>
    <row r="22" spans="2:36" s="20" customFormat="1" ht="16">
      <c r="B22" s="21" t="s">
        <v>155</v>
      </c>
      <c r="C22" s="21"/>
      <c r="D22" s="21"/>
      <c r="E22" s="62" t="s">
        <v>0</v>
      </c>
      <c r="F22" s="21"/>
      <c r="G22" s="124">
        <f>G205</f>
        <v>97821.747324456315</v>
      </c>
      <c r="H22" s="124">
        <f t="shared" ref="H22:AJ22" si="3">H205</f>
        <v>97821.747324456315</v>
      </c>
      <c r="I22" s="124">
        <f t="shared" si="3"/>
        <v>97821.747324456315</v>
      </c>
      <c r="J22" s="124">
        <f t="shared" si="3"/>
        <v>97821.747324456315</v>
      </c>
      <c r="K22" s="124">
        <f t="shared" si="3"/>
        <v>97821.747324456315</v>
      </c>
      <c r="L22" s="124">
        <f t="shared" si="3"/>
        <v>97821.747324456315</v>
      </c>
      <c r="M22" s="124">
        <f t="shared" si="3"/>
        <v>97821.747324456315</v>
      </c>
      <c r="N22" s="124">
        <f t="shared" si="3"/>
        <v>97821.747324456315</v>
      </c>
      <c r="O22" s="124">
        <f t="shared" si="3"/>
        <v>97821.747324456315</v>
      </c>
      <c r="P22" s="124">
        <f t="shared" si="3"/>
        <v>97821.747324456315</v>
      </c>
      <c r="Q22" s="124">
        <f t="shared" si="3"/>
        <v>97821.747324456315</v>
      </c>
      <c r="R22" s="124">
        <f t="shared" si="3"/>
        <v>97821.747324456315</v>
      </c>
      <c r="S22" s="124">
        <f t="shared" si="3"/>
        <v>97821.747324456315</v>
      </c>
      <c r="T22" s="124">
        <f t="shared" si="3"/>
        <v>97821.747324456315</v>
      </c>
      <c r="U22" s="124">
        <f t="shared" si="3"/>
        <v>97821.747324456315</v>
      </c>
      <c r="V22" s="124">
        <f t="shared" si="3"/>
        <v>69481.066158444737</v>
      </c>
      <c r="W22" s="124">
        <f t="shared" si="3"/>
        <v>41140.38499243313</v>
      </c>
      <c r="X22" s="124">
        <f t="shared" si="3"/>
        <v>41140.38499243313</v>
      </c>
      <c r="Y22" s="124">
        <f t="shared" si="3"/>
        <v>41140.38499243313</v>
      </c>
      <c r="Z22" s="124">
        <f t="shared" si="3"/>
        <v>41140.38499243313</v>
      </c>
      <c r="AA22" s="124">
        <f t="shared" si="3"/>
        <v>41140.38499243313</v>
      </c>
      <c r="AB22" s="124">
        <f t="shared" si="3"/>
        <v>41140.38499243313</v>
      </c>
      <c r="AC22" s="124">
        <f t="shared" si="3"/>
        <v>41140.38499243313</v>
      </c>
      <c r="AD22" s="124">
        <f t="shared" si="3"/>
        <v>41140.38499243313</v>
      </c>
      <c r="AE22" s="124">
        <f t="shared" si="3"/>
        <v>20570.192496216565</v>
      </c>
      <c r="AF22" s="124">
        <f t="shared" si="3"/>
        <v>0</v>
      </c>
      <c r="AG22" s="124">
        <f t="shared" si="3"/>
        <v>0</v>
      </c>
      <c r="AH22" s="124">
        <f t="shared" si="3"/>
        <v>0</v>
      </c>
      <c r="AI22" s="124">
        <f t="shared" si="3"/>
        <v>0</v>
      </c>
      <c r="AJ22" s="124">
        <f t="shared" si="3"/>
        <v>0</v>
      </c>
    </row>
    <row r="23" spans="2:36" s="11" customFormat="1" ht="16">
      <c r="B23" s="16" t="s">
        <v>105</v>
      </c>
      <c r="C23" s="16"/>
      <c r="D23" s="16"/>
      <c r="E23" s="63" t="s">
        <v>0</v>
      </c>
      <c r="F23" s="16"/>
      <c r="G23" s="23">
        <f>G15+G17+G19+G21+G22</f>
        <v>20938190.247324467</v>
      </c>
      <c r="H23" s="23">
        <f t="shared" ref="H23:AJ23" si="4">H15+H17+H19+H21+H22</f>
        <v>20833988.404824466</v>
      </c>
      <c r="I23" s="23">
        <f t="shared" si="4"/>
        <v>20730307.571536962</v>
      </c>
      <c r="J23" s="23">
        <f t="shared" si="4"/>
        <v>20627145.1424159</v>
      </c>
      <c r="K23" s="23">
        <f t="shared" si="4"/>
        <v>20524498.525440443</v>
      </c>
      <c r="L23" s="23">
        <f t="shared" si="4"/>
        <v>20422365.141549863</v>
      </c>
      <c r="M23" s="23">
        <f t="shared" si="4"/>
        <v>20320742.424578737</v>
      </c>
      <c r="N23" s="23">
        <f t="shared" si="4"/>
        <v>20219627.821192462</v>
      </c>
      <c r="O23" s="23">
        <f t="shared" si="4"/>
        <v>20119018.790823124</v>
      </c>
      <c r="P23" s="23">
        <f t="shared" si="4"/>
        <v>20018912.805605631</v>
      </c>
      <c r="Q23" s="23">
        <f t="shared" si="4"/>
        <v>19919307.350314226</v>
      </c>
      <c r="R23" s="23">
        <f t="shared" si="4"/>
        <v>19657784.769799232</v>
      </c>
      <c r="S23" s="23">
        <f t="shared" si="4"/>
        <v>19070985.879124988</v>
      </c>
      <c r="T23" s="23">
        <f t="shared" si="4"/>
        <v>18501790.95517097</v>
      </c>
      <c r="U23" s="23">
        <f t="shared" si="4"/>
        <v>17949671.878935575</v>
      </c>
      <c r="V23" s="23">
        <f t="shared" si="4"/>
        <v>17385775.693821225</v>
      </c>
      <c r="W23" s="23">
        <f t="shared" si="4"/>
        <v>16837946.173825331</v>
      </c>
      <c r="X23" s="23">
        <f t="shared" si="4"/>
        <v>16334042.000160348</v>
      </c>
      <c r="Y23" s="23">
        <f t="shared" si="4"/>
        <v>15845254.951705309</v>
      </c>
      <c r="Z23" s="23">
        <f t="shared" si="4"/>
        <v>17423737.830493394</v>
      </c>
      <c r="AA23" s="23">
        <f t="shared" si="4"/>
        <v>5443779.0151159232</v>
      </c>
      <c r="AB23" s="23">
        <f t="shared" si="4"/>
        <v>5386511.0456366139</v>
      </c>
      <c r="AC23" s="23">
        <f t="shared" si="4"/>
        <v>5329850.116633785</v>
      </c>
      <c r="AD23" s="23">
        <f t="shared" si="4"/>
        <v>5273789.7934783865</v>
      </c>
      <c r="AE23" s="23">
        <f t="shared" si="4"/>
        <v>5197753.5172522198</v>
      </c>
      <c r="AF23" s="23">
        <f t="shared" si="4"/>
        <v>0</v>
      </c>
      <c r="AG23" s="23">
        <f t="shared" si="4"/>
        <v>0</v>
      </c>
      <c r="AH23" s="23">
        <f t="shared" si="4"/>
        <v>0</v>
      </c>
      <c r="AI23" s="23">
        <f t="shared" si="4"/>
        <v>0</v>
      </c>
      <c r="AJ23" s="23">
        <f t="shared" si="4"/>
        <v>0</v>
      </c>
    </row>
    <row r="24" spans="2:36" s="11" customFormat="1" ht="16">
      <c r="E24" s="61"/>
    </row>
    <row r="25" spans="2:36" s="11" customFormat="1" ht="16">
      <c r="B25" s="16" t="s">
        <v>62</v>
      </c>
      <c r="C25" s="16"/>
      <c r="D25" s="16"/>
      <c r="E25" s="61"/>
    </row>
    <row r="26" spans="2:36" s="11" customFormat="1" ht="16">
      <c r="B26" s="16"/>
      <c r="C26" s="16"/>
      <c r="D26" s="16"/>
      <c r="E26" s="61"/>
    </row>
    <row r="27" spans="2:36" ht="16">
      <c r="B27" s="11" t="s">
        <v>101</v>
      </c>
      <c r="C27" s="11"/>
      <c r="D27" s="11"/>
      <c r="G27" s="290">
        <v>1</v>
      </c>
      <c r="H27" s="65">
        <f>G27*(1+IF(G$2&lt;=Inputs!$Q$21,Inputs!$Q$20,Inputs!$Q$22))</f>
        <v>1.02</v>
      </c>
      <c r="I27" s="65">
        <f>H27*(1+IF(H$2&lt;=Inputs!$Q$21,Inputs!$Q$20,Inputs!$Q$22))</f>
        <v>1.0404</v>
      </c>
      <c r="J27" s="65">
        <f>I27*(1+IF(I$2&lt;=Inputs!$Q$21,Inputs!$Q$20,Inputs!$Q$22))</f>
        <v>1.0612079999999999</v>
      </c>
      <c r="K27" s="65">
        <f>J27*(1+IF(J$2&lt;=Inputs!$Q$21,Inputs!$Q$20,Inputs!$Q$22))</f>
        <v>1.08243216</v>
      </c>
      <c r="L27" s="65">
        <f>K27*(1+IF(K$2&lt;=Inputs!$Q$21,Inputs!$Q$20,Inputs!$Q$22))</f>
        <v>1.1040808032</v>
      </c>
      <c r="M27" s="65">
        <f>L27*(1+IF(L$2&lt;=Inputs!$Q$21,Inputs!$Q$20,Inputs!$Q$22))</f>
        <v>1.1261624192640001</v>
      </c>
      <c r="N27" s="65">
        <f>M27*(1+IF(M$2&lt;=Inputs!$Q$21,Inputs!$Q$20,Inputs!$Q$22))</f>
        <v>1.14868566764928</v>
      </c>
      <c r="O27" s="65">
        <f>N27*(1+IF(N$2&lt;=Inputs!$Q$21,Inputs!$Q$20,Inputs!$Q$22))</f>
        <v>1.1716593810022657</v>
      </c>
      <c r="P27" s="65">
        <f>O27*(1+IF(O$2&lt;=Inputs!$Q$21,Inputs!$Q$20,Inputs!$Q$22))</f>
        <v>1.1950925686223111</v>
      </c>
      <c r="Q27" s="65">
        <f>P27*(1+IF(P$2&lt;=Inputs!$Q$21,Inputs!$Q$20,Inputs!$Q$22))</f>
        <v>1.2189944199947573</v>
      </c>
      <c r="R27" s="65">
        <f>Q27*(1+IF(Q$2&lt;=Inputs!$Q$21,Inputs!$Q$20,Inputs!$Q$22))</f>
        <v>1.2433743083946525</v>
      </c>
      <c r="S27" s="65">
        <f>R27*(1+IF(R$2&lt;=Inputs!$Q$21,Inputs!$Q$20,Inputs!$Q$22))</f>
        <v>1.2682417945625455</v>
      </c>
      <c r="T27" s="65">
        <f>S27*(1+IF(S$2&lt;=Inputs!$Q$21,Inputs!$Q$20,Inputs!$Q$22))</f>
        <v>1.2936066304537963</v>
      </c>
      <c r="U27" s="65">
        <f>T27*(1+IF(T$2&lt;=Inputs!$Q$21,Inputs!$Q$20,Inputs!$Q$22))</f>
        <v>1.3194787630628724</v>
      </c>
      <c r="V27" s="65">
        <f>U27*(1+IF(U$2&lt;=Inputs!$Q$21,Inputs!$Q$20,Inputs!$Q$22))</f>
        <v>1.3458683383241299</v>
      </c>
      <c r="W27" s="65">
        <f>V27*(1+IF(V$2&lt;=Inputs!$Q$21,Inputs!$Q$20,Inputs!$Q$22))</f>
        <v>1.3727857050906125</v>
      </c>
      <c r="X27" s="65">
        <f>W27*(1+IF(W$2&lt;=Inputs!$Q$21,Inputs!$Q$20,Inputs!$Q$22))</f>
        <v>1.4002414191924248</v>
      </c>
      <c r="Y27" s="65">
        <f>X27*(1+IF(X$2&lt;=Inputs!$Q$21,Inputs!$Q$20,Inputs!$Q$22))</f>
        <v>1.4282462475762734</v>
      </c>
      <c r="Z27" s="65">
        <f>Y27*(1+IF(Y$2&lt;=Inputs!$Q$21,Inputs!$Q$20,Inputs!$Q$22))</f>
        <v>1.4568111725277988</v>
      </c>
      <c r="AA27" s="65">
        <f>Z27*(1+IF(Z$2&lt;=Inputs!$Q$21,Inputs!$Q$20,Inputs!$Q$22))</f>
        <v>1.4859473959783549</v>
      </c>
      <c r="AB27" s="65">
        <f>AA27*(1+IF(AA$2&lt;=Inputs!$Q$21,Inputs!$Q$20,Inputs!$Q$22))</f>
        <v>1.5156663438979221</v>
      </c>
      <c r="AC27" s="65">
        <f>AB27*(1+IF(AB$2&lt;=Inputs!$Q$21,Inputs!$Q$20,Inputs!$Q$22))</f>
        <v>1.5459796707758806</v>
      </c>
      <c r="AD27" s="65">
        <f>AC27*(1+IF(AC$2&lt;=Inputs!$Q$21,Inputs!$Q$20,Inputs!$Q$22))</f>
        <v>1.5768992641913981</v>
      </c>
      <c r="AE27" s="65">
        <f>AD27*(1+IF(AD$2&lt;=Inputs!$Q$21,Inputs!$Q$20,Inputs!$Q$22))</f>
        <v>1.6084372494752261</v>
      </c>
      <c r="AF27" s="65">
        <f>AE27*(1+IF(AE$2&lt;=Inputs!$Q$21,Inputs!$Q$20,Inputs!$Q$22))</f>
        <v>1.6406059944647307</v>
      </c>
      <c r="AG27" s="65">
        <f>AF27*(1+IF(AF$2&lt;=Inputs!$Q$21,Inputs!$Q$20,Inputs!$Q$22))</f>
        <v>1.6734181143540252</v>
      </c>
      <c r="AH27" s="65">
        <f>AG27*(1+IF(AG$2&lt;=Inputs!$Q$21,Inputs!$Q$20,Inputs!$Q$22))</f>
        <v>1.7068864766411058</v>
      </c>
      <c r="AI27" s="65">
        <f>AH27*(1+IF(AH$2&lt;=Inputs!$Q$21,Inputs!$Q$20,Inputs!$Q$22))</f>
        <v>1.7410242061739281</v>
      </c>
      <c r="AJ27" s="65">
        <f>AI27*(1+IF(AI$2&lt;=Inputs!$Q$21,Inputs!$Q$20,Inputs!$Q$22))</f>
        <v>1.7758446902974065</v>
      </c>
    </row>
    <row r="28" spans="2:36" ht="16">
      <c r="B28" s="11"/>
      <c r="C28" s="11"/>
      <c r="D28" s="11"/>
      <c r="G28" s="290"/>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row>
    <row r="29" spans="2:36" s="11" customFormat="1" ht="16">
      <c r="B29" s="11" t="s">
        <v>336</v>
      </c>
      <c r="E29" s="59" t="s">
        <v>0</v>
      </c>
      <c r="F29" s="14"/>
      <c r="G29" s="66">
        <f>-IF(G$2&gt;Inputs!$G$17,0,Inputs!$Q$24*Inputs!$G$6*1000*G$27)</f>
        <v>-30000</v>
      </c>
      <c r="H29" s="66">
        <f>-IF(H$2&gt;Inputs!$G$17,0,Inputs!$Q$24*Inputs!$G$6*1000*H$27)</f>
        <v>-30600</v>
      </c>
      <c r="I29" s="66">
        <f>-IF(I$2&gt;Inputs!$G$17,0,Inputs!$Q$24*Inputs!$G$6*1000*I$27)</f>
        <v>-31212</v>
      </c>
      <c r="J29" s="66">
        <f>-IF(J$2&gt;Inputs!$G$17,0,Inputs!$Q$24*Inputs!$G$6*1000*J$27)</f>
        <v>-31836.239999999998</v>
      </c>
      <c r="K29" s="66">
        <f>-IF(K$2&gt;Inputs!$G$17,0,Inputs!$Q$24*Inputs!$G$6*1000*K$27)</f>
        <v>-32472.964799999998</v>
      </c>
      <c r="L29" s="66">
        <f>-IF(L$2&gt;Inputs!$G$17,0,Inputs!$Q$24*Inputs!$G$6*1000*L$27)</f>
        <v>-33122.424096000002</v>
      </c>
      <c r="M29" s="66">
        <f>-IF(M$2&gt;Inputs!$G$17,0,Inputs!$Q$24*Inputs!$G$6*1000*M$27)</f>
        <v>-33784.872577920003</v>
      </c>
      <c r="N29" s="66">
        <f>-IF(N$2&gt;Inputs!$G$17,0,Inputs!$Q$24*Inputs!$G$6*1000*N$27)</f>
        <v>-34460.570029478404</v>
      </c>
      <c r="O29" s="66">
        <f>-IF(O$2&gt;Inputs!$G$17,0,Inputs!$Q$24*Inputs!$G$6*1000*O$27)</f>
        <v>-35149.781430067975</v>
      </c>
      <c r="P29" s="66">
        <f>-IF(P$2&gt;Inputs!$G$17,0,Inputs!$Q$24*Inputs!$G$6*1000*P$27)</f>
        <v>-35852.77705866933</v>
      </c>
      <c r="Q29" s="66">
        <f>-IF(Q$2&gt;Inputs!$G$17,0,Inputs!$Q$24*Inputs!$G$6*1000*Q$27)</f>
        <v>-36569.832599842717</v>
      </c>
      <c r="R29" s="66">
        <f>-IF(R$2&gt;Inputs!$G$17,0,Inputs!$Q$24*Inputs!$G$6*1000*R$27)</f>
        <v>-37301.229251839577</v>
      </c>
      <c r="S29" s="66">
        <f>-IF(S$2&gt;Inputs!$G$17,0,Inputs!$Q$24*Inputs!$G$6*1000*S$27)</f>
        <v>-38047.253836876363</v>
      </c>
      <c r="T29" s="66">
        <f>-IF(T$2&gt;Inputs!$G$17,0,Inputs!$Q$24*Inputs!$G$6*1000*T$27)</f>
        <v>-38808.198913613887</v>
      </c>
      <c r="U29" s="66">
        <f>-IF(U$2&gt;Inputs!$G$17,0,Inputs!$Q$24*Inputs!$G$6*1000*U$27)</f>
        <v>-39584.362891886172</v>
      </c>
      <c r="V29" s="66">
        <f>-IF(V$2&gt;Inputs!$G$17,0,Inputs!$Q$24*Inputs!$G$6*1000*V$27)</f>
        <v>-40376.050149723895</v>
      </c>
      <c r="W29" s="66">
        <f>-IF(W$2&gt;Inputs!$G$17,0,Inputs!$Q$24*Inputs!$G$6*1000*W$27)</f>
        <v>-41183.571152718374</v>
      </c>
      <c r="X29" s="66">
        <f>-IF(X$2&gt;Inputs!$G$17,0,Inputs!$Q$24*Inputs!$G$6*1000*X$27)</f>
        <v>-42007.242575772747</v>
      </c>
      <c r="Y29" s="66">
        <f>-IF(Y$2&gt;Inputs!$G$17,0,Inputs!$Q$24*Inputs!$G$6*1000*Y$27)</f>
        <v>-42847.387427288202</v>
      </c>
      <c r="Z29" s="66">
        <f>-IF(Z$2&gt;Inputs!$G$17,0,Inputs!$Q$24*Inputs!$G$6*1000*Z$27)</f>
        <v>-43704.335175833963</v>
      </c>
      <c r="AA29" s="66">
        <f>-IF(AA$2&gt;Inputs!$G$17,0,Inputs!$Q$24*Inputs!$G$6*1000*AA$27)</f>
        <v>-44578.421879350644</v>
      </c>
      <c r="AB29" s="66">
        <f>-IF(AB$2&gt;Inputs!$G$17,0,Inputs!$Q$24*Inputs!$G$6*1000*AB$27)</f>
        <v>-45469.990316937663</v>
      </c>
      <c r="AC29" s="66">
        <f>-IF(AC$2&gt;Inputs!$G$17,0,Inputs!$Q$24*Inputs!$G$6*1000*AC$27)</f>
        <v>-46379.390123276418</v>
      </c>
      <c r="AD29" s="66">
        <f>-IF(AD$2&gt;Inputs!$G$17,0,Inputs!$Q$24*Inputs!$G$6*1000*AD$27)</f>
        <v>-47306.977925741943</v>
      </c>
      <c r="AE29" s="66">
        <f>-IF(AE$2&gt;Inputs!$G$17,0,Inputs!$Q$24*Inputs!$G$6*1000*AE$27)</f>
        <v>-48253.117484256785</v>
      </c>
      <c r="AF29" s="66">
        <f>-IF(AF$2&gt;Inputs!$G$17,0,Inputs!$Q$24*Inputs!$G$6*1000*AF$27)</f>
        <v>0</v>
      </c>
      <c r="AG29" s="66">
        <f>-IF(AG$2&gt;Inputs!$G$17,0,Inputs!$Q$24*Inputs!$G$6*1000*AG$27)</f>
        <v>0</v>
      </c>
      <c r="AH29" s="66">
        <f>-IF(AH$2&gt;Inputs!$G$17,0,Inputs!$Q$24*Inputs!$G$6*1000*AH$27)</f>
        <v>0</v>
      </c>
      <c r="AI29" s="66">
        <f>-IF(AI$2&gt;Inputs!$G$17,0,Inputs!$Q$24*Inputs!$G$6*1000*AI$27)</f>
        <v>0</v>
      </c>
      <c r="AJ29" s="66">
        <f>-IF(AJ$2&gt;Inputs!$G$17,0,Inputs!$Q$24*Inputs!$G$6*1000*AJ$27)</f>
        <v>0</v>
      </c>
    </row>
    <row r="30" spans="2:36" s="11" customFormat="1" ht="16">
      <c r="B30" s="11" t="s">
        <v>337</v>
      </c>
      <c r="E30" s="59" t="s">
        <v>0</v>
      </c>
      <c r="F30" s="14"/>
      <c r="G30" s="66">
        <f>-IF(G$2&gt;Inputs!$G$17,0,Inputs!$Q$25/100*G$5*G$27)</f>
        <v>-1123470</v>
      </c>
      <c r="H30" s="66">
        <f>-IF(H$2&gt;Inputs!$G$17,0,Inputs!$Q$25/100*H$5*H$27)</f>
        <v>-1140209.703</v>
      </c>
      <c r="I30" s="66">
        <f>-IF(I$2&gt;Inputs!$G$17,0,Inputs!$Q$25/100*I$5*I$27)</f>
        <v>-1157198.8275746999</v>
      </c>
      <c r="J30" s="66">
        <f>-IF(J$2&gt;Inputs!$G$17,0,Inputs!$Q$25/100*J$5*J$27)</f>
        <v>-1174441.0901055629</v>
      </c>
      <c r="K30" s="66">
        <f>-IF(K$2&gt;Inputs!$G$17,0,Inputs!$Q$25/100*K$5*K$27)</f>
        <v>-1191940.2623481359</v>
      </c>
      <c r="L30" s="66">
        <f>-IF(L$2&gt;Inputs!$G$17,0,Inputs!$Q$25/100*L$5*L$27)</f>
        <v>-1209700.172257123</v>
      </c>
      <c r="M30" s="66">
        <f>-IF(M$2&gt;Inputs!$G$17,0,Inputs!$Q$25/100*M$5*M$27)</f>
        <v>-1227724.7048237543</v>
      </c>
      <c r="N30" s="66">
        <f>-IF(N$2&gt;Inputs!$G$17,0,Inputs!$Q$25/100*N$5*N$27)</f>
        <v>-1246017.8029256281</v>
      </c>
      <c r="O30" s="66">
        <f>-IF(O$2&gt;Inputs!$G$17,0,Inputs!$Q$25/100*O$5*O$27)</f>
        <v>-1264583.4681892202</v>
      </c>
      <c r="P30" s="66">
        <f>-IF(P$2&gt;Inputs!$G$17,0,Inputs!$Q$25/100*P$5*P$27)</f>
        <v>-1283425.7618652396</v>
      </c>
      <c r="Q30" s="66">
        <f>-IF(Q$2&gt;Inputs!$G$17,0,Inputs!$Q$25/100*Q$5*Q$27)</f>
        <v>-1302548.8057170317</v>
      </c>
      <c r="R30" s="66">
        <f>-IF(R$2&gt;Inputs!$G$17,0,Inputs!$Q$25/100*R$5*R$27)</f>
        <v>-1311070.377104827</v>
      </c>
      <c r="S30" s="66">
        <f>-IF(S$2&gt;Inputs!$G$17,0,Inputs!$Q$25/100*S$5*S$27)</f>
        <v>-1297173.0311075158</v>
      </c>
      <c r="T30" s="66">
        <f>-IF(T$2&gt;Inputs!$G$17,0,Inputs!$Q$25/100*T$5*T$27)</f>
        <v>-1283422.9969777758</v>
      </c>
      <c r="U30" s="66">
        <f>-IF(U$2&gt;Inputs!$G$17,0,Inputs!$Q$25/100*U$5*U$27)</f>
        <v>-1269818.7132098116</v>
      </c>
      <c r="V30" s="66">
        <f>-IF(V$2&gt;Inputs!$G$17,0,Inputs!$Q$25/100*V$5*V$27)</f>
        <v>-1256358.6348497877</v>
      </c>
      <c r="W30" s="66">
        <f>-IF(W$2&gt;Inputs!$G$17,0,Inputs!$Q$25/100*W$5*W$27)</f>
        <v>-1243041.2333203799</v>
      </c>
      <c r="X30" s="66">
        <f>-IF(X$2&gt;Inputs!$G$17,0,Inputs!$Q$25/100*X$5*X$27)</f>
        <v>-1229864.996247184</v>
      </c>
      <c r="Y30" s="66">
        <f>-IF(Y$2&gt;Inputs!$G$17,0,Inputs!$Q$25/100*Y$5*Y$27)</f>
        <v>-1216828.4272869637</v>
      </c>
      <c r="Z30" s="66">
        <f>-IF(Z$2&gt;Inputs!$G$17,0,Inputs!$Q$25/100*Z$5*Z$27)</f>
        <v>-1365130.0359115347</v>
      </c>
      <c r="AA30" s="66">
        <f>-IF(AA$2&gt;Inputs!$G$17,0,Inputs!$Q$25/100*AA$5*AA$27)</f>
        <v>-1350659.6575308724</v>
      </c>
      <c r="AB30" s="66">
        <f>-IF(AB$2&gt;Inputs!$G$17,0,Inputs!$Q$25/100*AB$5*AB$27)</f>
        <v>-1336342.6651610453</v>
      </c>
      <c r="AC30" s="66">
        <f>-IF(AC$2&gt;Inputs!$G$17,0,Inputs!$Q$25/100*AC$5*AC$27)</f>
        <v>-1322177.4329103383</v>
      </c>
      <c r="AD30" s="66">
        <f>-IF(AD$2&gt;Inputs!$G$17,0,Inputs!$Q$25/100*AD$5*AD$27)</f>
        <v>-1308162.3521214884</v>
      </c>
      <c r="AE30" s="66">
        <f>-IF(AE$2&gt;Inputs!$G$17,0,Inputs!$Q$25/100*AE$5*AE$27)</f>
        <v>-1294295.8311890007</v>
      </c>
      <c r="AF30" s="66">
        <f>-IF(AF$2&gt;Inputs!$G$17,0,Inputs!$Q$25/100*AF$5*AF$27)</f>
        <v>0</v>
      </c>
      <c r="AG30" s="66">
        <f>-IF(AG$2&gt;Inputs!$G$17,0,Inputs!$Q$25/100*AG$5*AG$27)</f>
        <v>0</v>
      </c>
      <c r="AH30" s="66">
        <f>-IF(AH$2&gt;Inputs!$G$17,0,Inputs!$Q$25/100*AH$5*AH$27)</f>
        <v>0</v>
      </c>
      <c r="AI30" s="66">
        <f>-IF(AI$2&gt;Inputs!$G$17,0,Inputs!$Q$25/100*AI$5*AI$27)</f>
        <v>0</v>
      </c>
      <c r="AJ30" s="66">
        <f>-IF(AJ$2&gt;Inputs!$G$17,0,Inputs!$Q$25/100*AJ$5*AJ$27)</f>
        <v>0</v>
      </c>
    </row>
    <row r="31" spans="2:36" s="11" customFormat="1" ht="16">
      <c r="B31" s="11" t="s">
        <v>338</v>
      </c>
      <c r="E31" s="492" t="s">
        <v>0</v>
      </c>
      <c r="F31" s="14"/>
      <c r="G31" s="66">
        <f>-IF(G$2&gt;Inputs!$G$17,0,Inputs!$Q$27*Inputs!$G$6*1000*G$27)</f>
        <v>-30000</v>
      </c>
      <c r="H31" s="66">
        <f>-IF(H$2&gt;Inputs!$G$17,0,Inputs!$Q$27*Inputs!$G$6*1000*H$27)</f>
        <v>-30600</v>
      </c>
      <c r="I31" s="66">
        <f>-IF(I$2&gt;Inputs!$G$17,0,Inputs!$Q$27*Inputs!$G$6*1000*I$27)</f>
        <v>-31212</v>
      </c>
      <c r="J31" s="66">
        <f>-IF(J$2&gt;Inputs!$G$17,0,Inputs!$Q$27*Inputs!$G$6*1000*J$27)</f>
        <v>-31836.239999999998</v>
      </c>
      <c r="K31" s="66">
        <f>-IF(K$2&gt;Inputs!$G$17,0,Inputs!$Q$27*Inputs!$G$6*1000*K$27)</f>
        <v>-32472.964799999998</v>
      </c>
      <c r="L31" s="66">
        <f>-IF(L$2&gt;Inputs!$G$17,0,Inputs!$Q$27*Inputs!$G$6*1000*L$27)</f>
        <v>-33122.424096000002</v>
      </c>
      <c r="M31" s="66">
        <f>-IF(M$2&gt;Inputs!$G$17,0,Inputs!$Q$27*Inputs!$G$6*1000*M$27)</f>
        <v>-33784.872577920003</v>
      </c>
      <c r="N31" s="66">
        <f>-IF(N$2&gt;Inputs!$G$17,0,Inputs!$Q$27*Inputs!$G$6*1000*N$27)</f>
        <v>-34460.570029478404</v>
      </c>
      <c r="O31" s="66">
        <f>-IF(O$2&gt;Inputs!$G$17,0,Inputs!$Q$27*Inputs!$G$6*1000*O$27)</f>
        <v>-35149.781430067975</v>
      </c>
      <c r="P31" s="66">
        <f>-IF(P$2&gt;Inputs!$G$17,0,Inputs!$Q$27*Inputs!$G$6*1000*P$27)</f>
        <v>-35852.77705866933</v>
      </c>
      <c r="Q31" s="66">
        <f>-IF(Q$2&gt;Inputs!$G$17,0,Inputs!$Q$27*Inputs!$G$6*1000*Q$27)</f>
        <v>-36569.832599842717</v>
      </c>
      <c r="R31" s="66">
        <f>-IF(R$2&gt;Inputs!$G$17,0,Inputs!$Q$27*Inputs!$G$6*1000*R$27)</f>
        <v>-37301.229251839577</v>
      </c>
      <c r="S31" s="66">
        <f>-IF(S$2&gt;Inputs!$G$17,0,Inputs!$Q$27*Inputs!$G$6*1000*S$27)</f>
        <v>-38047.253836876363</v>
      </c>
      <c r="T31" s="66">
        <f>-IF(T$2&gt;Inputs!$G$17,0,Inputs!$Q$27*Inputs!$G$6*1000*T$27)</f>
        <v>-38808.198913613887</v>
      </c>
      <c r="U31" s="66">
        <f>-IF(U$2&gt;Inputs!$G$17,0,Inputs!$Q$27*Inputs!$G$6*1000*U$27)</f>
        <v>-39584.362891886172</v>
      </c>
      <c r="V31" s="66">
        <f>-IF(V$2&gt;Inputs!$G$17,0,Inputs!$Q$27*Inputs!$G$6*1000*V$27)</f>
        <v>-40376.050149723895</v>
      </c>
      <c r="W31" s="66">
        <f>-IF(W$2&gt;Inputs!$G$17,0,Inputs!$Q$27*Inputs!$G$6*1000*W$27)</f>
        <v>-41183.571152718374</v>
      </c>
      <c r="X31" s="66">
        <f>-IF(X$2&gt;Inputs!$G$17,0,Inputs!$Q$27*Inputs!$G$6*1000*X$27)</f>
        <v>-42007.242575772747</v>
      </c>
      <c r="Y31" s="66">
        <f>-IF(Y$2&gt;Inputs!$G$17,0,Inputs!$Q$27*Inputs!$G$6*1000*Y$27)</f>
        <v>-42847.387427288202</v>
      </c>
      <c r="Z31" s="66">
        <f>-IF(Z$2&gt;Inputs!$G$17,0,Inputs!$Q$27*Inputs!$G$6*1000*Z$27)</f>
        <v>-43704.335175833963</v>
      </c>
      <c r="AA31" s="66">
        <f>-IF(AA$2&gt;Inputs!$G$17,0,Inputs!$Q$27*Inputs!$G$6*1000*AA$27)</f>
        <v>-44578.421879350644</v>
      </c>
      <c r="AB31" s="66">
        <f>-IF(AB$2&gt;Inputs!$G$17,0,Inputs!$Q$27*Inputs!$G$6*1000*AB$27)</f>
        <v>-45469.990316937663</v>
      </c>
      <c r="AC31" s="66">
        <f>-IF(AC$2&gt;Inputs!$G$17,0,Inputs!$Q$27*Inputs!$G$6*1000*AC$27)</f>
        <v>-46379.390123276418</v>
      </c>
      <c r="AD31" s="66">
        <f>-IF(AD$2&gt;Inputs!$G$17,0,Inputs!$Q$27*Inputs!$G$6*1000*AD$27)</f>
        <v>-47306.977925741943</v>
      </c>
      <c r="AE31" s="66">
        <f>-IF(AE$2&gt;Inputs!$G$17,0,Inputs!$Q$27*Inputs!$G$6*1000*AE$27)</f>
        <v>-48253.117484256785</v>
      </c>
      <c r="AF31" s="66">
        <f>-IF(AF$2&gt;Inputs!$G$17,0,Inputs!$Q$27*Inputs!$G$6*1000*AF$27)</f>
        <v>0</v>
      </c>
      <c r="AG31" s="66">
        <f>-IF(AG$2&gt;Inputs!$G$17,0,Inputs!$Q$27*Inputs!$G$6*1000*AG$27)</f>
        <v>0</v>
      </c>
      <c r="AH31" s="66">
        <f>-IF(AH$2&gt;Inputs!$G$17,0,Inputs!$Q$27*Inputs!$G$6*1000*AH$27)</f>
        <v>0</v>
      </c>
      <c r="AI31" s="66">
        <f>-IF(AI$2&gt;Inputs!$G$17,0,Inputs!$Q$27*Inputs!$G$6*1000*AI$27)</f>
        <v>0</v>
      </c>
      <c r="AJ31" s="66">
        <f>-IF(AJ$2&gt;Inputs!$G$17,0,Inputs!$Q$27*Inputs!$G$6*1000*AJ$27)</f>
        <v>0</v>
      </c>
    </row>
    <row r="32" spans="2:36" s="11" customFormat="1" ht="16">
      <c r="B32" s="11" t="s">
        <v>339</v>
      </c>
      <c r="E32" s="492" t="s">
        <v>0</v>
      </c>
      <c r="G32" s="66">
        <f>-IF(G$2&gt;Inputs!$G$17,0,Inputs!$Q$28/100*G$5*G$27)</f>
        <v>-2246940</v>
      </c>
      <c r="H32" s="66">
        <f>-IF(H$2&gt;Inputs!$G$17,0,Inputs!$Q$28/100*H$5*H$27)</f>
        <v>-2280419.406</v>
      </c>
      <c r="I32" s="66">
        <f>-IF(I$2&gt;Inputs!$G$17,0,Inputs!$Q$28/100*I$5*I$27)</f>
        <v>-2314397.6551493998</v>
      </c>
      <c r="J32" s="66">
        <f>-IF(J$2&gt;Inputs!$G$17,0,Inputs!$Q$28/100*J$5*J$27)</f>
        <v>-2348882.1802111259</v>
      </c>
      <c r="K32" s="66">
        <f>-IF(K$2&gt;Inputs!$G$17,0,Inputs!$Q$28/100*K$5*K$27)</f>
        <v>-2383880.5246962719</v>
      </c>
      <c r="L32" s="66">
        <f>-IF(L$2&gt;Inputs!$G$17,0,Inputs!$Q$28/100*L$5*L$27)</f>
        <v>-2419400.3445142461</v>
      </c>
      <c r="M32" s="66">
        <f>-IF(M$2&gt;Inputs!$G$17,0,Inputs!$Q$28/100*M$5*M$27)</f>
        <v>-2455449.4096475085</v>
      </c>
      <c r="N32" s="66">
        <f>-IF(N$2&gt;Inputs!$G$17,0,Inputs!$Q$28/100*N$5*N$27)</f>
        <v>-2492035.6058512563</v>
      </c>
      <c r="O32" s="66">
        <f>-IF(O$2&gt;Inputs!$G$17,0,Inputs!$Q$28/100*O$5*O$27)</f>
        <v>-2529166.9363784404</v>
      </c>
      <c r="P32" s="66">
        <f>-IF(P$2&gt;Inputs!$G$17,0,Inputs!$Q$28/100*P$5*P$27)</f>
        <v>-2566851.5237304792</v>
      </c>
      <c r="Q32" s="66">
        <f>-IF(Q$2&gt;Inputs!$G$17,0,Inputs!$Q$28/100*Q$5*Q$27)</f>
        <v>-2605097.6114340634</v>
      </c>
      <c r="R32" s="66">
        <f>-IF(R$2&gt;Inputs!$G$17,0,Inputs!$Q$28/100*R$5*R$27)</f>
        <v>-2622140.7542096539</v>
      </c>
      <c r="S32" s="66">
        <f>-IF(S$2&gt;Inputs!$G$17,0,Inputs!$Q$28/100*S$5*S$27)</f>
        <v>-2594346.0622150316</v>
      </c>
      <c r="T32" s="66">
        <f>-IF(T$2&gt;Inputs!$G$17,0,Inputs!$Q$28/100*T$5*T$27)</f>
        <v>-2566845.9939555516</v>
      </c>
      <c r="U32" s="66">
        <f>-IF(U$2&gt;Inputs!$G$17,0,Inputs!$Q$28/100*U$5*U$27)</f>
        <v>-2539637.4264196232</v>
      </c>
      <c r="V32" s="66">
        <f>-IF(V$2&gt;Inputs!$G$17,0,Inputs!$Q$28/100*V$5*V$27)</f>
        <v>-2512717.2696995754</v>
      </c>
      <c r="W32" s="66">
        <f>-IF(W$2&gt;Inputs!$G$17,0,Inputs!$Q$28/100*W$5*W$27)</f>
        <v>-2486082.4666407597</v>
      </c>
      <c r="X32" s="66">
        <f>-IF(X$2&gt;Inputs!$G$17,0,Inputs!$Q$28/100*X$5*X$27)</f>
        <v>-2459729.992494368</v>
      </c>
      <c r="Y32" s="66">
        <f>-IF(Y$2&gt;Inputs!$G$17,0,Inputs!$Q$28/100*Y$5*Y$27)</f>
        <v>-2433656.8545739274</v>
      </c>
      <c r="Z32" s="66">
        <f>-IF(Z$2&gt;Inputs!$G$17,0,Inputs!$Q$28/100*Z$5*Z$27)</f>
        <v>-2730260.0718230694</v>
      </c>
      <c r="AA32" s="66">
        <f>-IF(AA$2&gt;Inputs!$G$17,0,Inputs!$Q$28/100*AA$5*AA$27)</f>
        <v>-2701319.3150617448</v>
      </c>
      <c r="AB32" s="66">
        <f>-IF(AB$2&gt;Inputs!$G$17,0,Inputs!$Q$28/100*AB$5*AB$27)</f>
        <v>-2672685.3303220905</v>
      </c>
      <c r="AC32" s="66">
        <f>-IF(AC$2&gt;Inputs!$G$17,0,Inputs!$Q$28/100*AC$5*AC$27)</f>
        <v>-2644354.8658206766</v>
      </c>
      <c r="AD32" s="66">
        <f>-IF(AD$2&gt;Inputs!$G$17,0,Inputs!$Q$28/100*AD$5*AD$27)</f>
        <v>-2616324.7042429768</v>
      </c>
      <c r="AE32" s="66">
        <f>-IF(AE$2&gt;Inputs!$G$17,0,Inputs!$Q$28/100*AE$5*AE$27)</f>
        <v>-2588591.6623780015</v>
      </c>
      <c r="AF32" s="66">
        <f>-IF(AF$2&gt;Inputs!$G$17,0,Inputs!$Q$28/100*AF$5*AF$27)</f>
        <v>0</v>
      </c>
      <c r="AG32" s="66">
        <f>-IF(AG$2&gt;Inputs!$G$17,0,Inputs!$Q$28/100*AG$5*AG$27)</f>
        <v>0</v>
      </c>
      <c r="AH32" s="66">
        <f>-IF(AH$2&gt;Inputs!$G$17,0,Inputs!$Q$28/100*AH$5*AH$27)</f>
        <v>0</v>
      </c>
      <c r="AI32" s="66">
        <f>-IF(AI$2&gt;Inputs!$G$17,0,Inputs!$Q$28/100*AI$5*AI$27)</f>
        <v>0</v>
      </c>
      <c r="AJ32" s="66">
        <f>-IF(AJ$2&gt;Inputs!$G$17,0,Inputs!$Q$28/100*AJ$5*AJ$27)</f>
        <v>0</v>
      </c>
    </row>
    <row r="33" spans="2:36" s="11" customFormat="1" ht="16">
      <c r="B33" s="11" t="s">
        <v>64</v>
      </c>
      <c r="E33" s="59" t="s">
        <v>0</v>
      </c>
      <c r="G33" s="66">
        <f>-IF(Inputs!$Q$17="simple",0,IF(G$2&gt;Inputs!$G$17,0,Inputs!$Q$31*G$27))</f>
        <v>-516248.97381250001</v>
      </c>
      <c r="H33" s="66">
        <f>-IF(Inputs!$Q$17="simple",0,IF(H$2&gt;Inputs!$G$17,0,Inputs!$Q$31*H$27))</f>
        <v>-526573.95328875002</v>
      </c>
      <c r="I33" s="66">
        <f>-IF(Inputs!$Q$17="simple",0,IF(I$2&gt;Inputs!$G$17,0,Inputs!$Q$31*I$27))</f>
        <v>-537105.43235452496</v>
      </c>
      <c r="J33" s="66">
        <f>-IF(Inputs!$Q$17="simple",0,IF(J$2&gt;Inputs!$G$17,0,Inputs!$Q$31*J$27))</f>
        <v>-547847.54100161546</v>
      </c>
      <c r="K33" s="66">
        <f>-IF(Inputs!$Q$17="simple",0,IF(K$2&gt;Inputs!$G$17,0,Inputs!$Q$31*K$27))</f>
        <v>-558804.49182164785</v>
      </c>
      <c r="L33" s="66">
        <f>-IF(Inputs!$Q$17="simple",0,IF(L$2&gt;Inputs!$G$17,0,Inputs!$Q$31*L$27))</f>
        <v>-569980.5816580808</v>
      </c>
      <c r="M33" s="66">
        <f>-IF(Inputs!$Q$17="simple",0,IF(M$2&gt;Inputs!$G$17,0,Inputs!$Q$31*M$27))</f>
        <v>-581380.19329124247</v>
      </c>
      <c r="N33" s="66">
        <f>-IF(Inputs!$Q$17="simple",0,IF(N$2&gt;Inputs!$G$17,0,Inputs!$Q$31*N$27))</f>
        <v>-593007.79715706722</v>
      </c>
      <c r="O33" s="66">
        <f>-IF(Inputs!$Q$17="simple",0,IF(O$2&gt;Inputs!$G$17,0,Inputs!$Q$31*O$27))</f>
        <v>-604867.95310020866</v>
      </c>
      <c r="P33" s="66">
        <f>-IF(Inputs!$Q$17="simple",0,IF(P$2&gt;Inputs!$G$17,0,Inputs!$Q$31*P$27))</f>
        <v>-616965.31216221279</v>
      </c>
      <c r="Q33" s="66">
        <f>-IF(Inputs!$Q$17="simple",0,IF(Q$2&gt;Inputs!$G$17,0,Inputs!$Q$31*Q$27))</f>
        <v>-629304.61840545712</v>
      </c>
      <c r="R33" s="66">
        <f>-IF(Inputs!$Q$17="simple",0,IF(R$2&gt;Inputs!$G$17,0,Inputs!$Q$31*R$27))</f>
        <v>-641890.71077356627</v>
      </c>
      <c r="S33" s="66">
        <f>-IF(Inputs!$Q$17="simple",0,IF(S$2&gt;Inputs!$G$17,0,Inputs!$Q$31*S$27))</f>
        <v>-654728.52498903754</v>
      </c>
      <c r="T33" s="66">
        <f>-IF(Inputs!$Q$17="simple",0,IF(T$2&gt;Inputs!$G$17,0,Inputs!$Q$31*T$27))</f>
        <v>-667823.09548881825</v>
      </c>
      <c r="U33" s="66">
        <f>-IF(Inputs!$Q$17="simple",0,IF(U$2&gt;Inputs!$G$17,0,Inputs!$Q$31*U$27))</f>
        <v>-681179.55739859468</v>
      </c>
      <c r="V33" s="66">
        <f>-IF(Inputs!$Q$17="simple",0,IF(V$2&gt;Inputs!$G$17,0,Inputs!$Q$31*V$27))</f>
        <v>-694803.1485465666</v>
      </c>
      <c r="W33" s="66">
        <f>-IF(Inputs!$Q$17="simple",0,IF(W$2&gt;Inputs!$G$17,0,Inputs!$Q$31*W$27))</f>
        <v>-708699.21151749801</v>
      </c>
      <c r="X33" s="66">
        <f>-IF(Inputs!$Q$17="simple",0,IF(X$2&gt;Inputs!$G$17,0,Inputs!$Q$31*X$27))</f>
        <v>-722873.19574784802</v>
      </c>
      <c r="Y33" s="66">
        <f>-IF(Inputs!$Q$17="simple",0,IF(Y$2&gt;Inputs!$G$17,0,Inputs!$Q$31*Y$27))</f>
        <v>-737330.65966280492</v>
      </c>
      <c r="Z33" s="66">
        <f>-IF(Inputs!$Q$17="simple",0,IF(Z$2&gt;Inputs!$G$17,0,Inputs!$Q$31*Z$27))</f>
        <v>-752077.272856061</v>
      </c>
      <c r="AA33" s="66">
        <f>-IF(Inputs!$Q$17="simple",0,IF(AA$2&gt;Inputs!$G$17,0,Inputs!$Q$31*AA$27))</f>
        <v>-767118.81831318233</v>
      </c>
      <c r="AB33" s="66">
        <f>-IF(Inputs!$Q$17="simple",0,IF(AB$2&gt;Inputs!$G$17,0,Inputs!$Q$31*AB$27))</f>
        <v>-782461.19467944605</v>
      </c>
      <c r="AC33" s="66">
        <f>-IF(Inputs!$Q$17="simple",0,IF(AC$2&gt;Inputs!$G$17,0,Inputs!$Q$31*AC$27))</f>
        <v>-798110.41857303493</v>
      </c>
      <c r="AD33" s="66">
        <f>-IF(Inputs!$Q$17="simple",0,IF(AD$2&gt;Inputs!$G$17,0,Inputs!$Q$31*AD$27))</f>
        <v>-814072.6269444956</v>
      </c>
      <c r="AE33" s="66">
        <f>-IF(Inputs!$Q$17="simple",0,IF(AE$2&gt;Inputs!$G$17,0,Inputs!$Q$31*AE$27))</f>
        <v>-830354.07948338555</v>
      </c>
      <c r="AF33" s="66">
        <f>-IF(Inputs!$Q$17="simple",0,IF(AF$2&gt;Inputs!$G$17,0,Inputs!$Q$31*AF$27))</f>
        <v>0</v>
      </c>
      <c r="AG33" s="66">
        <f>-IF(Inputs!$Q$17="simple",0,IF(AG$2&gt;Inputs!$G$17,0,Inputs!$Q$31*AG$27))</f>
        <v>0</v>
      </c>
      <c r="AH33" s="66">
        <f>-IF(Inputs!$Q$17="simple",0,IF(AH$2&gt;Inputs!$G$17,0,Inputs!$Q$31*AH$27))</f>
        <v>0</v>
      </c>
      <c r="AI33" s="66">
        <f>-IF(Inputs!$Q$17="simple",0,IF(AI$2&gt;Inputs!$G$17,0,Inputs!$Q$31*AI$27))</f>
        <v>0</v>
      </c>
      <c r="AJ33" s="66">
        <f>-IF(Inputs!$Q$17="simple",0,IF(AJ$2&gt;Inputs!$G$17,0,Inputs!$Q$31*AJ$27))</f>
        <v>0</v>
      </c>
    </row>
    <row r="34" spans="2:36" s="11" customFormat="1" ht="16">
      <c r="B34" s="11" t="s">
        <v>63</v>
      </c>
      <c r="E34" s="59" t="s">
        <v>0</v>
      </c>
      <c r="G34" s="66">
        <f>-IF(Inputs!$Q$17="simple",0,IF(G$2&gt;Inputs!$G$17,0,Inputs!$Q$32*G$27))</f>
        <v>-50000</v>
      </c>
      <c r="H34" s="66">
        <f>-IF(Inputs!$Q$17="simple",0,IF(H$2&gt;Inputs!$G$17,0,Inputs!$Q$32*H$27))</f>
        <v>-51000</v>
      </c>
      <c r="I34" s="66">
        <f>-IF(Inputs!$Q$17="simple",0,IF(I$2&gt;Inputs!$G$17,0,Inputs!$Q$32*I$27))</f>
        <v>-52020</v>
      </c>
      <c r="J34" s="66">
        <f>-IF(Inputs!$Q$17="simple",0,IF(J$2&gt;Inputs!$G$17,0,Inputs!$Q$32*J$27))</f>
        <v>-53060.399999999994</v>
      </c>
      <c r="K34" s="66">
        <f>-IF(Inputs!$Q$17="simple",0,IF(K$2&gt;Inputs!$G$17,0,Inputs!$Q$32*K$27))</f>
        <v>-54121.608</v>
      </c>
      <c r="L34" s="66">
        <f>-IF(Inputs!$Q$17="simple",0,IF(L$2&gt;Inputs!$G$17,0,Inputs!$Q$32*L$27))</f>
        <v>-55204.040160000004</v>
      </c>
      <c r="M34" s="66">
        <f>-IF(Inputs!$Q$17="simple",0,IF(M$2&gt;Inputs!$G$17,0,Inputs!$Q$32*M$27))</f>
        <v>-56308.120963200003</v>
      </c>
      <c r="N34" s="66">
        <f>-IF(Inputs!$Q$17="simple",0,IF(N$2&gt;Inputs!$G$17,0,Inputs!$Q$32*N$27))</f>
        <v>-57434.283382464004</v>
      </c>
      <c r="O34" s="66">
        <f>-IF(Inputs!$Q$17="simple",0,IF(O$2&gt;Inputs!$G$17,0,Inputs!$Q$32*O$27))</f>
        <v>-58582.969050113286</v>
      </c>
      <c r="P34" s="66">
        <f>-IF(Inputs!$Q$17="simple",0,IF(P$2&gt;Inputs!$G$17,0,Inputs!$Q$32*P$27))</f>
        <v>-59754.628431115554</v>
      </c>
      <c r="Q34" s="66">
        <f>-IF(Inputs!$Q$17="simple",0,IF(Q$2&gt;Inputs!$G$17,0,Inputs!$Q$32*Q$27))</f>
        <v>-60949.720999737867</v>
      </c>
      <c r="R34" s="66">
        <f>-IF(Inputs!$Q$17="simple",0,IF(R$2&gt;Inputs!$G$17,0,Inputs!$Q$32*R$27))</f>
        <v>-62168.715419732624</v>
      </c>
      <c r="S34" s="66">
        <f>-IF(Inputs!$Q$17="simple",0,IF(S$2&gt;Inputs!$G$17,0,Inputs!$Q$32*S$27))</f>
        <v>-63412.089728127277</v>
      </c>
      <c r="T34" s="66">
        <f>-IF(Inputs!$Q$17="simple",0,IF(T$2&gt;Inputs!$G$17,0,Inputs!$Q$32*T$27))</f>
        <v>-64680.331522689812</v>
      </c>
      <c r="U34" s="66">
        <f>-IF(Inputs!$Q$17="simple",0,IF(U$2&gt;Inputs!$G$17,0,Inputs!$Q$32*U$27))</f>
        <v>-65973.938153143623</v>
      </c>
      <c r="V34" s="66">
        <f>-IF(Inputs!$Q$17="simple",0,IF(V$2&gt;Inputs!$G$17,0,Inputs!$Q$32*V$27))</f>
        <v>-67293.416916206494</v>
      </c>
      <c r="W34" s="66">
        <f>-IF(Inputs!$Q$17="simple",0,IF(W$2&gt;Inputs!$G$17,0,Inputs!$Q$32*W$27))</f>
        <v>-68639.285254530623</v>
      </c>
      <c r="X34" s="66">
        <f>-IF(Inputs!$Q$17="simple",0,IF(X$2&gt;Inputs!$G$17,0,Inputs!$Q$32*X$27))</f>
        <v>-70012.07095962124</v>
      </c>
      <c r="Y34" s="66">
        <f>-IF(Inputs!$Q$17="simple",0,IF(Y$2&gt;Inputs!$G$17,0,Inputs!$Q$32*Y$27))</f>
        <v>-71412.312378813673</v>
      </c>
      <c r="Z34" s="66">
        <f>-IF(Inputs!$Q$17="simple",0,IF(Z$2&gt;Inputs!$G$17,0,Inputs!$Q$32*Z$27))</f>
        <v>-72840.558626389946</v>
      </c>
      <c r="AA34" s="66">
        <f>-IF(Inputs!$Q$17="simple",0,IF(AA$2&gt;Inputs!$G$17,0,Inputs!$Q$32*AA$27))</f>
        <v>-74297.369798917745</v>
      </c>
      <c r="AB34" s="66">
        <f>-IF(Inputs!$Q$17="simple",0,IF(AB$2&gt;Inputs!$G$17,0,Inputs!$Q$32*AB$27))</f>
        <v>-75783.31719489611</v>
      </c>
      <c r="AC34" s="66">
        <f>-IF(Inputs!$Q$17="simple",0,IF(AC$2&gt;Inputs!$G$17,0,Inputs!$Q$32*AC$27))</f>
        <v>-77298.983538794026</v>
      </c>
      <c r="AD34" s="66">
        <f>-IF(Inputs!$Q$17="simple",0,IF(AD$2&gt;Inputs!$G$17,0,Inputs!$Q$32*AD$27))</f>
        <v>-78844.963209569905</v>
      </c>
      <c r="AE34" s="66">
        <f>-IF(Inputs!$Q$17="simple",0,IF(AE$2&gt;Inputs!$G$17,0,Inputs!$Q$32*AE$27))</f>
        <v>-80421.862473761314</v>
      </c>
      <c r="AF34" s="66">
        <f>-IF(Inputs!$Q$17="simple",0,IF(AF$2&gt;Inputs!$G$17,0,Inputs!$Q$32*AF$27))</f>
        <v>0</v>
      </c>
      <c r="AG34" s="66">
        <f>-IF(Inputs!$Q$17="simple",0,IF(AG$2&gt;Inputs!$G$17,0,Inputs!$Q$32*AG$27))</f>
        <v>0</v>
      </c>
      <c r="AH34" s="66">
        <f>-IF(Inputs!$Q$17="simple",0,IF(AH$2&gt;Inputs!$G$17,0,Inputs!$Q$32*AH$27))</f>
        <v>0</v>
      </c>
      <c r="AI34" s="66">
        <f>-IF(Inputs!$Q$17="simple",0,IF(AI$2&gt;Inputs!$G$17,0,Inputs!$Q$32*AI$27))</f>
        <v>0</v>
      </c>
      <c r="AJ34" s="66">
        <f>-IF(Inputs!$Q$17="simple",0,IF(AJ$2&gt;Inputs!$G$17,0,Inputs!$Q$32*AJ$27))</f>
        <v>0</v>
      </c>
    </row>
    <row r="35" spans="2:36" s="11" customFormat="1" ht="16">
      <c r="B35" s="11" t="s">
        <v>348</v>
      </c>
      <c r="E35" s="492" t="s">
        <v>0</v>
      </c>
      <c r="G35" s="66">
        <f>-IF(Inputs!$Q$17="simple",0,IF(G$2&gt;Inputs!$G$17,0,Inputs!$Q$35*G$27))</f>
        <v>-5000</v>
      </c>
      <c r="H35" s="66">
        <f>-IF(Inputs!$Q$17="simple",0,IF(H$2&gt;Inputs!$G$17,0,Inputs!$Q$35*H$27))</f>
        <v>-5100</v>
      </c>
      <c r="I35" s="66">
        <f>-IF(Inputs!$Q$17="simple",0,IF(I$2&gt;Inputs!$G$17,0,Inputs!$Q$35*I$27))</f>
        <v>-5202</v>
      </c>
      <c r="J35" s="66">
        <f>-IF(Inputs!$Q$17="simple",0,IF(J$2&gt;Inputs!$G$17,0,Inputs!$Q$35*J$27))</f>
        <v>-5306.04</v>
      </c>
      <c r="K35" s="66">
        <f>-IF(Inputs!$Q$17="simple",0,IF(K$2&gt;Inputs!$G$17,0,Inputs!$Q$35*K$27))</f>
        <v>-5412.1607999999997</v>
      </c>
      <c r="L35" s="66">
        <f>-IF(Inputs!$Q$17="simple",0,IF(L$2&gt;Inputs!$G$17,0,Inputs!$Q$35*L$27))</f>
        <v>-5520.4040160000004</v>
      </c>
      <c r="M35" s="66">
        <f>-IF(Inputs!$Q$17="simple",0,IF(M$2&gt;Inputs!$G$17,0,Inputs!$Q$35*M$27))</f>
        <v>-5630.8120963199999</v>
      </c>
      <c r="N35" s="66">
        <f>-IF(Inputs!$Q$17="simple",0,IF(N$2&gt;Inputs!$G$17,0,Inputs!$Q$35*N$27))</f>
        <v>-5743.4283382464</v>
      </c>
      <c r="O35" s="66">
        <f>-IF(Inputs!$Q$17="simple",0,IF(O$2&gt;Inputs!$G$17,0,Inputs!$Q$35*O$27))</f>
        <v>-5858.2969050113288</v>
      </c>
      <c r="P35" s="66">
        <f>-IF(Inputs!$Q$17="simple",0,IF(P$2&gt;Inputs!$G$17,0,Inputs!$Q$35*P$27))</f>
        <v>-5975.4628431115552</v>
      </c>
      <c r="Q35" s="66">
        <f>-IF(Inputs!$Q$17="simple",0,IF(Q$2&gt;Inputs!$G$17,0,Inputs!$Q$35*Q$27))</f>
        <v>-6094.9720999737865</v>
      </c>
      <c r="R35" s="66">
        <f>-IF(Inputs!$Q$17="simple",0,IF(R$2&gt;Inputs!$G$17,0,Inputs!$Q$35*R$27))</f>
        <v>-6216.8715419732625</v>
      </c>
      <c r="S35" s="66">
        <f>-IF(Inputs!$Q$17="simple",0,IF(S$2&gt;Inputs!$G$17,0,Inputs!$Q$35*S$27))</f>
        <v>-6341.2089728127276</v>
      </c>
      <c r="T35" s="66">
        <f>-IF(Inputs!$Q$17="simple",0,IF(T$2&gt;Inputs!$G$17,0,Inputs!$Q$35*T$27))</f>
        <v>-6468.0331522689812</v>
      </c>
      <c r="U35" s="66">
        <f>-IF(Inputs!$Q$17="simple",0,IF(U$2&gt;Inputs!$G$17,0,Inputs!$Q$35*U$27))</f>
        <v>-6597.3938153143617</v>
      </c>
      <c r="V35" s="66">
        <f>-IF(Inputs!$Q$17="simple",0,IF(V$2&gt;Inputs!$G$17,0,Inputs!$Q$35*V$27))</f>
        <v>-6729.3416916206497</v>
      </c>
      <c r="W35" s="66">
        <f>-IF(Inputs!$Q$17="simple",0,IF(W$2&gt;Inputs!$G$17,0,Inputs!$Q$35*W$27))</f>
        <v>-6863.9285254530623</v>
      </c>
      <c r="X35" s="66">
        <f>-IF(Inputs!$Q$17="simple",0,IF(X$2&gt;Inputs!$G$17,0,Inputs!$Q$35*X$27))</f>
        <v>-7001.2070959621242</v>
      </c>
      <c r="Y35" s="66">
        <f>-IF(Inputs!$Q$17="simple",0,IF(Y$2&gt;Inputs!$G$17,0,Inputs!$Q$35*Y$27))</f>
        <v>-7141.2312378813667</v>
      </c>
      <c r="Z35" s="66">
        <f>-IF(Inputs!$Q$17="simple",0,IF(Z$2&gt;Inputs!$G$17,0,Inputs!$Q$35*Z$27))</f>
        <v>-7284.0558626389939</v>
      </c>
      <c r="AA35" s="66">
        <f>-IF(Inputs!$Q$17="simple",0,IF(AA$2&gt;Inputs!$G$17,0,Inputs!$Q$35*AA$27))</f>
        <v>-7429.7369798917744</v>
      </c>
      <c r="AB35" s="66">
        <f>-IF(Inputs!$Q$17="simple",0,IF(AB$2&gt;Inputs!$G$17,0,Inputs!$Q$35*AB$27))</f>
        <v>-7578.3317194896108</v>
      </c>
      <c r="AC35" s="66">
        <f>-IF(Inputs!$Q$17="simple",0,IF(AC$2&gt;Inputs!$G$17,0,Inputs!$Q$35*AC$27))</f>
        <v>-7729.8983538794027</v>
      </c>
      <c r="AD35" s="66">
        <f>-IF(Inputs!$Q$17="simple",0,IF(AD$2&gt;Inputs!$G$17,0,Inputs!$Q$35*AD$27))</f>
        <v>-7884.4963209569905</v>
      </c>
      <c r="AE35" s="66">
        <f>-IF(Inputs!$Q$17="simple",0,IF(AE$2&gt;Inputs!$G$17,0,Inputs!$Q$35*AE$27))</f>
        <v>-8042.1862473761312</v>
      </c>
      <c r="AF35" s="66">
        <f>-IF(Inputs!$Q$17="simple",0,IF(AF$2&gt;Inputs!$G$17,0,Inputs!$Q$35*AF$27))</f>
        <v>0</v>
      </c>
      <c r="AG35" s="66">
        <f>-IF(Inputs!$Q$17="simple",0,IF(AG$2&gt;Inputs!$G$17,0,Inputs!$Q$35*AG$27))</f>
        <v>0</v>
      </c>
      <c r="AH35" s="66">
        <f>-IF(Inputs!$Q$17="simple",0,IF(AH$2&gt;Inputs!$G$17,0,Inputs!$Q$35*AH$27))</f>
        <v>0</v>
      </c>
      <c r="AI35" s="66">
        <f>-IF(Inputs!$Q$17="simple",0,IF(AI$2&gt;Inputs!$G$17,0,Inputs!$Q$35*AI$27))</f>
        <v>0</v>
      </c>
      <c r="AJ35" s="66">
        <f>-IF(Inputs!$Q$17="simple",0,IF(AJ$2&gt;Inputs!$G$17,0,Inputs!$Q$35*AJ$27))</f>
        <v>0</v>
      </c>
    </row>
    <row r="36" spans="2:36" s="11" customFormat="1" ht="16">
      <c r="B36" s="11" t="s">
        <v>102</v>
      </c>
      <c r="E36" s="59" t="s">
        <v>0</v>
      </c>
      <c r="G36" s="66">
        <f>IF(Inputs!$Q$17="simple",0,IF(G$2&gt;Inputs!$G$17,0,-Inputs!$Q$33))</f>
        <v>-75000</v>
      </c>
      <c r="H36" s="66">
        <f>IF(Inputs!$Q$17="simple",0,IF(H$2&gt;Inputs!$G$17,0,-Inputs!$Q$33))</f>
        <v>-75000</v>
      </c>
      <c r="I36" s="66">
        <f>IF(Inputs!$Q$17="simple",0,IF(I$2&gt;Inputs!$G$17,0,-Inputs!$Q$33))</f>
        <v>-75000</v>
      </c>
      <c r="J36" s="66">
        <f>IF(Inputs!$Q$17="simple",0,IF(J$2&gt;Inputs!$G$17,0,-Inputs!$Q$33))</f>
        <v>-75000</v>
      </c>
      <c r="K36" s="66">
        <f>IF(Inputs!$Q$17="simple",0,IF(K$2&gt;Inputs!$G$17,0,-Inputs!$Q$33))</f>
        <v>-75000</v>
      </c>
      <c r="L36" s="66">
        <f>IF(Inputs!$Q$17="simple",0,IF(L$2&gt;Inputs!$G$17,0,-Inputs!$Q$33))</f>
        <v>-75000</v>
      </c>
      <c r="M36" s="66">
        <f>IF(Inputs!$Q$17="simple",0,IF(M$2&gt;Inputs!$G$17,0,-Inputs!$Q$33))</f>
        <v>-75000</v>
      </c>
      <c r="N36" s="66">
        <f>IF(Inputs!$Q$17="simple",0,IF(N$2&gt;Inputs!$G$17,0,-Inputs!$Q$33))</f>
        <v>-75000</v>
      </c>
      <c r="O36" s="66">
        <f>IF(Inputs!$Q$17="simple",0,IF(O$2&gt;Inputs!$G$17,0,-Inputs!$Q$33))</f>
        <v>-75000</v>
      </c>
      <c r="P36" s="66">
        <f>IF(Inputs!$Q$17="simple",0,IF(P$2&gt;Inputs!$G$17,0,-Inputs!$Q$33))</f>
        <v>-75000</v>
      </c>
      <c r="Q36" s="66">
        <f>IF(Inputs!$Q$17="simple",0,IF(Q$2&gt;Inputs!$G$17,0,-Inputs!$Q$33))</f>
        <v>-75000</v>
      </c>
      <c r="R36" s="66">
        <f>IF(Inputs!$Q$17="simple",0,IF(R$2&gt;Inputs!$G$17,0,-Inputs!$Q$33))</f>
        <v>-75000</v>
      </c>
      <c r="S36" s="66">
        <f>IF(Inputs!$Q$17="simple",0,IF(S$2&gt;Inputs!$G$17,0,-Inputs!$Q$33))</f>
        <v>-75000</v>
      </c>
      <c r="T36" s="66">
        <f>IF(Inputs!$Q$17="simple",0,IF(T$2&gt;Inputs!$G$17,0,-Inputs!$Q$33))</f>
        <v>-75000</v>
      </c>
      <c r="U36" s="66">
        <f>IF(Inputs!$Q$17="simple",0,IF(U$2&gt;Inputs!$G$17,0,-Inputs!$Q$33))</f>
        <v>-75000</v>
      </c>
      <c r="V36" s="66">
        <f>IF(Inputs!$Q$17="simple",0,IF(V$2&gt;Inputs!$G$17,0,-Inputs!$Q$33))</f>
        <v>-75000</v>
      </c>
      <c r="W36" s="66">
        <f>IF(Inputs!$Q$17="simple",0,IF(W$2&gt;Inputs!$G$17,0,-Inputs!$Q$33))</f>
        <v>-75000</v>
      </c>
      <c r="X36" s="66">
        <f>IF(Inputs!$Q$17="simple",0,IF(X$2&gt;Inputs!$G$17,0,-Inputs!$Q$33))</f>
        <v>-75000</v>
      </c>
      <c r="Y36" s="66">
        <f>IF(Inputs!$Q$17="simple",0,IF(Y$2&gt;Inputs!$G$17,0,-Inputs!$Q$33))</f>
        <v>-75000</v>
      </c>
      <c r="Z36" s="66">
        <f>IF(Inputs!$Q$17="simple",0,IF(Z$2&gt;Inputs!$G$17,0,-Inputs!$Q$33))</f>
        <v>-75000</v>
      </c>
      <c r="AA36" s="66">
        <f>IF(Inputs!$Q$17="simple",0,IF(AA$2&gt;Inputs!$G$17,0,-Inputs!$Q$33))</f>
        <v>-75000</v>
      </c>
      <c r="AB36" s="66">
        <f>IF(Inputs!$Q$17="simple",0,IF(AB$2&gt;Inputs!$G$17,0,-Inputs!$Q$33))</f>
        <v>-75000</v>
      </c>
      <c r="AC36" s="66">
        <f>IF(Inputs!$Q$17="simple",0,IF(AC$2&gt;Inputs!$G$17,0,-Inputs!$Q$33))</f>
        <v>-75000</v>
      </c>
      <c r="AD36" s="66">
        <f>IF(Inputs!$Q$17="simple",0,IF(AD$2&gt;Inputs!$G$17,0,-Inputs!$Q$33))</f>
        <v>-75000</v>
      </c>
      <c r="AE36" s="66">
        <f>IF(Inputs!$Q$17="simple",0,IF(AE$2&gt;Inputs!$G$17,0,-Inputs!$Q$33))</f>
        <v>-75000</v>
      </c>
      <c r="AF36" s="66">
        <f>IF(Inputs!$Q$17="simple",0,IF(AF$2&gt;Inputs!$G$17,0,-Inputs!$Q$33))</f>
        <v>0</v>
      </c>
      <c r="AG36" s="66">
        <f>IF(Inputs!$Q$17="simple",0,IF(AG$2&gt;Inputs!$G$17,0,-Inputs!$Q$33))</f>
        <v>0</v>
      </c>
      <c r="AH36" s="66">
        <f>IF(Inputs!$Q$17="simple",0,IF(AH$2&gt;Inputs!$G$17,0,-Inputs!$Q$33))</f>
        <v>0</v>
      </c>
      <c r="AI36" s="66">
        <f>IF(Inputs!$Q$17="simple",0,IF(AI$2&gt;Inputs!$G$17,0,-Inputs!$Q$33))</f>
        <v>0</v>
      </c>
      <c r="AJ36" s="66">
        <f>IF(Inputs!$Q$17="simple",0,IF(AJ$2&gt;Inputs!$G$17,0,-Inputs!$Q$33))</f>
        <v>0</v>
      </c>
    </row>
    <row r="37" spans="2:36" s="11" customFormat="1" ht="16">
      <c r="B37" s="22" t="s">
        <v>103</v>
      </c>
      <c r="C37" s="22"/>
      <c r="D37" s="22"/>
      <c r="E37" s="62" t="s">
        <v>0</v>
      </c>
      <c r="F37" s="22"/>
      <c r="G37" s="36">
        <f>-IF(Inputs!$Q$17="simple",0,IF(G$2&gt;Inputs!$G$17,0,Inputs!$Q$36*(G$15+G$17+G$19+G$21)))</f>
        <v>-625211.05500000028</v>
      </c>
      <c r="H37" s="36">
        <f>-IF(Inputs!$Q$17="simple",0,IF(H$2&gt;Inputs!$G$17,0,Inputs!$Q$36*(H$15+H$17+H$19+H$21)))</f>
        <v>-622084.99972500023</v>
      </c>
      <c r="I37" s="36">
        <f>-IF(Inputs!$Q$17="simple",0,IF(I$2&gt;Inputs!$G$17,0,Inputs!$Q$36*(I$15+I$17+I$19+I$21)))</f>
        <v>-618974.57472637517</v>
      </c>
      <c r="J37" s="36">
        <f>-IF(Inputs!$Q$17="simple",0,IF(J$2&gt;Inputs!$G$17,0,Inputs!$Q$36*(J$15+J$17+J$19+J$21)))</f>
        <v>-615879.70185274328</v>
      </c>
      <c r="K37" s="36">
        <f>-IF(Inputs!$Q$17="simple",0,IF(K$2&gt;Inputs!$G$17,0,Inputs!$Q$36*(K$15+K$17+K$19+K$21)))</f>
        <v>-612800.30334347964</v>
      </c>
      <c r="L37" s="36">
        <f>-IF(Inputs!$Q$17="simple",0,IF(L$2&gt;Inputs!$G$17,0,Inputs!$Q$36*(L$15+L$17+L$19+L$21)))</f>
        <v>-609736.30182676215</v>
      </c>
      <c r="M37" s="36">
        <f>-IF(Inputs!$Q$17="simple",0,IF(M$2&gt;Inputs!$G$17,0,Inputs!$Q$36*(M$15+M$17+M$19+M$21)))</f>
        <v>-606687.62031762849</v>
      </c>
      <c r="N37" s="36">
        <f>-IF(Inputs!$Q$17="simple",0,IF(N$2&gt;Inputs!$G$17,0,Inputs!$Q$36*(N$15+N$17+N$19+N$21)))</f>
        <v>-603654.18221604021</v>
      </c>
      <c r="O37" s="36">
        <f>-IF(Inputs!$Q$17="simple",0,IF(O$2&gt;Inputs!$G$17,0,Inputs!$Q$36*(O$15+O$17+O$19+O$21)))</f>
        <v>-600635.91130496003</v>
      </c>
      <c r="P37" s="36">
        <f>-IF(Inputs!$Q$17="simple",0,IF(P$2&gt;Inputs!$G$17,0,Inputs!$Q$36*(P$15+P$17+P$19+P$21)))</f>
        <v>-597632.7317484353</v>
      </c>
      <c r="Q37" s="36">
        <f>-IF(Inputs!$Q$17="simple",0,IF(Q$2&gt;Inputs!$G$17,0,Inputs!$Q$36*(Q$15+Q$17+Q$19+Q$21)))</f>
        <v>-594644.56808969309</v>
      </c>
      <c r="R37" s="36">
        <f>-IF(Inputs!$Q$17="simple",0,IF(R$2&gt;Inputs!$G$17,0,Inputs!$Q$36*(R$15+R$17+R$19+R$21)))</f>
        <v>-586798.89067424333</v>
      </c>
      <c r="S37" s="36">
        <f>-IF(Inputs!$Q$17="simple",0,IF(S$2&gt;Inputs!$G$17,0,Inputs!$Q$36*(S$15+S$17+S$19+S$21)))</f>
        <v>-569194.92395401595</v>
      </c>
      <c r="T37" s="36">
        <f>-IF(Inputs!$Q$17="simple",0,IF(T$2&gt;Inputs!$G$17,0,Inputs!$Q$36*(T$15+T$17+T$19+T$21)))</f>
        <v>-552119.07623539539</v>
      </c>
      <c r="U37" s="36">
        <f>-IF(Inputs!$Q$17="simple",0,IF(U$2&gt;Inputs!$G$17,0,Inputs!$Q$36*(U$15+U$17+U$19+U$21)))</f>
        <v>-535555.50394833356</v>
      </c>
      <c r="V37" s="36">
        <f>-IF(Inputs!$Q$17="simple",0,IF(V$2&gt;Inputs!$G$17,0,Inputs!$Q$36*(V$15+V$17+V$19+V$21)))</f>
        <v>-519488.83882988343</v>
      </c>
      <c r="W37" s="36">
        <f>-IF(Inputs!$Q$17="simple",0,IF(W$2&gt;Inputs!$G$17,0,Inputs!$Q$36*(W$15+W$17+W$19+W$21)))</f>
        <v>-503904.17366498697</v>
      </c>
      <c r="X37" s="36">
        <f>-IF(Inputs!$Q$17="simple",0,IF(X$2&gt;Inputs!$G$17,0,Inputs!$Q$36*(X$15+X$17+X$19+X$21)))</f>
        <v>-488787.04845503741</v>
      </c>
      <c r="Y37" s="36">
        <f>-IF(Inputs!$Q$17="simple",0,IF(Y$2&gt;Inputs!$G$17,0,Inputs!$Q$36*(Y$15+Y$17+Y$19+Y$21)))</f>
        <v>-474123.43700138625</v>
      </c>
      <c r="Z37" s="36">
        <f>-IF(Inputs!$Q$17="simple",0,IF(Z$2&gt;Inputs!$G$17,0,Inputs!$Q$36*(Z$15+Z$17+Z$19+Z$21)))</f>
        <v>-521477.92336502887</v>
      </c>
      <c r="AA37" s="36">
        <f>-IF(Inputs!$Q$17="simple",0,IF(AA$2&gt;Inputs!$G$17,0,Inputs!$Q$36*(AA$15+AA$17+AA$19+AA$21)))</f>
        <v>-162079.15890370469</v>
      </c>
      <c r="AB37" s="36">
        <f>-IF(Inputs!$Q$17="simple",0,IF(AB$2&gt;Inputs!$G$17,0,Inputs!$Q$36*(AB$15+AB$17+AB$19+AB$21)))</f>
        <v>-160361.11981932542</v>
      </c>
      <c r="AC37" s="36">
        <f>-IF(Inputs!$Q$17="simple",0,IF(AC$2&gt;Inputs!$G$17,0,Inputs!$Q$36*(AC$15+AC$17+AC$19+AC$21)))</f>
        <v>-158661.29194924055</v>
      </c>
      <c r="AD37" s="36">
        <f>-IF(Inputs!$Q$17="simple",0,IF(AD$2&gt;Inputs!$G$17,0,Inputs!$Q$36*(AD$15+AD$17+AD$19+AD$21)))</f>
        <v>-156979.48225457862</v>
      </c>
      <c r="AE37" s="36">
        <f>-IF(Inputs!$Q$17="simple",0,IF(AE$2&gt;Inputs!$G$17,0,Inputs!$Q$36*(AE$15+AE$17+AE$19+AE$21)))</f>
        <v>-155315.49974268008</v>
      </c>
      <c r="AF37" s="36">
        <f>-IF(Inputs!$Q$17="simple",0,IF(AF$2&gt;Inputs!$G$17,0,Inputs!$Q$36*(AF$15+AF$17+AF$19+AF$21)))</f>
        <v>0</v>
      </c>
      <c r="AG37" s="36">
        <f>-IF(Inputs!$Q$17="simple",0,IF(AG$2&gt;Inputs!$G$17,0,Inputs!$Q$36*(AG$15+AG$17+AG$19+AG$21)))</f>
        <v>0</v>
      </c>
      <c r="AH37" s="36">
        <f>-IF(Inputs!$Q$17="simple",0,IF(AH$2&gt;Inputs!$G$17,0,Inputs!$Q$36*(AH$15+AH$17+AH$19+AH$21)))</f>
        <v>0</v>
      </c>
      <c r="AI37" s="36">
        <f>-IF(Inputs!$Q$17="simple",0,IF(AI$2&gt;Inputs!$G$17,0,Inputs!$Q$36*(AI$15+AI$17+AI$19+AI$21)))</f>
        <v>0</v>
      </c>
      <c r="AJ37" s="36">
        <f>-IF(Inputs!$Q$17="simple",0,IF(AJ$2&gt;Inputs!$G$17,0,Inputs!$Q$36*(AJ$15+AJ$17+AJ$19+AJ$21)))</f>
        <v>0</v>
      </c>
    </row>
    <row r="38" spans="2:36" s="11" customFormat="1" ht="16">
      <c r="B38" s="26" t="s">
        <v>106</v>
      </c>
      <c r="C38" s="26"/>
      <c r="D38" s="26"/>
      <c r="E38" s="63" t="s">
        <v>0</v>
      </c>
      <c r="F38" s="16"/>
      <c r="G38" s="27">
        <f t="shared" ref="G38:AJ38" si="5">SUM(G29:G37)</f>
        <v>-4701870.0288125006</v>
      </c>
      <c r="H38" s="27">
        <f t="shared" si="5"/>
        <v>-4761588.06201375</v>
      </c>
      <c r="I38" s="27">
        <f t="shared" si="5"/>
        <v>-4822322.489804999</v>
      </c>
      <c r="J38" s="27">
        <f t="shared" si="5"/>
        <v>-4884089.4331710478</v>
      </c>
      <c r="K38" s="27">
        <f t="shared" si="5"/>
        <v>-4946905.2806095351</v>
      </c>
      <c r="L38" s="27">
        <f t="shared" si="5"/>
        <v>-5010786.6926242122</v>
      </c>
      <c r="M38" s="27">
        <f t="shared" si="5"/>
        <v>-5075750.6062954944</v>
      </c>
      <c r="N38" s="27">
        <f t="shared" si="5"/>
        <v>-5141814.2399296593</v>
      </c>
      <c r="O38" s="27">
        <f t="shared" si="5"/>
        <v>-5208995.0977880899</v>
      </c>
      <c r="P38" s="27">
        <f t="shared" si="5"/>
        <v>-5277310.9748979332</v>
      </c>
      <c r="Q38" s="27">
        <f t="shared" si="5"/>
        <v>-5346779.9619456418</v>
      </c>
      <c r="R38" s="27">
        <f t="shared" si="5"/>
        <v>-5379888.7782276757</v>
      </c>
      <c r="S38" s="27">
        <f t="shared" si="5"/>
        <v>-5336290.3486402929</v>
      </c>
      <c r="T38" s="27">
        <f t="shared" si="5"/>
        <v>-5293975.9251597282</v>
      </c>
      <c r="U38" s="27">
        <f t="shared" si="5"/>
        <v>-5252931.2587285936</v>
      </c>
      <c r="V38" s="27">
        <f t="shared" si="5"/>
        <v>-5213142.7508330876</v>
      </c>
      <c r="W38" s="27">
        <f t="shared" si="5"/>
        <v>-5174597.4412290454</v>
      </c>
      <c r="X38" s="27">
        <f t="shared" si="5"/>
        <v>-5137282.9961515656</v>
      </c>
      <c r="Y38" s="27">
        <f t="shared" si="5"/>
        <v>-5101187.6969963536</v>
      </c>
      <c r="Z38" s="27">
        <f t="shared" si="5"/>
        <v>-5611478.5887963912</v>
      </c>
      <c r="AA38" s="27">
        <f t="shared" si="5"/>
        <v>-5227060.9003470149</v>
      </c>
      <c r="AB38" s="27">
        <f t="shared" si="5"/>
        <v>-5201151.9395301687</v>
      </c>
      <c r="AC38" s="27">
        <f t="shared" si="5"/>
        <v>-5176091.6713925172</v>
      </c>
      <c r="AD38" s="27">
        <f t="shared" si="5"/>
        <v>-5151882.5809455505</v>
      </c>
      <c r="AE38" s="27">
        <f t="shared" si="5"/>
        <v>-5128527.3564827191</v>
      </c>
      <c r="AF38" s="27">
        <f t="shared" si="5"/>
        <v>0</v>
      </c>
      <c r="AG38" s="27">
        <f t="shared" si="5"/>
        <v>0</v>
      </c>
      <c r="AH38" s="27">
        <f t="shared" si="5"/>
        <v>0</v>
      </c>
      <c r="AI38" s="27">
        <f t="shared" si="5"/>
        <v>0</v>
      </c>
      <c r="AJ38" s="27">
        <f t="shared" si="5"/>
        <v>0</v>
      </c>
    </row>
    <row r="39" spans="2:36" s="11" customFormat="1" ht="16">
      <c r="B39" s="26"/>
      <c r="C39" s="26"/>
      <c r="D39" s="26"/>
      <c r="E39" s="63"/>
      <c r="F39" s="16"/>
      <c r="G39" s="27">
        <f>IF(G38=0,"",G38)</f>
        <v>-4701870.0288125006</v>
      </c>
      <c r="H39" s="27">
        <f t="shared" ref="H39:AJ39" si="6">IF(H38=0,"",H38)</f>
        <v>-4761588.06201375</v>
      </c>
      <c r="I39" s="27">
        <f t="shared" si="6"/>
        <v>-4822322.489804999</v>
      </c>
      <c r="J39" s="27">
        <f t="shared" si="6"/>
        <v>-4884089.4331710478</v>
      </c>
      <c r="K39" s="27">
        <f t="shared" si="6"/>
        <v>-4946905.2806095351</v>
      </c>
      <c r="L39" s="27">
        <f t="shared" si="6"/>
        <v>-5010786.6926242122</v>
      </c>
      <c r="M39" s="27">
        <f t="shared" si="6"/>
        <v>-5075750.6062954944</v>
      </c>
      <c r="N39" s="27">
        <f t="shared" si="6"/>
        <v>-5141814.2399296593</v>
      </c>
      <c r="O39" s="27">
        <f t="shared" si="6"/>
        <v>-5208995.0977880899</v>
      </c>
      <c r="P39" s="27">
        <f t="shared" si="6"/>
        <v>-5277310.9748979332</v>
      </c>
      <c r="Q39" s="27">
        <f t="shared" si="6"/>
        <v>-5346779.9619456418</v>
      </c>
      <c r="R39" s="27">
        <f t="shared" si="6"/>
        <v>-5379888.7782276757</v>
      </c>
      <c r="S39" s="27">
        <f t="shared" si="6"/>
        <v>-5336290.3486402929</v>
      </c>
      <c r="T39" s="27">
        <f t="shared" si="6"/>
        <v>-5293975.9251597282</v>
      </c>
      <c r="U39" s="27">
        <f t="shared" si="6"/>
        <v>-5252931.2587285936</v>
      </c>
      <c r="V39" s="27">
        <f t="shared" si="6"/>
        <v>-5213142.7508330876</v>
      </c>
      <c r="W39" s="27">
        <f t="shared" si="6"/>
        <v>-5174597.4412290454</v>
      </c>
      <c r="X39" s="27">
        <f t="shared" si="6"/>
        <v>-5137282.9961515656</v>
      </c>
      <c r="Y39" s="27">
        <f t="shared" si="6"/>
        <v>-5101187.6969963536</v>
      </c>
      <c r="Z39" s="27">
        <f t="shared" si="6"/>
        <v>-5611478.5887963912</v>
      </c>
      <c r="AA39" s="27">
        <f t="shared" si="6"/>
        <v>-5227060.9003470149</v>
      </c>
      <c r="AB39" s="27">
        <f t="shared" si="6"/>
        <v>-5201151.9395301687</v>
      </c>
      <c r="AC39" s="27">
        <f t="shared" si="6"/>
        <v>-5176091.6713925172</v>
      </c>
      <c r="AD39" s="27">
        <f t="shared" si="6"/>
        <v>-5151882.5809455505</v>
      </c>
      <c r="AE39" s="27">
        <f t="shared" si="6"/>
        <v>-5128527.3564827191</v>
      </c>
      <c r="AF39" s="27" t="str">
        <f t="shared" si="6"/>
        <v/>
      </c>
      <c r="AG39" s="27" t="str">
        <f t="shared" si="6"/>
        <v/>
      </c>
      <c r="AH39" s="27" t="str">
        <f t="shared" si="6"/>
        <v/>
      </c>
      <c r="AI39" s="27" t="str">
        <f t="shared" si="6"/>
        <v/>
      </c>
      <c r="AJ39" s="27" t="str">
        <f t="shared" si="6"/>
        <v/>
      </c>
    </row>
    <row r="40" spans="2:36" s="11" customFormat="1" ht="16">
      <c r="B40" s="28" t="s">
        <v>444</v>
      </c>
      <c r="C40" s="28"/>
      <c r="D40" s="28"/>
      <c r="E40" s="61" t="s">
        <v>48</v>
      </c>
      <c r="F40" s="29"/>
      <c r="G40" s="749">
        <f>IF(G$2&gt;Inputs!$G$17,0,G38*100/G5)</f>
        <v>-4.1851318048657289</v>
      </c>
      <c r="H40" s="749">
        <f>IF(H$2&gt;Inputs!$G$17,0,H38*100/H5)</f>
        <v>-4.2595847154039044</v>
      </c>
      <c r="I40" s="749">
        <f>IF(I$2&gt;Inputs!$G$17,0,I38*100/I5)</f>
        <v>-4.3355940213906354</v>
      </c>
      <c r="J40" s="749">
        <f>IF(J$2&gt;Inputs!$G$17,0,J38*100/J5)</f>
        <v>-4.4131926436009756</v>
      </c>
      <c r="K40" s="749">
        <f>IF(K$2&gt;Inputs!$G$17,0,K38*100/K5)</f>
        <v>-4.492414206779781</v>
      </c>
      <c r="L40" s="749">
        <f>IF(L$2&gt;Inputs!$G$17,0,L38*100/L5)</f>
        <v>-4.5732930548682376</v>
      </c>
      <c r="M40" s="749">
        <f>IF(M$2&gt;Inputs!$G$17,0,M38*100/M5)</f>
        <v>-4.6558642665637526</v>
      </c>
      <c r="N40" s="749">
        <f>IF(N$2&gt;Inputs!$G$17,0,N38*100/N5)</f>
        <v>-4.7401636712206034</v>
      </c>
      <c r="O40" s="749">
        <f>IF(O$2&gt;Inputs!$G$17,0,O38*100/O5)</f>
        <v>-4.8262278650989066</v>
      </c>
      <c r="P40" s="749">
        <f>IF(P$2&gt;Inputs!$G$17,0,P38*100/P5)</f>
        <v>-4.9140942279696187</v>
      </c>
      <c r="Q40" s="749">
        <f>IF(Q$2&gt;Inputs!$G$17,0,Q38*100/Q5)</f>
        <v>-5.0038009400834955</v>
      </c>
      <c r="R40" s="749">
        <f>IF(R$2&gt;Inputs!$G$17,0,R38*100/R5)</f>
        <v>-5.102102530636424</v>
      </c>
      <c r="S40" s="749">
        <f>IF(S$2&gt;Inputs!$G$17,0,S38*100/S5)</f>
        <v>-5.2172734752958467</v>
      </c>
      <c r="T40" s="749">
        <f>IF(T$2&gt;Inputs!$G$17,0,T38*100/T5)</f>
        <v>-5.335982271142039</v>
      </c>
      <c r="U40" s="749">
        <f>IF(U$2&gt;Inputs!$G$17,0,U38*100/U5)</f>
        <v>-5.4583628100748225</v>
      </c>
      <c r="V40" s="749">
        <f>IF(V$2&gt;Inputs!$G$17,0,V38*100/V5)</f>
        <v>-5.5845549008775519</v>
      </c>
      <c r="W40" s="749">
        <f>IF(W$2&gt;Inputs!$G$17,0,W38*100/W5)</f>
        <v>-5.7147045540417869</v>
      </c>
      <c r="X40" s="749">
        <f>IF(X$2&gt;Inputs!$G$17,0,X38*100/X5)</f>
        <v>-5.8489642808555962</v>
      </c>
      <c r="Y40" s="749">
        <f>IF(Y$2&gt;Inputs!$G$17,0,Y38*100/Y5)</f>
        <v>-5.9874934074819253</v>
      </c>
      <c r="Z40" s="749">
        <f>IF(Z$2&gt;Inputs!$G$17,0,Z38*100/Z5)</f>
        <v>-5.9883413942324752</v>
      </c>
      <c r="AA40" s="749">
        <f>IF(AA$2&gt;Inputs!$G$17,0,AA38*100/AA5)</f>
        <v>-5.7506252520268131</v>
      </c>
      <c r="AB40" s="749">
        <f>IF(AB$2&gt;Inputs!$G$17,0,AB38*100/AB5)</f>
        <v>-5.8990939597780905</v>
      </c>
      <c r="AC40" s="749">
        <f>IF(AC$2&gt;Inputs!$G$17,0,AC38*100/AC5)</f>
        <v>-6.0522379968557791</v>
      </c>
      <c r="AD40" s="749">
        <f>IF(AD$2&gt;Inputs!$G$17,0,AD38*100/AD5)</f>
        <v>-6.2102382306894635</v>
      </c>
      <c r="AE40" s="749">
        <f>IF(AE$2&gt;Inputs!$G$17,0,AE38*100/AE5)</f>
        <v>-6.373283631410354</v>
      </c>
      <c r="AF40" s="749">
        <f>IF(AF$2&gt;Inputs!$G$17,0,AF38*100/AF5)</f>
        <v>0</v>
      </c>
      <c r="AG40" s="749">
        <f>IF(AG$2&gt;Inputs!$G$17,0,AG38*100/AG5)</f>
        <v>0</v>
      </c>
      <c r="AH40" s="749">
        <f>IF(AH$2&gt;Inputs!$G$17,0,AH38*100/AH5)</f>
        <v>0</v>
      </c>
      <c r="AI40" s="749">
        <f>IF(AI$2&gt;Inputs!$G$17,0,AI38*100/AI5)</f>
        <v>0</v>
      </c>
      <c r="AJ40" s="749">
        <f>IF(AJ$2&gt;Inputs!$G$17,0,AJ38*100/AJ5)</f>
        <v>0</v>
      </c>
    </row>
    <row r="41" spans="2:36" s="11" customFormat="1" ht="16">
      <c r="E41" s="61"/>
    </row>
    <row r="42" spans="2:36" s="11" customFormat="1" ht="16">
      <c r="B42" s="16" t="s">
        <v>107</v>
      </c>
      <c r="C42" s="16"/>
      <c r="D42" s="16"/>
      <c r="E42" s="59" t="s">
        <v>0</v>
      </c>
      <c r="F42" s="13"/>
      <c r="G42" s="27">
        <f t="shared" ref="G42:AJ42" si="7">G23+G38</f>
        <v>16236320.218511965</v>
      </c>
      <c r="H42" s="27">
        <f t="shared" si="7"/>
        <v>16072400.342810716</v>
      </c>
      <c r="I42" s="27">
        <f t="shared" si="7"/>
        <v>15907985.081731964</v>
      </c>
      <c r="J42" s="27">
        <f t="shared" si="7"/>
        <v>15743055.709244851</v>
      </c>
      <c r="K42" s="27">
        <f t="shared" si="7"/>
        <v>15577593.244830908</v>
      </c>
      <c r="L42" s="27">
        <f t="shared" si="7"/>
        <v>15411578.448925652</v>
      </c>
      <c r="M42" s="27">
        <f t="shared" si="7"/>
        <v>15244991.818283243</v>
      </c>
      <c r="N42" s="27">
        <f t="shared" si="7"/>
        <v>15077813.581262803</v>
      </c>
      <c r="O42" s="27">
        <f t="shared" si="7"/>
        <v>14910023.693035034</v>
      </c>
      <c r="P42" s="27">
        <f t="shared" si="7"/>
        <v>14741601.830707699</v>
      </c>
      <c r="Q42" s="27">
        <f t="shared" si="7"/>
        <v>14572527.388368584</v>
      </c>
      <c r="R42" s="27">
        <f t="shared" si="7"/>
        <v>14277895.991571557</v>
      </c>
      <c r="S42" s="27">
        <f t="shared" si="7"/>
        <v>13734695.530484695</v>
      </c>
      <c r="T42" s="27">
        <f t="shared" si="7"/>
        <v>13207815.030011242</v>
      </c>
      <c r="U42" s="27">
        <f t="shared" si="7"/>
        <v>12696740.620206982</v>
      </c>
      <c r="V42" s="27">
        <f t="shared" si="7"/>
        <v>12172632.942988139</v>
      </c>
      <c r="W42" s="27">
        <f t="shared" si="7"/>
        <v>11663348.732596286</v>
      </c>
      <c r="X42" s="27">
        <f t="shared" si="7"/>
        <v>11196759.004008781</v>
      </c>
      <c r="Y42" s="27">
        <f t="shared" si="7"/>
        <v>10744067.254708955</v>
      </c>
      <c r="Z42" s="27">
        <f t="shared" si="7"/>
        <v>11812259.241697002</v>
      </c>
      <c r="AA42" s="27">
        <f t="shared" si="7"/>
        <v>216718.11476890836</v>
      </c>
      <c r="AB42" s="27">
        <f t="shared" si="7"/>
        <v>185359.10610644519</v>
      </c>
      <c r="AC42" s="27">
        <f t="shared" si="7"/>
        <v>153758.44524126779</v>
      </c>
      <c r="AD42" s="27">
        <f t="shared" si="7"/>
        <v>121907.21253283601</v>
      </c>
      <c r="AE42" s="27">
        <f t="shared" si="7"/>
        <v>69226.16076950077</v>
      </c>
      <c r="AF42" s="27">
        <f t="shared" si="7"/>
        <v>0</v>
      </c>
      <c r="AG42" s="27">
        <f t="shared" si="7"/>
        <v>0</v>
      </c>
      <c r="AH42" s="27">
        <f t="shared" si="7"/>
        <v>0</v>
      </c>
      <c r="AI42" s="27">
        <f t="shared" si="7"/>
        <v>0</v>
      </c>
      <c r="AJ42" s="27">
        <f t="shared" si="7"/>
        <v>0</v>
      </c>
    </row>
    <row r="43" spans="2:36" s="11" customFormat="1" ht="16">
      <c r="B43" s="16"/>
      <c r="C43" s="16"/>
      <c r="D43" s="16"/>
      <c r="E43" s="59" t="s">
        <v>227</v>
      </c>
      <c r="F43" s="64" t="s">
        <v>166</v>
      </c>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row>
    <row r="44" spans="2:36" s="13" customFormat="1" ht="16">
      <c r="B44" s="30" t="s">
        <v>131</v>
      </c>
      <c r="C44" s="30"/>
      <c r="D44" s="30"/>
      <c r="E44" s="31">
        <f>IF(OR(Inputs!$G$79=0,Inputs!$G$79=""),"N/A",AVERAGE(G44:AJ44))</f>
        <v>2.1021657851369042</v>
      </c>
      <c r="F44" s="31">
        <f>IF(OR(Inputs!$G$79=0,Inputs!$G$79=""),"N/A",MIN(G44:AJ44))</f>
        <v>1.7920162957034249</v>
      </c>
      <c r="G44" s="31">
        <f>IF(OR(Inputs!$G$79=0,Inputs!$G$79=""),"N/A",IF(G$2&gt;Inputs!$G$80,"N/A",(G42+SUM(G50:G51))/-G88))</f>
        <v>2.2915920931334361</v>
      </c>
      <c r="H44" s="31">
        <f>IF(OR(Inputs!$G$79=0,Inputs!$G$79=""),"N/A",IF(H$2&gt;Inputs!$G$80,"N/A",(H42+SUM(H50:H51))/-H88))</f>
        <v>2.2684564635074502</v>
      </c>
      <c r="I44" s="31">
        <f>IF(OR(Inputs!$G$79=0,Inputs!$G$79=""),"N/A",IF(I$2&gt;Inputs!$G$80,"N/A",(I42+SUM(I50:I51))/-I88))</f>
        <v>2.2452509152546538</v>
      </c>
      <c r="J44" s="31">
        <f>IF(OR(Inputs!$G$79=0,Inputs!$G$79=""),"N/A",IF(J$2&gt;Inputs!$G$80,"N/A",(J42+SUM(J50:J51))/-J88))</f>
        <v>2.2219728053855214</v>
      </c>
      <c r="K44" s="31">
        <f>IF(OR(Inputs!$G$79=0,Inputs!$G$79=""),"N/A",IF(K$2&gt;Inputs!$G$80,"N/A",(K42+SUM(K50:K51))/-K88))</f>
        <v>2.1986194549921825</v>
      </c>
      <c r="L44" s="31">
        <f>IF(OR(Inputs!$G$79=0,Inputs!$G$79=""),"N/A",IF(L$2&gt;Inputs!$G$80,"N/A",(L42+SUM(L50:L51))/-L88))</f>
        <v>2.1751881486050442</v>
      </c>
      <c r="M44" s="31">
        <f>IF(OR(Inputs!$G$79=0,Inputs!$G$79=""),"N/A",IF(M$2&gt;Inputs!$G$80,"N/A",(M42+SUM(M50:M51))/-M88))</f>
        <v>2.1516761335385617</v>
      </c>
      <c r="N44" s="31">
        <f>IF(OR(Inputs!$G$79=0,Inputs!$G$79=""),"N/A",IF(N$2&gt;Inputs!$G$80,"N/A",(N42+SUM(N50:N51))/-N88))</f>
        <v>2.1280806192259507</v>
      </c>
      <c r="O44" s="31">
        <f>IF(OR(Inputs!$G$79=0,Inputs!$G$79=""),"N/A",IF(O$2&gt;Inputs!$G$80,"N/A",(O42+SUM(O50:O51))/-O88))</f>
        <v>2.10439877654265</v>
      </c>
      <c r="P44" s="31">
        <f>IF(OR(Inputs!$G$79=0,Inputs!$G$79=""),"N/A",IF(P$2&gt;Inputs!$G$80,"N/A",(P42+SUM(P50:P51))/-P88))</f>
        <v>2.0806277371183302</v>
      </c>
      <c r="Q44" s="31">
        <f>IF(OR(Inputs!$G$79=0,Inputs!$G$79=""),"N/A",IF(Q$2&gt;Inputs!$G$80,"N/A",(Q42+SUM(Q50:Q51))/-Q88))</f>
        <v>2.0567645926372609</v>
      </c>
      <c r="R44" s="31">
        <f>IF(OR(Inputs!$G$79=0,Inputs!$G$79=""),"N/A",IF(R$2&gt;Inputs!$G$80,"N/A",(R42+SUM(R50:R51))/-R88))</f>
        <v>2.0151803561722077</v>
      </c>
      <c r="S44" s="31">
        <f>IF(OR(Inputs!$G$79=0,Inputs!$G$79=""),"N/A",IF(S$2&gt;Inputs!$G$80,"N/A",(S42+SUM(S50:S51))/-S88))</f>
        <v>1.9385131147738868</v>
      </c>
      <c r="T44" s="31">
        <f>IF(OR(Inputs!$G$79=0,Inputs!$G$79=""),"N/A",IF(T$2&gt;Inputs!$G$80,"N/A",(T42+SUM(T50:T51))/-T88))</f>
        <v>1.8641492704629985</v>
      </c>
      <c r="U44" s="31">
        <f>IF(OR(Inputs!$G$79=0,Inputs!$G$79=""),"N/A",IF(U$2&gt;Inputs!$G$80,"N/A",(U42+SUM(U50:U51))/-U88))</f>
        <v>1.7920162957034249</v>
      </c>
      <c r="V44" s="31" t="str">
        <f>IF(OR(Inputs!$G$79=0,Inputs!$G$79=""),"N/A",IF(V$2&gt;Inputs!$G$80,"N/A",(V42+SUM(V50:V51))/-V88))</f>
        <v>N/A</v>
      </c>
      <c r="W44" s="31" t="str">
        <f>IF(OR(Inputs!$G$79=0,Inputs!$G$79=""),"N/A",IF(W$2&gt;Inputs!$G$80,"N/A",(W42+SUM(W50:W51))/-W88))</f>
        <v>N/A</v>
      </c>
      <c r="X44" s="31" t="str">
        <f>IF(OR(Inputs!$G$79=0,Inputs!$G$79=""),"N/A",IF(X$2&gt;Inputs!$G$80,"N/A",(X42+SUM(X50:X51))/-X88))</f>
        <v>N/A</v>
      </c>
      <c r="Y44" s="31" t="str">
        <f>IF(OR(Inputs!$G$79=0,Inputs!$G$79=""),"N/A",IF(Y$2&gt;Inputs!$G$80,"N/A",(Y42+SUM(Y50:Y51))/-Y88))</f>
        <v>N/A</v>
      </c>
      <c r="Z44" s="31" t="str">
        <f>IF(OR(Inputs!$G$79=0,Inputs!$G$79=""),"N/A",IF(Z$2&gt;Inputs!$G$80,"N/A",(Z42+SUM(Z50:Z51))/-Z88))</f>
        <v>N/A</v>
      </c>
      <c r="AA44" s="31" t="str">
        <f>IF(OR(Inputs!$G$79=0,Inputs!$G$79=""),"N/A",IF(AA$2&gt;Inputs!$G$80,"N/A",(AA42+SUM(AA50:AA51))/-AA88))</f>
        <v>N/A</v>
      </c>
      <c r="AB44" s="31" t="str">
        <f>IF(OR(Inputs!$G$79=0,Inputs!$G$79=""),"N/A",IF(AB$2&gt;Inputs!$G$80,"N/A",(AB42+SUM(AB50:AB51))/-AB88))</f>
        <v>N/A</v>
      </c>
      <c r="AC44" s="31" t="str">
        <f>IF(OR(Inputs!$G$79=0,Inputs!$G$79=""),"N/A",IF(AC$2&gt;Inputs!$G$80,"N/A",(AC42+SUM(AC50:AC51))/-AC88))</f>
        <v>N/A</v>
      </c>
      <c r="AD44" s="31" t="str">
        <f>IF(OR(Inputs!$G$79=0,Inputs!$G$79=""),"N/A",IF(AD$2&gt;Inputs!$G$80,"N/A",(AD42+SUM(AD50:AD51))/-AD88))</f>
        <v>N/A</v>
      </c>
      <c r="AE44" s="31" t="str">
        <f>IF(OR(Inputs!$G$79=0,Inputs!$G$79=""),"N/A",IF(AE$2&gt;Inputs!$G$80,"N/A",(AE42+SUM(AE50:AE51))/-AE88))</f>
        <v>N/A</v>
      </c>
      <c r="AF44" s="31" t="str">
        <f>IF(OR(Inputs!$G$79=0,Inputs!$G$79=""),"N/A",IF(AF$2&gt;Inputs!$G$80,"N/A",(AF42+SUM(AF50:AF51))/-AF88))</f>
        <v>N/A</v>
      </c>
      <c r="AG44" s="31" t="str">
        <f>IF(OR(Inputs!$G$79=0,Inputs!$G$79=""),"N/A",IF(AG$2&gt;Inputs!$G$80,"N/A",(AG42+SUM(AG50:AG51))/-AG88))</f>
        <v>N/A</v>
      </c>
      <c r="AH44" s="31" t="str">
        <f>IF(OR(Inputs!$G$79=0,Inputs!$G$79=""),"N/A",IF(AH$2&gt;Inputs!$G$80,"N/A",(AH42+SUM(AH50:AH51))/-AH88))</f>
        <v>N/A</v>
      </c>
      <c r="AI44" s="31" t="str">
        <f>IF(OR(Inputs!$G$79=0,Inputs!$G$79=""),"N/A",IF(AI$2&gt;Inputs!$G$80,"N/A",(AI42+SUM(AI50:AI51))/-AI88))</f>
        <v>N/A</v>
      </c>
      <c r="AJ44" s="31" t="str">
        <f>IF(OR(Inputs!$G$79=0,Inputs!$G$79=""),"N/A",IF(AJ$2&gt;Inputs!$G$80,"N/A",(AJ42+SUM(AJ50:AJ51))/-AJ88))</f>
        <v>N/A</v>
      </c>
    </row>
    <row r="45" spans="2:36" s="13" customFormat="1" ht="16">
      <c r="B45" s="30" t="s">
        <v>263</v>
      </c>
      <c r="C45" s="30"/>
      <c r="D45" s="30"/>
      <c r="E45" s="64"/>
      <c r="F45" s="31"/>
      <c r="G45" s="354" t="str">
        <f t="shared" ref="G45:AJ45" si="8">IF(G44=$F$44,G2,"")</f>
        <v/>
      </c>
      <c r="H45" s="354" t="str">
        <f t="shared" si="8"/>
        <v/>
      </c>
      <c r="I45" s="354" t="str">
        <f t="shared" si="8"/>
        <v/>
      </c>
      <c r="J45" s="354" t="str">
        <f t="shared" si="8"/>
        <v/>
      </c>
      <c r="K45" s="354" t="str">
        <f t="shared" si="8"/>
        <v/>
      </c>
      <c r="L45" s="354" t="str">
        <f t="shared" si="8"/>
        <v/>
      </c>
      <c r="M45" s="354" t="str">
        <f t="shared" si="8"/>
        <v/>
      </c>
      <c r="N45" s="354" t="str">
        <f t="shared" si="8"/>
        <v/>
      </c>
      <c r="O45" s="354" t="str">
        <f t="shared" si="8"/>
        <v/>
      </c>
      <c r="P45" s="354" t="str">
        <f t="shared" si="8"/>
        <v/>
      </c>
      <c r="Q45" s="354" t="str">
        <f t="shared" si="8"/>
        <v/>
      </c>
      <c r="R45" s="354" t="str">
        <f t="shared" si="8"/>
        <v/>
      </c>
      <c r="S45" s="354" t="str">
        <f t="shared" si="8"/>
        <v/>
      </c>
      <c r="T45" s="354" t="str">
        <f t="shared" si="8"/>
        <v/>
      </c>
      <c r="U45" s="354">
        <f t="shared" si="8"/>
        <v>15</v>
      </c>
      <c r="V45" s="354" t="str">
        <f t="shared" si="8"/>
        <v/>
      </c>
      <c r="W45" s="354" t="str">
        <f t="shared" si="8"/>
        <v/>
      </c>
      <c r="X45" s="354" t="str">
        <f t="shared" si="8"/>
        <v/>
      </c>
      <c r="Y45" s="354" t="str">
        <f t="shared" si="8"/>
        <v/>
      </c>
      <c r="Z45" s="354" t="str">
        <f t="shared" si="8"/>
        <v/>
      </c>
      <c r="AA45" s="354" t="str">
        <f t="shared" si="8"/>
        <v/>
      </c>
      <c r="AB45" s="354" t="str">
        <f t="shared" si="8"/>
        <v/>
      </c>
      <c r="AC45" s="354" t="str">
        <f t="shared" si="8"/>
        <v/>
      </c>
      <c r="AD45" s="354" t="str">
        <f t="shared" si="8"/>
        <v/>
      </c>
      <c r="AE45" s="354" t="str">
        <f t="shared" si="8"/>
        <v/>
      </c>
      <c r="AF45" s="354" t="str">
        <f t="shared" si="8"/>
        <v/>
      </c>
      <c r="AG45" s="354" t="str">
        <f t="shared" si="8"/>
        <v/>
      </c>
      <c r="AH45" s="354" t="str">
        <f t="shared" si="8"/>
        <v/>
      </c>
      <c r="AI45" s="354" t="str">
        <f t="shared" si="8"/>
        <v/>
      </c>
      <c r="AJ45" s="354" t="str">
        <f t="shared" si="8"/>
        <v/>
      </c>
    </row>
    <row r="46" spans="2:36" s="11" customFormat="1" ht="16">
      <c r="B46" s="21" t="s">
        <v>112</v>
      </c>
      <c r="C46" s="21"/>
      <c r="D46" s="21"/>
      <c r="E46" s="62"/>
      <c r="F46" s="21"/>
      <c r="G46" s="25">
        <f>G89</f>
        <v>-4517178.5208593756</v>
      </c>
      <c r="H46" s="25">
        <f t="shared" ref="H46:AJ46" si="9">H89</f>
        <v>-4337419.0969143296</v>
      </c>
      <c r="I46" s="25">
        <f t="shared" si="9"/>
        <v>-4145076.5132931289</v>
      </c>
      <c r="J46" s="25">
        <f t="shared" si="9"/>
        <v>-3939269.9488184457</v>
      </c>
      <c r="K46" s="25">
        <f t="shared" si="9"/>
        <v>-3719056.9248305336</v>
      </c>
      <c r="L46" s="25">
        <f t="shared" si="9"/>
        <v>-3483428.9891634677</v>
      </c>
      <c r="M46" s="25">
        <f t="shared" si="9"/>
        <v>-3231307.0979997083</v>
      </c>
      <c r="N46" s="25">
        <f t="shared" si="9"/>
        <v>-2961536.6744544846</v>
      </c>
      <c r="O46" s="25">
        <f t="shared" si="9"/>
        <v>-2672882.3212610953</v>
      </c>
      <c r="P46" s="25">
        <f t="shared" si="9"/>
        <v>-2364022.1633441695</v>
      </c>
      <c r="Q46" s="25">
        <f t="shared" si="9"/>
        <v>-2033541.7943730578</v>
      </c>
      <c r="R46" s="25">
        <f t="shared" si="9"/>
        <v>-1679927.7995739689</v>
      </c>
      <c r="S46" s="25">
        <f t="shared" si="9"/>
        <v>-1301560.8251389437</v>
      </c>
      <c r="T46" s="25">
        <f t="shared" si="9"/>
        <v>-896708.16249346698</v>
      </c>
      <c r="U46" s="25">
        <f t="shared" si="9"/>
        <v>-463515.81346280657</v>
      </c>
      <c r="V46" s="25">
        <f t="shared" si="9"/>
        <v>0</v>
      </c>
      <c r="W46" s="25">
        <f t="shared" si="9"/>
        <v>0</v>
      </c>
      <c r="X46" s="25">
        <f t="shared" si="9"/>
        <v>0</v>
      </c>
      <c r="Y46" s="25">
        <f t="shared" si="9"/>
        <v>0</v>
      </c>
      <c r="Z46" s="25">
        <f t="shared" si="9"/>
        <v>0</v>
      </c>
      <c r="AA46" s="25">
        <f t="shared" si="9"/>
        <v>0</v>
      </c>
      <c r="AB46" s="25">
        <f t="shared" si="9"/>
        <v>0</v>
      </c>
      <c r="AC46" s="25">
        <f t="shared" si="9"/>
        <v>0</v>
      </c>
      <c r="AD46" s="25">
        <f t="shared" si="9"/>
        <v>0</v>
      </c>
      <c r="AE46" s="25">
        <f t="shared" si="9"/>
        <v>0</v>
      </c>
      <c r="AF46" s="25">
        <f t="shared" si="9"/>
        <v>0</v>
      </c>
      <c r="AG46" s="25">
        <f t="shared" si="9"/>
        <v>0</v>
      </c>
      <c r="AH46" s="25">
        <f t="shared" si="9"/>
        <v>0</v>
      </c>
      <c r="AI46" s="25">
        <f t="shared" si="9"/>
        <v>0</v>
      </c>
      <c r="AJ46" s="25">
        <f t="shared" si="9"/>
        <v>0</v>
      </c>
    </row>
    <row r="47" spans="2:36" s="11" customFormat="1" ht="16">
      <c r="B47" s="32" t="s">
        <v>65</v>
      </c>
      <c r="C47" s="32"/>
      <c r="D47" s="32"/>
      <c r="E47" s="64"/>
      <c r="F47" s="32"/>
      <c r="G47" s="33">
        <f>G42+G46</f>
        <v>11719141.69765259</v>
      </c>
      <c r="H47" s="33">
        <f t="shared" ref="H47:AJ47" si="10">H42+H46</f>
        <v>11734981.245896388</v>
      </c>
      <c r="I47" s="33">
        <f t="shared" si="10"/>
        <v>11762908.568438835</v>
      </c>
      <c r="J47" s="33">
        <f t="shared" si="10"/>
        <v>11803785.760426406</v>
      </c>
      <c r="K47" s="33">
        <f t="shared" si="10"/>
        <v>11858536.320000375</v>
      </c>
      <c r="L47" s="33">
        <f t="shared" si="10"/>
        <v>11928149.459762184</v>
      </c>
      <c r="M47" s="33">
        <f t="shared" si="10"/>
        <v>12013684.720283534</v>
      </c>
      <c r="N47" s="33">
        <f t="shared" si="10"/>
        <v>12116276.906808319</v>
      </c>
      <c r="O47" s="33">
        <f t="shared" si="10"/>
        <v>12237141.37177394</v>
      </c>
      <c r="P47" s="33">
        <f t="shared" si="10"/>
        <v>12377579.66736353</v>
      </c>
      <c r="Q47" s="33">
        <f t="shared" si="10"/>
        <v>12538985.593995526</v>
      </c>
      <c r="R47" s="33">
        <f t="shared" si="10"/>
        <v>12597968.191997588</v>
      </c>
      <c r="S47" s="33">
        <f t="shared" si="10"/>
        <v>12433134.705345752</v>
      </c>
      <c r="T47" s="33">
        <f t="shared" si="10"/>
        <v>12311106.867517775</v>
      </c>
      <c r="U47" s="33">
        <f t="shared" si="10"/>
        <v>12233224.806744175</v>
      </c>
      <c r="V47" s="33">
        <f t="shared" si="10"/>
        <v>12172632.942988139</v>
      </c>
      <c r="W47" s="33">
        <f t="shared" si="10"/>
        <v>11663348.732596286</v>
      </c>
      <c r="X47" s="33">
        <f t="shared" si="10"/>
        <v>11196759.004008781</v>
      </c>
      <c r="Y47" s="33">
        <f t="shared" si="10"/>
        <v>10744067.254708955</v>
      </c>
      <c r="Z47" s="33">
        <f t="shared" si="10"/>
        <v>11812259.241697002</v>
      </c>
      <c r="AA47" s="33">
        <f t="shared" si="10"/>
        <v>216718.11476890836</v>
      </c>
      <c r="AB47" s="33">
        <f t="shared" si="10"/>
        <v>185359.10610644519</v>
      </c>
      <c r="AC47" s="33">
        <f t="shared" si="10"/>
        <v>153758.44524126779</v>
      </c>
      <c r="AD47" s="33">
        <f t="shared" si="10"/>
        <v>121907.21253283601</v>
      </c>
      <c r="AE47" s="33">
        <f t="shared" si="10"/>
        <v>69226.16076950077</v>
      </c>
      <c r="AF47" s="33">
        <f t="shared" si="10"/>
        <v>0</v>
      </c>
      <c r="AG47" s="33">
        <f t="shared" si="10"/>
        <v>0</v>
      </c>
      <c r="AH47" s="33">
        <f t="shared" si="10"/>
        <v>0</v>
      </c>
      <c r="AI47" s="33">
        <f t="shared" si="10"/>
        <v>0</v>
      </c>
      <c r="AJ47" s="33">
        <f t="shared" si="10"/>
        <v>0</v>
      </c>
    </row>
    <row r="48" spans="2:36" s="11" customFormat="1" ht="16">
      <c r="B48" s="13"/>
      <c r="C48" s="13"/>
      <c r="D48" s="13"/>
      <c r="E48" s="64"/>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row>
    <row r="49" spans="1:36" s="11" customFormat="1" ht="16">
      <c r="B49" s="18" t="s">
        <v>111</v>
      </c>
      <c r="C49" s="18"/>
      <c r="D49" s="18"/>
      <c r="E49" s="59"/>
      <c r="F49" s="18"/>
      <c r="G49" s="24">
        <f>G90</f>
        <v>-2567991.7706435234</v>
      </c>
      <c r="H49" s="24">
        <f t="shared" ref="H49:AJ49" si="11">H90</f>
        <v>-2747751.1945885699</v>
      </c>
      <c r="I49" s="24">
        <f t="shared" si="11"/>
        <v>-2940093.7782097701</v>
      </c>
      <c r="J49" s="24">
        <f t="shared" si="11"/>
        <v>-3145900.3426844538</v>
      </c>
      <c r="K49" s="24">
        <f t="shared" si="11"/>
        <v>-3366113.3666723659</v>
      </c>
      <c r="L49" s="24">
        <f t="shared" si="11"/>
        <v>-3601741.3023394314</v>
      </c>
      <c r="M49" s="24">
        <f t="shared" si="11"/>
        <v>-3853863.1935031912</v>
      </c>
      <c r="N49" s="24">
        <f t="shared" si="11"/>
        <v>-4123633.6170484154</v>
      </c>
      <c r="O49" s="24">
        <f t="shared" si="11"/>
        <v>-4412287.9702418046</v>
      </c>
      <c r="P49" s="24">
        <f t="shared" si="11"/>
        <v>-4721148.1281587305</v>
      </c>
      <c r="Q49" s="24">
        <f t="shared" si="11"/>
        <v>-5051628.4971298417</v>
      </c>
      <c r="R49" s="24">
        <f t="shared" si="11"/>
        <v>-5405242.4919289304</v>
      </c>
      <c r="S49" s="24">
        <f t="shared" si="11"/>
        <v>-5783609.4663639562</v>
      </c>
      <c r="T49" s="24">
        <f t="shared" si="11"/>
        <v>-6188462.1290094331</v>
      </c>
      <c r="U49" s="24">
        <f t="shared" si="11"/>
        <v>-6621654.4780400926</v>
      </c>
      <c r="V49" s="24">
        <f t="shared" si="11"/>
        <v>0</v>
      </c>
      <c r="W49" s="24">
        <f t="shared" si="11"/>
        <v>0</v>
      </c>
      <c r="X49" s="24">
        <f t="shared" si="11"/>
        <v>0</v>
      </c>
      <c r="Y49" s="24">
        <f t="shared" si="11"/>
        <v>0</v>
      </c>
      <c r="Z49" s="24">
        <f t="shared" si="11"/>
        <v>0</v>
      </c>
      <c r="AA49" s="24">
        <f t="shared" si="11"/>
        <v>0</v>
      </c>
      <c r="AB49" s="24">
        <f t="shared" si="11"/>
        <v>0</v>
      </c>
      <c r="AC49" s="24">
        <f t="shared" si="11"/>
        <v>0</v>
      </c>
      <c r="AD49" s="24">
        <f t="shared" si="11"/>
        <v>0</v>
      </c>
      <c r="AE49" s="24">
        <f t="shared" si="11"/>
        <v>0</v>
      </c>
      <c r="AF49" s="24">
        <f t="shared" si="11"/>
        <v>0</v>
      </c>
      <c r="AG49" s="24">
        <f t="shared" si="11"/>
        <v>0</v>
      </c>
      <c r="AH49" s="24">
        <f t="shared" si="11"/>
        <v>0</v>
      </c>
      <c r="AI49" s="24">
        <f t="shared" si="11"/>
        <v>0</v>
      </c>
      <c r="AJ49" s="24">
        <f t="shared" si="11"/>
        <v>0</v>
      </c>
    </row>
    <row r="50" spans="1:36" s="20" customFormat="1" ht="16">
      <c r="B50" s="18" t="s">
        <v>159</v>
      </c>
      <c r="C50" s="18"/>
      <c r="D50" s="18"/>
      <c r="E50" s="59"/>
      <c r="F50" s="18"/>
      <c r="G50" s="24">
        <f>-G206</f>
        <v>0</v>
      </c>
      <c r="H50" s="24">
        <f t="shared" ref="H50:AJ50" si="12">-H206</f>
        <v>0</v>
      </c>
      <c r="I50" s="24">
        <f t="shared" si="12"/>
        <v>0</v>
      </c>
      <c r="J50" s="24">
        <f t="shared" si="12"/>
        <v>0</v>
      </c>
      <c r="K50" s="24">
        <f t="shared" si="12"/>
        <v>0</v>
      </c>
      <c r="L50" s="24">
        <f t="shared" si="12"/>
        <v>0</v>
      </c>
      <c r="M50" s="24">
        <f t="shared" si="12"/>
        <v>0</v>
      </c>
      <c r="N50" s="24">
        <f t="shared" si="12"/>
        <v>0</v>
      </c>
      <c r="O50" s="24">
        <f t="shared" si="12"/>
        <v>0</v>
      </c>
      <c r="P50" s="24">
        <f t="shared" si="12"/>
        <v>0</v>
      </c>
      <c r="Q50" s="24">
        <f t="shared" si="12"/>
        <v>0</v>
      </c>
      <c r="R50" s="24">
        <f t="shared" si="12"/>
        <v>0</v>
      </c>
      <c r="S50" s="24">
        <f t="shared" si="12"/>
        <v>0</v>
      </c>
      <c r="T50" s="24">
        <f t="shared" si="12"/>
        <v>0</v>
      </c>
      <c r="U50" s="24">
        <f t="shared" si="12"/>
        <v>0</v>
      </c>
      <c r="V50" s="24">
        <f t="shared" si="12"/>
        <v>3542585.1457514493</v>
      </c>
      <c r="W50" s="24">
        <f t="shared" si="12"/>
        <v>0</v>
      </c>
      <c r="X50" s="24">
        <f t="shared" si="12"/>
        <v>0</v>
      </c>
      <c r="Y50" s="24">
        <f t="shared" si="12"/>
        <v>0</v>
      </c>
      <c r="Z50" s="24">
        <f t="shared" si="12"/>
        <v>0</v>
      </c>
      <c r="AA50" s="24">
        <f t="shared" si="12"/>
        <v>0</v>
      </c>
      <c r="AB50" s="24">
        <f t="shared" si="12"/>
        <v>0</v>
      </c>
      <c r="AC50" s="24">
        <f t="shared" si="12"/>
        <v>0</v>
      </c>
      <c r="AD50" s="24">
        <f t="shared" si="12"/>
        <v>0</v>
      </c>
      <c r="AE50" s="24">
        <f t="shared" si="12"/>
        <v>2571274.0620270707</v>
      </c>
      <c r="AF50" s="24">
        <f t="shared" si="12"/>
        <v>0</v>
      </c>
      <c r="AG50" s="24">
        <f t="shared" si="12"/>
        <v>0</v>
      </c>
      <c r="AH50" s="24">
        <f t="shared" si="12"/>
        <v>0</v>
      </c>
      <c r="AI50" s="24">
        <f t="shared" si="12"/>
        <v>0</v>
      </c>
      <c r="AJ50" s="24">
        <f t="shared" si="12"/>
        <v>0</v>
      </c>
    </row>
    <row r="51" spans="1:36" s="20" customFormat="1" ht="16">
      <c r="B51" s="21" t="s">
        <v>160</v>
      </c>
      <c r="C51" s="21"/>
      <c r="D51" s="21"/>
      <c r="E51" s="62"/>
      <c r="F51" s="21"/>
      <c r="G51" s="25">
        <f>MIN(G201,0)</f>
        <v>0</v>
      </c>
      <c r="H51" s="25">
        <f t="shared" ref="H51:AJ51" si="13">MIN(H201,0)</f>
        <v>0</v>
      </c>
      <c r="I51" s="25">
        <f t="shared" si="13"/>
        <v>0</v>
      </c>
      <c r="J51" s="25">
        <f t="shared" si="13"/>
        <v>0</v>
      </c>
      <c r="K51" s="25">
        <f t="shared" si="13"/>
        <v>0</v>
      </c>
      <c r="L51" s="25">
        <f t="shared" si="13"/>
        <v>0</v>
      </c>
      <c r="M51" s="25">
        <f t="shared" si="13"/>
        <v>0</v>
      </c>
      <c r="N51" s="25">
        <f t="shared" si="13"/>
        <v>0</v>
      </c>
      <c r="O51" s="25">
        <f t="shared" si="13"/>
        <v>0</v>
      </c>
      <c r="P51" s="25">
        <f t="shared" si="13"/>
        <v>0</v>
      </c>
      <c r="Q51" s="25">
        <f t="shared" si="13"/>
        <v>0</v>
      </c>
      <c r="R51" s="25">
        <f t="shared" si="13"/>
        <v>0</v>
      </c>
      <c r="S51" s="25">
        <f t="shared" si="13"/>
        <v>0</v>
      </c>
      <c r="T51" s="25">
        <f t="shared" si="13"/>
        <v>0</v>
      </c>
      <c r="U51" s="25">
        <f t="shared" si="13"/>
        <v>0</v>
      </c>
      <c r="V51" s="25">
        <f t="shared" si="13"/>
        <v>0</v>
      </c>
      <c r="W51" s="25">
        <f t="shared" si="13"/>
        <v>0</v>
      </c>
      <c r="X51" s="25">
        <f t="shared" si="13"/>
        <v>0</v>
      </c>
      <c r="Y51" s="25">
        <f t="shared" si="13"/>
        <v>0</v>
      </c>
      <c r="Z51" s="25">
        <f t="shared" si="13"/>
        <v>0</v>
      </c>
      <c r="AA51" s="25">
        <f t="shared" si="13"/>
        <v>0</v>
      </c>
      <c r="AB51" s="25">
        <f t="shared" si="13"/>
        <v>0</v>
      </c>
      <c r="AC51" s="25">
        <f t="shared" si="13"/>
        <v>0</v>
      </c>
      <c r="AD51" s="25">
        <f t="shared" si="13"/>
        <v>0</v>
      </c>
      <c r="AE51" s="25">
        <f t="shared" si="13"/>
        <v>0</v>
      </c>
      <c r="AF51" s="25">
        <f t="shared" si="13"/>
        <v>0</v>
      </c>
      <c r="AG51" s="25">
        <f t="shared" si="13"/>
        <v>0</v>
      </c>
      <c r="AH51" s="25">
        <f t="shared" si="13"/>
        <v>0</v>
      </c>
      <c r="AI51" s="25">
        <f t="shared" si="13"/>
        <v>0</v>
      </c>
      <c r="AJ51" s="25">
        <f t="shared" si="13"/>
        <v>0</v>
      </c>
    </row>
    <row r="52" spans="1:36" s="11" customFormat="1" ht="17">
      <c r="A52" s="13"/>
      <c r="B52" s="34" t="s">
        <v>66</v>
      </c>
      <c r="C52" s="34"/>
      <c r="D52" s="34"/>
      <c r="E52" s="302"/>
      <c r="F52" s="302"/>
      <c r="G52" s="27">
        <f>G47+SUM(G49:G51)</f>
        <v>9151149.9270090666</v>
      </c>
      <c r="H52" s="27">
        <f t="shared" ref="H52:AJ52" si="14">H47+SUM(H49:H51)</f>
        <v>8987230.0513078179</v>
      </c>
      <c r="I52" s="27">
        <f t="shared" si="14"/>
        <v>8822814.7902290653</v>
      </c>
      <c r="J52" s="27">
        <f t="shared" si="14"/>
        <v>8657885.4177419525</v>
      </c>
      <c r="K52" s="27">
        <f t="shared" si="14"/>
        <v>8492422.9533280097</v>
      </c>
      <c r="L52" s="27">
        <f t="shared" si="14"/>
        <v>8326408.1574227531</v>
      </c>
      <c r="M52" s="27">
        <f t="shared" si="14"/>
        <v>8159821.5267803427</v>
      </c>
      <c r="N52" s="27">
        <f t="shared" si="14"/>
        <v>7992643.2897599032</v>
      </c>
      <c r="O52" s="27">
        <f t="shared" si="14"/>
        <v>7824853.401532135</v>
      </c>
      <c r="P52" s="27">
        <f t="shared" si="14"/>
        <v>7656431.5392047996</v>
      </c>
      <c r="Q52" s="27">
        <f t="shared" si="14"/>
        <v>7487357.0968656847</v>
      </c>
      <c r="R52" s="27">
        <f t="shared" si="14"/>
        <v>7192725.7000686573</v>
      </c>
      <c r="S52" s="27">
        <f t="shared" si="14"/>
        <v>6649525.2389817955</v>
      </c>
      <c r="T52" s="27">
        <f t="shared" si="14"/>
        <v>6122644.7385083418</v>
      </c>
      <c r="U52" s="27">
        <f t="shared" si="14"/>
        <v>5611570.3287040824</v>
      </c>
      <c r="V52" s="27">
        <f t="shared" si="14"/>
        <v>15715218.088739589</v>
      </c>
      <c r="W52" s="27">
        <f t="shared" si="14"/>
        <v>11663348.732596286</v>
      </c>
      <c r="X52" s="27">
        <f t="shared" si="14"/>
        <v>11196759.004008781</v>
      </c>
      <c r="Y52" s="27">
        <f t="shared" si="14"/>
        <v>10744067.254708955</v>
      </c>
      <c r="Z52" s="27">
        <f t="shared" si="14"/>
        <v>11812259.241697002</v>
      </c>
      <c r="AA52" s="27">
        <f t="shared" si="14"/>
        <v>216718.11476890836</v>
      </c>
      <c r="AB52" s="27">
        <f t="shared" si="14"/>
        <v>185359.10610644519</v>
      </c>
      <c r="AC52" s="27">
        <f t="shared" si="14"/>
        <v>153758.44524126779</v>
      </c>
      <c r="AD52" s="27">
        <f t="shared" si="14"/>
        <v>121907.21253283601</v>
      </c>
      <c r="AE52" s="27">
        <f t="shared" si="14"/>
        <v>2640500.2227965714</v>
      </c>
      <c r="AF52" s="27">
        <f t="shared" si="14"/>
        <v>0</v>
      </c>
      <c r="AG52" s="27">
        <f t="shared" si="14"/>
        <v>0</v>
      </c>
      <c r="AH52" s="27">
        <f t="shared" si="14"/>
        <v>0</v>
      </c>
      <c r="AI52" s="27">
        <f t="shared" si="14"/>
        <v>0</v>
      </c>
      <c r="AJ52" s="27">
        <f t="shared" si="14"/>
        <v>0</v>
      </c>
    </row>
    <row r="53" spans="1:36" s="11" customFormat="1" ht="16">
      <c r="B53" s="16"/>
      <c r="C53" s="16"/>
      <c r="D53" s="16"/>
      <c r="G53" s="35"/>
    </row>
    <row r="54" spans="1:36" s="11" customFormat="1" ht="16">
      <c r="B54" s="12" t="s">
        <v>67</v>
      </c>
      <c r="C54" s="12"/>
      <c r="D54" s="12"/>
      <c r="F54" s="69"/>
      <c r="G54" s="35"/>
    </row>
    <row r="55" spans="1:36" s="11" customFormat="1" ht="16">
      <c r="B55" s="13" t="s">
        <v>231</v>
      </c>
      <c r="C55" s="13"/>
      <c r="D55" s="13"/>
      <c r="F55" s="35">
        <f>-(Inputs!$G$75-Inputs!$G$106-$F$85)</f>
        <v>-79810656.836137891</v>
      </c>
      <c r="G55" s="35">
        <v>0</v>
      </c>
      <c r="H55" s="35">
        <v>0</v>
      </c>
      <c r="I55" s="35">
        <v>0</v>
      </c>
      <c r="J55" s="35">
        <v>0</v>
      </c>
      <c r="K55" s="35">
        <v>0</v>
      </c>
      <c r="L55" s="35">
        <v>0</v>
      </c>
      <c r="M55" s="35">
        <v>0</v>
      </c>
      <c r="N55" s="35">
        <v>0</v>
      </c>
      <c r="O55" s="35">
        <v>0</v>
      </c>
      <c r="P55" s="35">
        <v>0</v>
      </c>
      <c r="Q55" s="35">
        <v>0</v>
      </c>
      <c r="R55" s="35">
        <v>0</v>
      </c>
      <c r="S55" s="35">
        <v>0</v>
      </c>
      <c r="T55" s="35">
        <v>0</v>
      </c>
      <c r="U55" s="35">
        <v>0</v>
      </c>
      <c r="V55" s="35">
        <v>0</v>
      </c>
      <c r="W55" s="35">
        <v>0</v>
      </c>
      <c r="X55" s="35">
        <v>0</v>
      </c>
      <c r="Y55" s="35">
        <v>0</v>
      </c>
      <c r="Z55" s="35">
        <v>0</v>
      </c>
      <c r="AA55" s="35">
        <v>0</v>
      </c>
      <c r="AB55" s="35">
        <v>0</v>
      </c>
      <c r="AC55" s="35">
        <v>0</v>
      </c>
      <c r="AD55" s="35">
        <v>0</v>
      </c>
      <c r="AE55" s="35">
        <v>0</v>
      </c>
      <c r="AF55" s="35">
        <v>0</v>
      </c>
      <c r="AG55" s="35">
        <v>0</v>
      </c>
      <c r="AH55" s="35">
        <v>0</v>
      </c>
      <c r="AI55" s="35">
        <v>0</v>
      </c>
      <c r="AJ55" s="35">
        <v>0</v>
      </c>
    </row>
    <row r="56" spans="1:36" s="11" customFormat="1" ht="16">
      <c r="B56" s="22" t="s">
        <v>66</v>
      </c>
      <c r="C56" s="22"/>
      <c r="D56" s="22"/>
      <c r="E56" s="22"/>
      <c r="F56" s="22"/>
      <c r="G56" s="36">
        <f>G52</f>
        <v>9151149.9270090666</v>
      </c>
      <c r="H56" s="36">
        <f t="shared" ref="H56:AJ56" si="15">H52</f>
        <v>8987230.0513078179</v>
      </c>
      <c r="I56" s="36">
        <f t="shared" si="15"/>
        <v>8822814.7902290653</v>
      </c>
      <c r="J56" s="36">
        <f t="shared" si="15"/>
        <v>8657885.4177419525</v>
      </c>
      <c r="K56" s="36">
        <f t="shared" si="15"/>
        <v>8492422.9533280097</v>
      </c>
      <c r="L56" s="36">
        <f t="shared" si="15"/>
        <v>8326408.1574227531</v>
      </c>
      <c r="M56" s="36">
        <f t="shared" si="15"/>
        <v>8159821.5267803427</v>
      </c>
      <c r="N56" s="36">
        <f t="shared" si="15"/>
        <v>7992643.2897599032</v>
      </c>
      <c r="O56" s="36">
        <f t="shared" si="15"/>
        <v>7824853.401532135</v>
      </c>
      <c r="P56" s="36">
        <f t="shared" si="15"/>
        <v>7656431.5392047996</v>
      </c>
      <c r="Q56" s="36">
        <f t="shared" si="15"/>
        <v>7487357.0968656847</v>
      </c>
      <c r="R56" s="36">
        <f t="shared" si="15"/>
        <v>7192725.7000686573</v>
      </c>
      <c r="S56" s="36">
        <f t="shared" si="15"/>
        <v>6649525.2389817955</v>
      </c>
      <c r="T56" s="36">
        <f t="shared" si="15"/>
        <v>6122644.7385083418</v>
      </c>
      <c r="U56" s="36">
        <f t="shared" si="15"/>
        <v>5611570.3287040824</v>
      </c>
      <c r="V56" s="36">
        <f t="shared" si="15"/>
        <v>15715218.088739589</v>
      </c>
      <c r="W56" s="36">
        <f t="shared" si="15"/>
        <v>11663348.732596286</v>
      </c>
      <c r="X56" s="36">
        <f t="shared" si="15"/>
        <v>11196759.004008781</v>
      </c>
      <c r="Y56" s="36">
        <f t="shared" si="15"/>
        <v>10744067.254708955</v>
      </c>
      <c r="Z56" s="36">
        <f t="shared" si="15"/>
        <v>11812259.241697002</v>
      </c>
      <c r="AA56" s="36">
        <f t="shared" si="15"/>
        <v>216718.11476890836</v>
      </c>
      <c r="AB56" s="36">
        <f t="shared" si="15"/>
        <v>185359.10610644519</v>
      </c>
      <c r="AC56" s="36">
        <f t="shared" si="15"/>
        <v>153758.44524126779</v>
      </c>
      <c r="AD56" s="36">
        <f t="shared" si="15"/>
        <v>121907.21253283601</v>
      </c>
      <c r="AE56" s="36">
        <f t="shared" si="15"/>
        <v>2640500.2227965714</v>
      </c>
      <c r="AF56" s="36">
        <f t="shared" si="15"/>
        <v>0</v>
      </c>
      <c r="AG56" s="36">
        <f t="shared" si="15"/>
        <v>0</v>
      </c>
      <c r="AH56" s="36">
        <f t="shared" si="15"/>
        <v>0</v>
      </c>
      <c r="AI56" s="36">
        <f t="shared" si="15"/>
        <v>0</v>
      </c>
      <c r="AJ56" s="36">
        <f t="shared" si="15"/>
        <v>0</v>
      </c>
    </row>
    <row r="57" spans="1:36" s="11" customFormat="1" ht="17">
      <c r="B57" s="34" t="s">
        <v>113</v>
      </c>
      <c r="C57" s="34"/>
      <c r="D57" s="34"/>
      <c r="E57" s="332"/>
      <c r="F57" s="35">
        <f t="shared" ref="F57:AJ57" si="16">SUM(F55:F56)</f>
        <v>-79810656.836137891</v>
      </c>
      <c r="G57" s="35">
        <f t="shared" si="16"/>
        <v>9151149.9270090666</v>
      </c>
      <c r="H57" s="35">
        <f t="shared" si="16"/>
        <v>8987230.0513078179</v>
      </c>
      <c r="I57" s="35">
        <f t="shared" si="16"/>
        <v>8822814.7902290653</v>
      </c>
      <c r="J57" s="35">
        <f t="shared" si="16"/>
        <v>8657885.4177419525</v>
      </c>
      <c r="K57" s="35">
        <f t="shared" si="16"/>
        <v>8492422.9533280097</v>
      </c>
      <c r="L57" s="35">
        <f t="shared" si="16"/>
        <v>8326408.1574227531</v>
      </c>
      <c r="M57" s="35">
        <f t="shared" si="16"/>
        <v>8159821.5267803427</v>
      </c>
      <c r="N57" s="35">
        <f t="shared" si="16"/>
        <v>7992643.2897599032</v>
      </c>
      <c r="O57" s="35">
        <f t="shared" si="16"/>
        <v>7824853.401532135</v>
      </c>
      <c r="P57" s="35">
        <f t="shared" si="16"/>
        <v>7656431.5392047996</v>
      </c>
      <c r="Q57" s="35">
        <f t="shared" si="16"/>
        <v>7487357.0968656847</v>
      </c>
      <c r="R57" s="35">
        <f t="shared" si="16"/>
        <v>7192725.7000686573</v>
      </c>
      <c r="S57" s="35">
        <f t="shared" si="16"/>
        <v>6649525.2389817955</v>
      </c>
      <c r="T57" s="35">
        <f t="shared" si="16"/>
        <v>6122644.7385083418</v>
      </c>
      <c r="U57" s="35">
        <f t="shared" si="16"/>
        <v>5611570.3287040824</v>
      </c>
      <c r="V57" s="35">
        <f t="shared" si="16"/>
        <v>15715218.088739589</v>
      </c>
      <c r="W57" s="35">
        <f t="shared" si="16"/>
        <v>11663348.732596286</v>
      </c>
      <c r="X57" s="35">
        <f t="shared" si="16"/>
        <v>11196759.004008781</v>
      </c>
      <c r="Y57" s="35">
        <f t="shared" si="16"/>
        <v>10744067.254708955</v>
      </c>
      <c r="Z57" s="35">
        <f t="shared" si="16"/>
        <v>11812259.241697002</v>
      </c>
      <c r="AA57" s="35">
        <f t="shared" si="16"/>
        <v>216718.11476890836</v>
      </c>
      <c r="AB57" s="35">
        <f t="shared" si="16"/>
        <v>185359.10610644519</v>
      </c>
      <c r="AC57" s="35">
        <f t="shared" si="16"/>
        <v>153758.44524126779</v>
      </c>
      <c r="AD57" s="35">
        <f t="shared" si="16"/>
        <v>121907.21253283601</v>
      </c>
      <c r="AE57" s="35">
        <f t="shared" si="16"/>
        <v>2640500.2227965714</v>
      </c>
      <c r="AF57" s="35">
        <f t="shared" si="16"/>
        <v>0</v>
      </c>
      <c r="AG57" s="35">
        <f t="shared" si="16"/>
        <v>0</v>
      </c>
      <c r="AH57" s="35">
        <f t="shared" si="16"/>
        <v>0</v>
      </c>
      <c r="AI57" s="35">
        <f t="shared" si="16"/>
        <v>0</v>
      </c>
      <c r="AJ57" s="35">
        <f t="shared" si="16"/>
        <v>0</v>
      </c>
    </row>
    <row r="58" spans="1:36" s="11" customFormat="1" ht="17">
      <c r="B58" s="37" t="s">
        <v>68</v>
      </c>
      <c r="C58" s="37"/>
      <c r="D58" s="37"/>
      <c r="E58" s="35"/>
      <c r="F58" s="67"/>
      <c r="G58" s="318">
        <f>IF(ISERROR(IRR($F57:G57)),"NA",IRR($F57:G57))</f>
        <v>-0.88533924804305741</v>
      </c>
      <c r="H58" s="318">
        <f>IF(ISERROR(IRR($F57:H57)),"NA",IRR($F57:H57))</f>
        <v>-0.60223803843154156</v>
      </c>
      <c r="I58" s="318">
        <f>IF(ISERROR(IRR($F57:I57)),"NA",IRR($F57:I57))</f>
        <v>-0.39594948892691639</v>
      </c>
      <c r="J58" s="318">
        <f>IF(ISERROR(IRR($F57:J57)),"NA",IRR($F57:J57))</f>
        <v>-0.26126251280311252</v>
      </c>
      <c r="K58" s="318">
        <f>IF(ISERROR(IRR($F57:K57)),"NA",IRR($F57:K57))</f>
        <v>-0.17158357454985407</v>
      </c>
      <c r="L58" s="318">
        <f>IF(ISERROR(IRR($F57:L57)),"NA",IRR($F57:L57))</f>
        <v>-0.1097223286365937</v>
      </c>
      <c r="M58" s="318">
        <f>IF(ISERROR(IRR($F57:M57)),"NA",IRR($F57:M57))</f>
        <v>-6.5595815841775762E-2</v>
      </c>
      <c r="N58" s="318">
        <f>IF(ISERROR(IRR($F57:N57)),"NA",IRR($F57:N57))</f>
        <v>-3.320028020834942E-2</v>
      </c>
      <c r="O58" s="318">
        <f>IF(ISERROR(IRR($F57:O57)),"NA",IRR($F57:O57))</f>
        <v>-8.8343795260483748E-3</v>
      </c>
      <c r="P58" s="318">
        <f>IF(ISERROR(IRR($F57:P57)),"NA",IRR($F57:P57))</f>
        <v>9.8681574965866492E-3</v>
      </c>
      <c r="Q58" s="318">
        <f>IF(ISERROR(IRR($F57:Q57)),"NA",IRR($F57:Q57))</f>
        <v>2.4471553232751742E-2</v>
      </c>
      <c r="R58" s="318">
        <f>IF(ISERROR(IRR($F57:R57)),"NA",IRR($F57:R57))</f>
        <v>3.5859378024150956E-2</v>
      </c>
      <c r="S58" s="318">
        <f>IF(ISERROR(IRR($F57:S57)),"NA",IRR($F57:S57))</f>
        <v>4.4559294812275052E-2</v>
      </c>
      <c r="T58" s="318">
        <f>IF(ISERROR(IRR($F57:T57)),"NA",IRR($F57:T57))</f>
        <v>5.1293642175401777E-2</v>
      </c>
      <c r="U58" s="318">
        <f>IF(ISERROR(IRR($F57:U57)),"NA",IRR($F57:U57))</f>
        <v>5.655626224511745E-2</v>
      </c>
      <c r="V58" s="318">
        <f>IF(ISERROR(IRR($F57:V57)),"NA",IRR($F57:V57))</f>
        <v>6.8307468931788184E-2</v>
      </c>
      <c r="W58" s="318">
        <f>IF(ISERROR(IRR($F57:W57)),"NA",IRR($F57:W57))</f>
        <v>7.5073352813131544E-2</v>
      </c>
      <c r="X58" s="318">
        <f>IF(ISERROR(IRR($F57:X57)),"NA",IRR($F57:X57))</f>
        <v>8.0375989586321639E-2</v>
      </c>
      <c r="Y58" s="318">
        <f>IF(ISERROR(IRR($F57:Y57)),"NA",IRR($F57:Y57))</f>
        <v>8.4599080257821146E-2</v>
      </c>
      <c r="Z58" s="318">
        <f>IF(ISERROR(IRR($F57:Z57)),"NA",IRR($F57:Z57))</f>
        <v>8.8478651661892505E-2</v>
      </c>
      <c r="AA58" s="318">
        <f>IF(ISERROR(IRR($F57:AA57)),"NA",IRR($F57:AA57))</f>
        <v>8.8540933433600699E-2</v>
      </c>
      <c r="AB58" s="318">
        <f>IF(ISERROR(IRR($F57:AB57)),"NA",IRR($F57:AB57))</f>
        <v>8.8589795807547222E-2</v>
      </c>
      <c r="AC58" s="318">
        <f>IF(ISERROR(IRR($F57:AC57)),"NA",IRR($F57:AC57))</f>
        <v>8.8626982727145531E-2</v>
      </c>
      <c r="AD58" s="318">
        <f>IF(ISERROR(IRR($F57:AD57)),"NA",IRR($F57:AD57))</f>
        <v>8.8654039082386227E-2</v>
      </c>
      <c r="AE58" s="318">
        <f>IF(ISERROR(IRR($F57:AE57)),"NA",IRR($F57:AE57))</f>
        <v>8.9187281783869476E-2</v>
      </c>
      <c r="AF58" s="318">
        <f>IF(ISERROR(IRR($F57:AF57)),"NA",IRR($F57:AF57))</f>
        <v>8.9187281783869476E-2</v>
      </c>
      <c r="AG58" s="318">
        <f>IF(ISERROR(IRR($F57:AG57)),"NA",IRR($F57:AG57))</f>
        <v>8.9187281783869476E-2</v>
      </c>
      <c r="AH58" s="318">
        <f>IF(ISERROR(IRR($F57:AH57)),"NA",IRR($F57:AH57))</f>
        <v>8.9187281783869476E-2</v>
      </c>
      <c r="AI58" s="318">
        <f>IF(ISERROR(IRR($F57:AI57)),"NA",IRR($F57:AI57))</f>
        <v>8.9187281783869476E-2</v>
      </c>
      <c r="AJ58" s="318">
        <f>IF(ISERROR(IRR($F57:AJ57)),"NA",IRR($F57:AJ57))</f>
        <v>8.9187281783869476E-2</v>
      </c>
    </row>
    <row r="59" spans="1:36" s="11" customFormat="1" ht="16">
      <c r="B59" s="37"/>
      <c r="C59" s="37"/>
      <c r="D59" s="37"/>
      <c r="E59" s="35"/>
      <c r="F59" s="67"/>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row>
    <row r="60" spans="1:36" s="11" customFormat="1" ht="17">
      <c r="B60" s="717" t="s">
        <v>399</v>
      </c>
      <c r="C60" s="324"/>
      <c r="D60" s="715"/>
      <c r="E60" s="716"/>
      <c r="F60" s="309"/>
      <c r="G60" s="36">
        <f>-G129-G144-G139</f>
        <v>-33285461.034356732</v>
      </c>
      <c r="H60" s="36">
        <f t="shared" ref="H60:AJ60" si="17">-H129-H144-H139</f>
        <v>-27246759.247666191</v>
      </c>
      <c r="I60" s="36">
        <f t="shared" si="17"/>
        <v>-16631584.573785815</v>
      </c>
      <c r="J60" s="36">
        <f t="shared" si="17"/>
        <v>-10797191.984945625</v>
      </c>
      <c r="K60" s="36">
        <f t="shared" si="17"/>
        <v>-10821184.838416796</v>
      </c>
      <c r="L60" s="36">
        <f t="shared" si="17"/>
        <v>-6108796.0243745605</v>
      </c>
      <c r="M60" s="36">
        <f t="shared" si="17"/>
        <v>-1327328.7611907565</v>
      </c>
      <c r="N60" s="36">
        <f t="shared" si="17"/>
        <v>-1321860.9890126437</v>
      </c>
      <c r="O60" s="36">
        <f t="shared" si="17"/>
        <v>-1316508.4109244037</v>
      </c>
      <c r="P60" s="36">
        <f t="shared" si="17"/>
        <v>-1311007.3245447858</v>
      </c>
      <c r="Q60" s="36">
        <f t="shared" si="17"/>
        <v>-1305709.0147788853</v>
      </c>
      <c r="R60" s="36">
        <f t="shared" si="17"/>
        <v>-1291479.3260085548</v>
      </c>
      <c r="S60" s="36">
        <f t="shared" si="17"/>
        <v>-1259836.0312243272</v>
      </c>
      <c r="T60" s="36">
        <f t="shared" si="17"/>
        <v>-1228968.9604825312</v>
      </c>
      <c r="U60" s="36">
        <f t="shared" si="17"/>
        <v>-1199200.9766640847</v>
      </c>
      <c r="V60" s="36">
        <f t="shared" si="17"/>
        <v>-1142747.7792481447</v>
      </c>
      <c r="W60" s="36">
        <f t="shared" si="17"/>
        <v>-1087251.2419774679</v>
      </c>
      <c r="X60" s="36">
        <f t="shared" si="17"/>
        <v>-1060002.6237865339</v>
      </c>
      <c r="Y60" s="36">
        <f t="shared" si="17"/>
        <v>-1033571.4641413277</v>
      </c>
      <c r="Z60" s="36">
        <f t="shared" si="17"/>
        <v>-1118927.9258117937</v>
      </c>
      <c r="AA60" s="36">
        <f t="shared" si="17"/>
        <v>-152560.08206801076</v>
      </c>
      <c r="AB60" s="36">
        <f t="shared" si="17"/>
        <v>-92679.553053222597</v>
      </c>
      <c r="AC60" s="36">
        <f t="shared" si="17"/>
        <v>-76879.222620633896</v>
      </c>
      <c r="AD60" s="36">
        <f t="shared" si="17"/>
        <v>-60953.606266418006</v>
      </c>
      <c r="AE60" s="36">
        <f t="shared" si="17"/>
        <v>-34613.080384750385</v>
      </c>
      <c r="AF60" s="36">
        <f t="shared" si="17"/>
        <v>0</v>
      </c>
      <c r="AG60" s="36">
        <f t="shared" si="17"/>
        <v>0</v>
      </c>
      <c r="AH60" s="36">
        <f t="shared" si="17"/>
        <v>0</v>
      </c>
      <c r="AI60" s="36">
        <f t="shared" si="17"/>
        <v>0</v>
      </c>
      <c r="AJ60" s="36">
        <f t="shared" si="17"/>
        <v>0</v>
      </c>
    </row>
    <row r="61" spans="1:36" s="11" customFormat="1" ht="16">
      <c r="B61" s="16" t="s">
        <v>252</v>
      </c>
      <c r="C61" s="16"/>
      <c r="D61" s="16"/>
      <c r="F61" s="68"/>
      <c r="G61" s="66">
        <f>IF(Inputs!$Q$104="No",0,(G$47+G$60))</f>
        <v>-21566319.336704142</v>
      </c>
      <c r="H61" s="66">
        <f>IF(Inputs!$Q$104="No",0,(H$47+H$60))</f>
        <v>-15511778.001769803</v>
      </c>
      <c r="I61" s="66">
        <f>IF(Inputs!$Q$104="No",0,(I$47+I$60))</f>
        <v>-4868676.0053469799</v>
      </c>
      <c r="J61" s="66">
        <f>IF(Inputs!$Q$104="No",0,(J$47+J$60))</f>
        <v>1006593.7754807808</v>
      </c>
      <c r="K61" s="66">
        <f>IF(Inputs!$Q$104="No",0,(K$47+K$60))</f>
        <v>1037351.4815835785</v>
      </c>
      <c r="L61" s="66">
        <f>IF(Inputs!$Q$104="No",0,(L$47+L$60))</f>
        <v>5819353.4353876235</v>
      </c>
      <c r="M61" s="66">
        <f>IF(Inputs!$Q$104="No",0,(M$47+M$60))</f>
        <v>10686355.959092777</v>
      </c>
      <c r="N61" s="66">
        <f>IF(Inputs!$Q$104="No",0,(N$47+N$60))</f>
        <v>10794415.917795675</v>
      </c>
      <c r="O61" s="66">
        <f>IF(Inputs!$Q$104="No",0,(O$47+O$60))</f>
        <v>10920632.960849537</v>
      </c>
      <c r="P61" s="66">
        <f>IF(Inputs!$Q$104="No",0,(P$47+P$60))</f>
        <v>11066572.342818744</v>
      </c>
      <c r="Q61" s="66">
        <f>IF(Inputs!$Q$104="No",0,(Q$47+Q$60))</f>
        <v>11233276.57921664</v>
      </c>
      <c r="R61" s="66">
        <f>IF(Inputs!$Q$104="No",0,(R$47+R$60))</f>
        <v>11306488.865989033</v>
      </c>
      <c r="S61" s="66">
        <f>IF(Inputs!$Q$104="No",0,(S$47+S$60))</f>
        <v>11173298.674121425</v>
      </c>
      <c r="T61" s="66">
        <f>IF(Inputs!$Q$104="No",0,(T$47+T$60))</f>
        <v>11082137.907035243</v>
      </c>
      <c r="U61" s="66">
        <f>IF(Inputs!$Q$104="No",0,(U$47+U$60))</f>
        <v>11034023.83008009</v>
      </c>
      <c r="V61" s="66">
        <f>IF(Inputs!$Q$104="No",0,(V$47+V$60))</f>
        <v>11029885.163739994</v>
      </c>
      <c r="W61" s="66">
        <f>IF(Inputs!$Q$104="No",0,(W$47+W$60))</f>
        <v>10576097.490618818</v>
      </c>
      <c r="X61" s="66">
        <f>IF(Inputs!$Q$104="No",0,(X$47+X$60))</f>
        <v>10136756.380222248</v>
      </c>
      <c r="Y61" s="66">
        <f>IF(Inputs!$Q$104="No",0,(Y$47+Y$60))</f>
        <v>9710495.7905676272</v>
      </c>
      <c r="Z61" s="66">
        <f>IF(Inputs!$Q$104="No",0,(Z$47+Z$60))</f>
        <v>10693331.315885209</v>
      </c>
      <c r="AA61" s="66">
        <f>IF(Inputs!$Q$104="No",0,(AA$47+AA$60))</f>
        <v>64158.032700897602</v>
      </c>
      <c r="AB61" s="66">
        <f>IF(Inputs!$Q$104="No",0,(AB$47+AB$60))</f>
        <v>92679.553053222597</v>
      </c>
      <c r="AC61" s="66">
        <f>IF(Inputs!$Q$104="No",0,(AC$47+AC$60))</f>
        <v>76879.222620633896</v>
      </c>
      <c r="AD61" s="66">
        <f>IF(Inputs!$Q$104="No",0,(AD$47+AD$60))</f>
        <v>60953.606266418006</v>
      </c>
      <c r="AE61" s="66">
        <f>IF(Inputs!$Q$104="No",0,(AE$47+AE$60))</f>
        <v>34613.080384750385</v>
      </c>
      <c r="AF61" s="66">
        <f>IF(Inputs!$Q$104="No",0,(AF$47+AF$60))</f>
        <v>0</v>
      </c>
      <c r="AG61" s="66">
        <f>IF(Inputs!$Q$104="No",0,(AG$47+AG$60))</f>
        <v>0</v>
      </c>
      <c r="AH61" s="66">
        <f>IF(Inputs!$Q$104="No",0,(AH$47+AH$60))</f>
        <v>0</v>
      </c>
      <c r="AI61" s="66">
        <f>IF(Inputs!$Q$104="No",0,(AI$47+AI$60))</f>
        <v>0</v>
      </c>
      <c r="AJ61" s="66">
        <f>IF(Inputs!$Q$104="No",0,(AJ$47+AJ$60))</f>
        <v>0</v>
      </c>
    </row>
    <row r="62" spans="1:36" s="11" customFormat="1" ht="16">
      <c r="B62" s="34"/>
      <c r="C62" s="34"/>
      <c r="D62" s="34"/>
      <c r="F62" s="68"/>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s="11" customFormat="1" ht="16">
      <c r="B63" s="16" t="s">
        <v>253</v>
      </c>
      <c r="C63" s="16"/>
      <c r="D63" s="16"/>
      <c r="F63" s="310" t="str">
        <f>Inputs!Q106</f>
        <v>As Generated</v>
      </c>
      <c r="G63" s="66">
        <f t="shared" ref="G63:AJ63" si="18">IF($F$63="as generated",G$61,G$157)</f>
        <v>-21566319.336704142</v>
      </c>
      <c r="H63" s="66">
        <f t="shared" si="18"/>
        <v>-15511778.001769803</v>
      </c>
      <c r="I63" s="66">
        <f t="shared" si="18"/>
        <v>-4868676.0053469799</v>
      </c>
      <c r="J63" s="66">
        <f t="shared" si="18"/>
        <v>1006593.7754807808</v>
      </c>
      <c r="K63" s="66">
        <f t="shared" si="18"/>
        <v>1037351.4815835785</v>
      </c>
      <c r="L63" s="66">
        <f t="shared" si="18"/>
        <v>5819353.4353876235</v>
      </c>
      <c r="M63" s="66">
        <f t="shared" si="18"/>
        <v>10686355.959092777</v>
      </c>
      <c r="N63" s="66">
        <f t="shared" si="18"/>
        <v>10794415.917795675</v>
      </c>
      <c r="O63" s="66">
        <f t="shared" si="18"/>
        <v>10920632.960849537</v>
      </c>
      <c r="P63" s="66">
        <f t="shared" si="18"/>
        <v>11066572.342818744</v>
      </c>
      <c r="Q63" s="66">
        <f t="shared" si="18"/>
        <v>11233276.57921664</v>
      </c>
      <c r="R63" s="66">
        <f t="shared" si="18"/>
        <v>11306488.865989033</v>
      </c>
      <c r="S63" s="66">
        <f t="shared" si="18"/>
        <v>11173298.674121425</v>
      </c>
      <c r="T63" s="66">
        <f t="shared" si="18"/>
        <v>11082137.907035243</v>
      </c>
      <c r="U63" s="66">
        <f t="shared" si="18"/>
        <v>11034023.83008009</v>
      </c>
      <c r="V63" s="66">
        <f t="shared" si="18"/>
        <v>11029885.163739994</v>
      </c>
      <c r="W63" s="66">
        <f t="shared" si="18"/>
        <v>10576097.490618818</v>
      </c>
      <c r="X63" s="66">
        <f t="shared" si="18"/>
        <v>10136756.380222248</v>
      </c>
      <c r="Y63" s="66">
        <f t="shared" si="18"/>
        <v>9710495.7905676272</v>
      </c>
      <c r="Z63" s="66">
        <f t="shared" si="18"/>
        <v>10693331.315885209</v>
      </c>
      <c r="AA63" s="66">
        <f t="shared" si="18"/>
        <v>64158.032700897602</v>
      </c>
      <c r="AB63" s="66">
        <f t="shared" si="18"/>
        <v>92679.553053222597</v>
      </c>
      <c r="AC63" s="66">
        <f t="shared" si="18"/>
        <v>76879.222620633896</v>
      </c>
      <c r="AD63" s="66">
        <f t="shared" si="18"/>
        <v>60953.606266418006</v>
      </c>
      <c r="AE63" s="66">
        <f t="shared" si="18"/>
        <v>34613.080384750385</v>
      </c>
      <c r="AF63" s="66">
        <f t="shared" si="18"/>
        <v>0</v>
      </c>
      <c r="AG63" s="66">
        <f t="shared" si="18"/>
        <v>0</v>
      </c>
      <c r="AH63" s="66">
        <f t="shared" si="18"/>
        <v>0</v>
      </c>
      <c r="AI63" s="66">
        <f t="shared" si="18"/>
        <v>0</v>
      </c>
      <c r="AJ63" s="66">
        <f t="shared" si="18"/>
        <v>0</v>
      </c>
    </row>
    <row r="64" spans="1:36" s="11" customFormat="1" ht="16">
      <c r="B64" s="16" t="s">
        <v>254</v>
      </c>
      <c r="C64" s="16"/>
      <c r="D64" s="16"/>
      <c r="F64" s="310" t="str">
        <f>Inputs!Q108</f>
        <v>As Generated</v>
      </c>
      <c r="G64" s="66">
        <f t="shared" ref="G64:AJ64" si="19">IF($F$64="as generated",G$61,G$165)</f>
        <v>-21566319.336704142</v>
      </c>
      <c r="H64" s="66">
        <f t="shared" si="19"/>
        <v>-15511778.001769803</v>
      </c>
      <c r="I64" s="66">
        <f t="shared" si="19"/>
        <v>-4868676.0053469799</v>
      </c>
      <c r="J64" s="66">
        <f t="shared" si="19"/>
        <v>1006593.7754807808</v>
      </c>
      <c r="K64" s="66">
        <f t="shared" si="19"/>
        <v>1037351.4815835785</v>
      </c>
      <c r="L64" s="66">
        <f t="shared" si="19"/>
        <v>5819353.4353876235</v>
      </c>
      <c r="M64" s="66">
        <f t="shared" si="19"/>
        <v>10686355.959092777</v>
      </c>
      <c r="N64" s="66">
        <f t="shared" si="19"/>
        <v>10794415.917795675</v>
      </c>
      <c r="O64" s="66">
        <f t="shared" si="19"/>
        <v>10920632.960849537</v>
      </c>
      <c r="P64" s="66">
        <f t="shared" si="19"/>
        <v>11066572.342818744</v>
      </c>
      <c r="Q64" s="66">
        <f t="shared" si="19"/>
        <v>11233276.57921664</v>
      </c>
      <c r="R64" s="66">
        <f t="shared" si="19"/>
        <v>11306488.865989033</v>
      </c>
      <c r="S64" s="66">
        <f t="shared" si="19"/>
        <v>11173298.674121425</v>
      </c>
      <c r="T64" s="66">
        <f t="shared" si="19"/>
        <v>11082137.907035243</v>
      </c>
      <c r="U64" s="66">
        <f t="shared" si="19"/>
        <v>11034023.83008009</v>
      </c>
      <c r="V64" s="66">
        <f t="shared" si="19"/>
        <v>11029885.163739994</v>
      </c>
      <c r="W64" s="66">
        <f t="shared" si="19"/>
        <v>10576097.490618818</v>
      </c>
      <c r="X64" s="66">
        <f t="shared" si="19"/>
        <v>10136756.380222248</v>
      </c>
      <c r="Y64" s="66">
        <f t="shared" si="19"/>
        <v>9710495.7905676272</v>
      </c>
      <c r="Z64" s="66">
        <f t="shared" si="19"/>
        <v>10693331.315885209</v>
      </c>
      <c r="AA64" s="66">
        <f t="shared" si="19"/>
        <v>64158.032700897602</v>
      </c>
      <c r="AB64" s="66">
        <f t="shared" si="19"/>
        <v>92679.553053222597</v>
      </c>
      <c r="AC64" s="66">
        <f t="shared" si="19"/>
        <v>76879.222620633896</v>
      </c>
      <c r="AD64" s="66">
        <f t="shared" si="19"/>
        <v>60953.606266418006</v>
      </c>
      <c r="AE64" s="66">
        <f t="shared" si="19"/>
        <v>34613.080384750385</v>
      </c>
      <c r="AF64" s="66">
        <f t="shared" si="19"/>
        <v>0</v>
      </c>
      <c r="AG64" s="66">
        <f t="shared" si="19"/>
        <v>0</v>
      </c>
      <c r="AH64" s="66">
        <f t="shared" si="19"/>
        <v>0</v>
      </c>
      <c r="AI64" s="66">
        <f t="shared" si="19"/>
        <v>0</v>
      </c>
      <c r="AJ64" s="66">
        <f t="shared" si="19"/>
        <v>0</v>
      </c>
    </row>
    <row r="65" spans="2:36" s="11" customFormat="1" ht="16">
      <c r="B65" s="308"/>
      <c r="C65" s="308"/>
      <c r="D65" s="308"/>
      <c r="F65" s="68"/>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2:36" s="20" customFormat="1" ht="16">
      <c r="B66" s="18" t="s">
        <v>122</v>
      </c>
      <c r="C66" s="18"/>
      <c r="D66" s="18"/>
      <c r="E66" s="302"/>
      <c r="G66" s="66">
        <f>IF(Inputs!$Q$104="No",0,-(G$63+G$67)*Inputs!$Q$105)</f>
        <v>6906613.7675795015</v>
      </c>
      <c r="H66" s="66">
        <f>IF(Inputs!$Q$104="No",0,-(H$63+H$67)*Inputs!$Q$105)</f>
        <v>4967646.9050667789</v>
      </c>
      <c r="I66" s="66">
        <f>IF(Inputs!$Q$104="No",0,-(I$63+I$67)*Inputs!$Q$105)</f>
        <v>1559193.49071237</v>
      </c>
      <c r="J66" s="66">
        <f>IF(Inputs!$Q$104="No",0,-(J$63+J$67)*Inputs!$Q$105)</f>
        <v>-322361.65659772005</v>
      </c>
      <c r="K66" s="66">
        <f>IF(Inputs!$Q$104="No",0,-(K$63+K$67)*Inputs!$Q$105)</f>
        <v>-332211.81197714101</v>
      </c>
      <c r="L66" s="66">
        <f>IF(Inputs!$Q$104="No",0,-(L$63+L$67)*Inputs!$Q$105)</f>
        <v>-1863647.9376828861</v>
      </c>
      <c r="M66" s="66">
        <f>IF(Inputs!$Q$104="No",0,-(M$63+M$67)*Inputs!$Q$105)</f>
        <v>-3422305.4958994617</v>
      </c>
      <c r="N66" s="66">
        <f>IF(Inputs!$Q$104="No",0,-(N$63+N$67)*Inputs!$Q$105)</f>
        <v>-3456911.6976740644</v>
      </c>
      <c r="O66" s="66">
        <f>IF(Inputs!$Q$104="No",0,-(O$63+O$67)*Inputs!$Q$105)</f>
        <v>-3497332.7057120637</v>
      </c>
      <c r="P66" s="66">
        <f>IF(Inputs!$Q$104="No",0,-(P$63+P$67)*Inputs!$Q$105)</f>
        <v>-3544069.7927877023</v>
      </c>
      <c r="Q66" s="66">
        <f>IF(Inputs!$Q$104="No",0,-(Q$63+Q$67)*Inputs!$Q$105)</f>
        <v>-3597456.8244941286</v>
      </c>
      <c r="R66" s="66">
        <f>IF(Inputs!$Q$104="No",0,-(R$63+R$67)*Inputs!$Q$105)</f>
        <v>-3620903.0593329878</v>
      </c>
      <c r="S66" s="66">
        <f>IF(Inputs!$Q$104="No",0,-(S$63+S$67)*Inputs!$Q$105)</f>
        <v>-3578248.9003873859</v>
      </c>
      <c r="T66" s="66">
        <f>IF(Inputs!$Q$104="No",0,-(T$63+T$67)*Inputs!$Q$105)</f>
        <v>-3549054.6647280362</v>
      </c>
      <c r="U66" s="66">
        <f>IF(Inputs!$Q$104="No",0,-(U$63+U$67)*Inputs!$Q$105)</f>
        <v>-3533646.1315831486</v>
      </c>
      <c r="V66" s="66">
        <f>IF(Inputs!$Q$104="No",0,-(V$63+V$67)*Inputs!$Q$105)</f>
        <v>-3532320.7236877326</v>
      </c>
      <c r="W66" s="66">
        <f>IF(Inputs!$Q$104="No",0,-(W$63+W$67)*Inputs!$Q$105)</f>
        <v>-3386995.2213706761</v>
      </c>
      <c r="X66" s="66">
        <f>IF(Inputs!$Q$104="No",0,-(X$63+X$67)*Inputs!$Q$105)</f>
        <v>-3246296.2307661744</v>
      </c>
      <c r="Y66" s="66">
        <f>IF(Inputs!$Q$104="No",0,-(Y$63+Y$67)*Inputs!$Q$105)</f>
        <v>-3109786.2769292826</v>
      </c>
      <c r="Z66" s="66">
        <f>IF(Inputs!$Q$104="No",0,-(Z$63+Z$67)*Inputs!$Q$105)</f>
        <v>-3424539.353912238</v>
      </c>
      <c r="AA66" s="66">
        <f>IF(Inputs!$Q$104="No",0,-(AA$63+AA$67)*Inputs!$Q$105)</f>
        <v>-20546.609972462455</v>
      </c>
      <c r="AB66" s="66">
        <f>IF(Inputs!$Q$104="No",0,-(AB$63+AB$67)*Inputs!$Q$105)</f>
        <v>-29680.626865294533</v>
      </c>
      <c r="AC66" s="66">
        <f>IF(Inputs!$Q$104="No",0,-(AC$63+AC$67)*Inputs!$Q$105)</f>
        <v>-24620.571044258006</v>
      </c>
      <c r="AD66" s="66">
        <f>IF(Inputs!$Q$104="No",0,-(AD$63+AD$67)*Inputs!$Q$105)</f>
        <v>-19520.392406820363</v>
      </c>
      <c r="AE66" s="66">
        <f>IF(Inputs!$Q$104="No",0,-(AE$63+AE$67)*Inputs!$Q$105)</f>
        <v>-11084.83899321631</v>
      </c>
      <c r="AF66" s="66">
        <f>IF(Inputs!$Q$104="No",0,-(AF$63+AF$67)*Inputs!$Q$105)</f>
        <v>0</v>
      </c>
      <c r="AG66" s="66">
        <f>IF(Inputs!$Q$104="No",0,-(AG$63+AG$67)*Inputs!$Q$105)</f>
        <v>0</v>
      </c>
      <c r="AH66" s="66">
        <f>IF(Inputs!$Q$104="No",0,-(AH$63+AH$67)*Inputs!$Q$105)</f>
        <v>0</v>
      </c>
      <c r="AI66" s="66">
        <f>IF(Inputs!$Q$104="No",0,-(AI$63+AI$67)*Inputs!$Q$105)</f>
        <v>0</v>
      </c>
      <c r="AJ66" s="66">
        <f>IF(Inputs!$Q$104="No",0,-(AJ$63+AJ$67)*Inputs!$Q$105)</f>
        <v>0</v>
      </c>
    </row>
    <row r="67" spans="2:36" s="20" customFormat="1" ht="16">
      <c r="B67" s="18" t="s">
        <v>152</v>
      </c>
      <c r="C67" s="18"/>
      <c r="D67" s="18"/>
      <c r="G67" s="66">
        <f>IF(Inputs!$Q$104="No",0,-(G$64-IF(AND(Inputs!$Q$74="Cash",Inputs!$Q$76="No"),'Cash Flow'!G$21,0))*Inputs!$Q$107)</f>
        <v>1833137.1436198521</v>
      </c>
      <c r="H67" s="66">
        <f>IF(Inputs!$Q$104="No",0,-(H$64-IF(AND(Inputs!$Q$74="Cash",Inputs!$Q$76="No"),'Cash Flow'!H$21,0))*Inputs!$Q$107)</f>
        <v>1318501.1301504334</v>
      </c>
      <c r="I67" s="66">
        <f>IF(Inputs!$Q$104="No",0,-(I$64-IF(AND(Inputs!$Q$74="Cash",Inputs!$Q$76="No"),'Cash Flow'!I$21,0))*Inputs!$Q$107)</f>
        <v>413837.46045449335</v>
      </c>
      <c r="J67" s="66">
        <f>IF(Inputs!$Q$104="No",0,-(J$64-IF(AND(Inputs!$Q$74="Cash",Inputs!$Q$76="No"),'Cash Flow'!J$21,0))*Inputs!$Q$107)</f>
        <v>-85560.470915866375</v>
      </c>
      <c r="K67" s="66">
        <f>IF(Inputs!$Q$104="No",0,-(K$64-IF(AND(Inputs!$Q$74="Cash",Inputs!$Q$76="No"),'Cash Flow'!K$21,0))*Inputs!$Q$107)</f>
        <v>-88174.875934604177</v>
      </c>
      <c r="L67" s="66">
        <f>IF(Inputs!$Q$104="No",0,-(L$64-IF(AND(Inputs!$Q$74="Cash",Inputs!$Q$76="No"),'Cash Flow'!L$21,0))*Inputs!$Q$107)</f>
        <v>-494645.04200794804</v>
      </c>
      <c r="M67" s="66">
        <f>IF(Inputs!$Q$104="No",0,-(M$64-IF(AND(Inputs!$Q$74="Cash",Inputs!$Q$76="No"),'Cash Flow'!M$21,0))*Inputs!$Q$107)</f>
        <v>-908340.25652288611</v>
      </c>
      <c r="N67" s="66">
        <f>IF(Inputs!$Q$104="No",0,-(N$64-IF(AND(Inputs!$Q$74="Cash",Inputs!$Q$76="No"),'Cash Flow'!N$21,0))*Inputs!$Q$107)</f>
        <v>-917525.35301263246</v>
      </c>
      <c r="O67" s="66">
        <f>IF(Inputs!$Q$104="No",0,-(O$64-IF(AND(Inputs!$Q$74="Cash",Inputs!$Q$76="No"),'Cash Flow'!O$21,0))*Inputs!$Q$107)</f>
        <v>-928253.80167221068</v>
      </c>
      <c r="P67" s="66">
        <f>IF(Inputs!$Q$104="No",0,-(P$64-IF(AND(Inputs!$Q$74="Cash",Inputs!$Q$76="No"),'Cash Flow'!P$21,0))*Inputs!$Q$107)</f>
        <v>-940658.64913959336</v>
      </c>
      <c r="Q67" s="66">
        <f>IF(Inputs!$Q$104="No",0,-(Q$64-IF(AND(Inputs!$Q$74="Cash",Inputs!$Q$76="No"),'Cash Flow'!Q$21,0))*Inputs!$Q$107)</f>
        <v>-954828.50923341454</v>
      </c>
      <c r="R67" s="66">
        <f>IF(Inputs!$Q$104="No",0,-(R$64-IF(AND(Inputs!$Q$74="Cash",Inputs!$Q$76="No"),'Cash Flow'!R$21,0))*Inputs!$Q$107)</f>
        <v>-961051.55360906792</v>
      </c>
      <c r="S67" s="66">
        <f>IF(Inputs!$Q$104="No",0,-(S$64-IF(AND(Inputs!$Q$74="Cash",Inputs!$Q$76="No"),'Cash Flow'!S$21,0))*Inputs!$Q$107)</f>
        <v>-949730.38730032113</v>
      </c>
      <c r="T67" s="66">
        <f>IF(Inputs!$Q$104="No",0,-(T$64-IF(AND(Inputs!$Q$74="Cash",Inputs!$Q$76="No"),'Cash Flow'!T$21,0))*Inputs!$Q$107)</f>
        <v>-941981.72209799569</v>
      </c>
      <c r="U67" s="66">
        <f>IF(Inputs!$Q$104="No",0,-(U$64-IF(AND(Inputs!$Q$74="Cash",Inputs!$Q$76="No"),'Cash Flow'!U$21,0))*Inputs!$Q$107)</f>
        <v>-937892.02555680776</v>
      </c>
      <c r="V67" s="66">
        <f>IF(Inputs!$Q$104="No",0,-(V$64-IF(AND(Inputs!$Q$74="Cash",Inputs!$Q$76="No"),'Cash Flow'!V$21,0))*Inputs!$Q$107)</f>
        <v>-937540.23891789955</v>
      </c>
      <c r="W67" s="66">
        <f>IF(Inputs!$Q$104="No",0,-(W$64-IF(AND(Inputs!$Q$74="Cash",Inputs!$Q$76="No"),'Cash Flow'!W$21,0))*Inputs!$Q$107)</f>
        <v>-898968.28670259961</v>
      </c>
      <c r="X67" s="66">
        <f>IF(Inputs!$Q$104="No",0,-(X$64-IF(AND(Inputs!$Q$74="Cash",Inputs!$Q$76="No"),'Cash Flow'!X$21,0))*Inputs!$Q$107)</f>
        <v>-861624.29231889115</v>
      </c>
      <c r="Y67" s="66">
        <f>IF(Inputs!$Q$104="No",0,-(Y$64-IF(AND(Inputs!$Q$74="Cash",Inputs!$Q$76="No"),'Cash Flow'!Y$21,0))*Inputs!$Q$107)</f>
        <v>-825392.14219824842</v>
      </c>
      <c r="Z67" s="66">
        <f>IF(Inputs!$Q$104="No",0,-(Z$64-IF(AND(Inputs!$Q$74="Cash",Inputs!$Q$76="No"),'Cash Flow'!Z$21,0))*Inputs!$Q$107)</f>
        <v>-908933.16185024276</v>
      </c>
      <c r="AA67" s="66">
        <f>IF(Inputs!$Q$104="No",0,-(AA$64-IF(AND(Inputs!$Q$74="Cash",Inputs!$Q$76="No"),'Cash Flow'!AA$21,0))*Inputs!$Q$107)</f>
        <v>-5453.4327795762965</v>
      </c>
      <c r="AB67" s="66">
        <f>IF(Inputs!$Q$104="No",0,-(AB$64-IF(AND(Inputs!$Q$74="Cash",Inputs!$Q$76="No"),'Cash Flow'!AB$21,0))*Inputs!$Q$107)</f>
        <v>-7877.7620095239217</v>
      </c>
      <c r="AC67" s="66">
        <f>IF(Inputs!$Q$104="No",0,-(AC$64-IF(AND(Inputs!$Q$74="Cash",Inputs!$Q$76="No"),'Cash Flow'!AC$21,0))*Inputs!$Q$107)</f>
        <v>-6534.7339227538814</v>
      </c>
      <c r="AD67" s="66">
        <f>IF(Inputs!$Q$104="No",0,-(AD$64-IF(AND(Inputs!$Q$74="Cash",Inputs!$Q$76="No"),'Cash Flow'!AD$21,0))*Inputs!$Q$107)</f>
        <v>-5181.0565326455308</v>
      </c>
      <c r="AE67" s="66">
        <f>IF(Inputs!$Q$104="No",0,-(AE$64-IF(AND(Inputs!$Q$74="Cash",Inputs!$Q$76="No"),'Cash Flow'!AE$21,0))*Inputs!$Q$107)</f>
        <v>-2942.111832703783</v>
      </c>
      <c r="AF67" s="66">
        <f>IF(Inputs!$Q$104="No",0,-(AF$64-IF(AND(Inputs!$Q$74="Cash",Inputs!$Q$76="No"),'Cash Flow'!AF$21,0))*Inputs!$Q$107)</f>
        <v>0</v>
      </c>
      <c r="AG67" s="66">
        <f>IF(Inputs!$Q$104="No",0,-(AG$64-IF(AND(Inputs!$Q$74="Cash",Inputs!$Q$76="No"),'Cash Flow'!AG$21,0))*Inputs!$Q$107)</f>
        <v>0</v>
      </c>
      <c r="AH67" s="66">
        <f>IF(Inputs!$Q$104="No",0,-(AH$64-IF(AND(Inputs!$Q$74="Cash",Inputs!$Q$76="No"),'Cash Flow'!AH$21,0))*Inputs!$Q$107)</f>
        <v>0</v>
      </c>
      <c r="AI67" s="66">
        <f>IF(Inputs!$Q$104="No",0,-(AI$64-IF(AND(Inputs!$Q$74="Cash",Inputs!$Q$76="No"),'Cash Flow'!AI$21,0))*Inputs!$Q$107)</f>
        <v>0</v>
      </c>
      <c r="AJ67" s="66">
        <f>IF(Inputs!$Q$104="No",0,-(AJ$64-IF(AND(Inputs!$Q$74="Cash",Inputs!$Q$76="No"),'Cash Flow'!AJ$21,0))*Inputs!$Q$107)</f>
        <v>0</v>
      </c>
    </row>
    <row r="68" spans="2:36" s="11" customFormat="1" ht="16">
      <c r="B68" s="18" t="s">
        <v>238</v>
      </c>
      <c r="C68" s="18"/>
      <c r="D68" s="18"/>
      <c r="E68" s="302"/>
      <c r="F68" s="20"/>
      <c r="G68" s="24">
        <f>IF(AND(Inputs!$Q$55="Cost-Based",Inputs!$Q$56="Cash Grant",G$2=1),Inputs!$Q$59,IF(Inputs!$Q$106="as generated",'Cash Flow'!G$172,-G$179))</f>
        <v>28296271.507218748</v>
      </c>
      <c r="H68" s="24">
        <f>IF(AND(Inputs!$Q$55="Cost-Based",Inputs!$Q$56="Cash Grant",H$2=1),Inputs!$Q$59,IF(Inputs!$Q$106="as generated",'Cash Flow'!H$172,-H$179))</f>
        <v>0</v>
      </c>
      <c r="I68" s="24">
        <f>IF(AND(Inputs!$Q$55="Cost-Based",Inputs!$Q$56="Cash Grant",I$2=1),Inputs!$Q$59,IF(Inputs!$Q$106="as generated",'Cash Flow'!I$172,-I$179))</f>
        <v>0</v>
      </c>
      <c r="J68" s="24">
        <f>IF(AND(Inputs!$Q$55="Cost-Based",Inputs!$Q$56="Cash Grant",J$2=1),Inputs!$Q$59,IF(Inputs!$Q$106="as generated",'Cash Flow'!J$172,-J$179))</f>
        <v>0</v>
      </c>
      <c r="K68" s="24">
        <f>IF(AND(Inputs!$Q$55="Cost-Based",Inputs!$Q$56="Cash Grant",K$2=1),Inputs!$Q$59,IF(Inputs!$Q$106="as generated",'Cash Flow'!K$172,-K$179))</f>
        <v>0</v>
      </c>
      <c r="L68" s="24">
        <f>IF(AND(Inputs!$Q$55="Cost-Based",Inputs!$Q$56="Cash Grant",L$2=1),Inputs!$Q$59,IF(Inputs!$Q$106="as generated",'Cash Flow'!L$172,-L$179))</f>
        <v>0</v>
      </c>
      <c r="M68" s="24">
        <f>IF(AND(Inputs!$Q$55="Cost-Based",Inputs!$Q$56="Cash Grant",M$2=1),Inputs!$Q$59,IF(Inputs!$Q$106="as generated",'Cash Flow'!M$172,-M$179))</f>
        <v>0</v>
      </c>
      <c r="N68" s="24">
        <f>IF(AND(Inputs!$Q$55="Cost-Based",Inputs!$Q$56="Cash Grant",N$2=1),Inputs!$Q$59,IF(Inputs!$Q$106="as generated",'Cash Flow'!N$172,-N$179))</f>
        <v>0</v>
      </c>
      <c r="O68" s="24">
        <f>IF(AND(Inputs!$Q$55="Cost-Based",Inputs!$Q$56="Cash Grant",O$2=1),Inputs!$Q$59,IF(Inputs!$Q$106="as generated",'Cash Flow'!O$172,-O$179))</f>
        <v>0</v>
      </c>
      <c r="P68" s="24">
        <f>IF(AND(Inputs!$Q$55="Cost-Based",Inputs!$Q$56="Cash Grant",P$2=1),Inputs!$Q$59,IF(Inputs!$Q$106="as generated",'Cash Flow'!P$172,-P$179))</f>
        <v>0</v>
      </c>
      <c r="Q68" s="24">
        <f>IF(AND(Inputs!$Q$55="Cost-Based",Inputs!$Q$56="Cash Grant",Q$2=1),Inputs!$Q$59,IF(Inputs!$Q$106="as generated",'Cash Flow'!Q$172,-Q$179))</f>
        <v>0</v>
      </c>
      <c r="R68" s="24">
        <f>IF(AND(Inputs!$Q$55="Cost-Based",Inputs!$Q$56="Cash Grant",R$2=1),Inputs!$Q$59,IF(Inputs!$Q$106="as generated",'Cash Flow'!R$172,-R$179))</f>
        <v>0</v>
      </c>
      <c r="S68" s="24">
        <f>IF(AND(Inputs!$Q$55="Cost-Based",Inputs!$Q$56="Cash Grant",S$2=1),Inputs!$Q$59,IF(Inputs!$Q$106="as generated",'Cash Flow'!S$172,-S$179))</f>
        <v>0</v>
      </c>
      <c r="T68" s="24">
        <f>IF(AND(Inputs!$Q$55="Cost-Based",Inputs!$Q$56="Cash Grant",T$2=1),Inputs!$Q$59,IF(Inputs!$Q$106="as generated",'Cash Flow'!T$172,-T$179))</f>
        <v>0</v>
      </c>
      <c r="U68" s="24">
        <f>IF(AND(Inputs!$Q$55="Cost-Based",Inputs!$Q$56="Cash Grant",U$2=1),Inputs!$Q$59,IF(Inputs!$Q$106="as generated",'Cash Flow'!U$172,-U$179))</f>
        <v>0</v>
      </c>
      <c r="V68" s="24">
        <f>IF(AND(Inputs!$Q$55="Cost-Based",Inputs!$Q$56="Cash Grant",V$2=1),Inputs!$Q$59,IF(Inputs!$Q$106="as generated",'Cash Flow'!V$172,-V$179))</f>
        <v>0</v>
      </c>
      <c r="W68" s="24">
        <f>IF(AND(Inputs!$Q$55="Cost-Based",Inputs!$Q$56="Cash Grant",W$2=1),Inputs!$Q$59,IF(Inputs!$Q$106="as generated",'Cash Flow'!W$172,-W$179))</f>
        <v>0</v>
      </c>
      <c r="X68" s="24">
        <f>IF(AND(Inputs!$Q$55="Cost-Based",Inputs!$Q$56="Cash Grant",X$2=1),Inputs!$Q$59,IF(Inputs!$Q$106="as generated",'Cash Flow'!X$172,-X$179))</f>
        <v>0</v>
      </c>
      <c r="Y68" s="24">
        <f>IF(AND(Inputs!$Q$55="Cost-Based",Inputs!$Q$56="Cash Grant",Y$2=1),Inputs!$Q$59,IF(Inputs!$Q$106="as generated",'Cash Flow'!Y$172,-Y$179))</f>
        <v>0</v>
      </c>
      <c r="Z68" s="24">
        <f>IF(AND(Inputs!$Q$55="Cost-Based",Inputs!$Q$56="Cash Grant",Z$2=1),Inputs!$Q$59,IF(Inputs!$Q$106="as generated",'Cash Flow'!Z$172,-Z$179))</f>
        <v>0</v>
      </c>
      <c r="AA68" s="24">
        <f>IF(AND(Inputs!$Q$55="Cost-Based",Inputs!$Q$56="Cash Grant",AA$2=1),Inputs!$Q$59,IF(Inputs!$Q$106="as generated",'Cash Flow'!AA$172,-AA$179))</f>
        <v>0</v>
      </c>
      <c r="AB68" s="24">
        <f>IF(AND(Inputs!$Q$55="Cost-Based",Inputs!$Q$56="Cash Grant",AB$2=1),Inputs!$Q$59,IF(Inputs!$Q$106="as generated",'Cash Flow'!AB$172,-AB$179))</f>
        <v>0</v>
      </c>
      <c r="AC68" s="24">
        <f>IF(AND(Inputs!$Q$55="Cost-Based",Inputs!$Q$56="Cash Grant",AC$2=1),Inputs!$Q$59,IF(Inputs!$Q$106="as generated",'Cash Flow'!AC$172,-AC$179))</f>
        <v>0</v>
      </c>
      <c r="AD68" s="24">
        <f>IF(AND(Inputs!$Q$55="Cost-Based",Inputs!$Q$56="Cash Grant",AD$2=1),Inputs!$Q$59,IF(Inputs!$Q$106="as generated",'Cash Flow'!AD$172,-AD$179))</f>
        <v>0</v>
      </c>
      <c r="AE68" s="24">
        <f>IF(AND(Inputs!$Q$55="Cost-Based",Inputs!$Q$56="Cash Grant",AE$2=1),Inputs!$Q$59,IF(Inputs!$Q$106="as generated",'Cash Flow'!AE$172,-AE$179))</f>
        <v>0</v>
      </c>
      <c r="AF68" s="24">
        <f>IF(AND(Inputs!$Q$55="Cost-Based",Inputs!$Q$56="Cash Grant",AF$2=1),Inputs!$Q$59,IF(Inputs!$Q$106="as generated",'Cash Flow'!AF$172,-AF$179))</f>
        <v>0</v>
      </c>
      <c r="AG68" s="24">
        <f>IF(AND(Inputs!$Q$55="Cost-Based",Inputs!$Q$56="Cash Grant",AG$2=1),Inputs!$Q$59,IF(Inputs!$Q$106="as generated",'Cash Flow'!AG$172,-AG$179))</f>
        <v>0</v>
      </c>
      <c r="AH68" s="24">
        <f>IF(AND(Inputs!$Q$55="Cost-Based",Inputs!$Q$56="Cash Grant",AH$2=1),Inputs!$Q$59,IF(Inputs!$Q$106="as generated",'Cash Flow'!AH$172,-AH$179))</f>
        <v>0</v>
      </c>
      <c r="AI68" s="24">
        <f>IF(AND(Inputs!$Q$55="Cost-Based",Inputs!$Q$56="Cash Grant",AI$2=1),Inputs!$Q$59,IF(Inputs!$Q$106="as generated",'Cash Flow'!AI$172,-AI$179))</f>
        <v>0</v>
      </c>
      <c r="AJ68" s="24">
        <f>IF(AND(Inputs!$Q$55="Cost-Based",Inputs!$Q$56="Cash Grant",AJ$2=1),Inputs!$Q$59,IF(Inputs!$Q$106="as generated",'Cash Flow'!AJ$172,-AJ$179))</f>
        <v>0</v>
      </c>
    </row>
    <row r="69" spans="2:36" s="11" customFormat="1" ht="16">
      <c r="B69" s="21" t="s">
        <v>125</v>
      </c>
      <c r="C69" s="21"/>
      <c r="D69" s="21"/>
      <c r="E69" s="303"/>
      <c r="F69" s="22"/>
      <c r="G69" s="25">
        <f>IF(Inputs!$Q$108="as generated",'Cash Flow'!G$186,-G$193)</f>
        <v>0</v>
      </c>
      <c r="H69" s="25">
        <f>IF(Inputs!$Q$108="as generated",'Cash Flow'!H$186,-H$193)</f>
        <v>0</v>
      </c>
      <c r="I69" s="25">
        <f>IF(Inputs!$Q$108="as generated",'Cash Flow'!I$186,-I$193)</f>
        <v>0</v>
      </c>
      <c r="J69" s="25">
        <f>IF(Inputs!$Q$108="as generated",'Cash Flow'!J$186,-J$193)</f>
        <v>0</v>
      </c>
      <c r="K69" s="25">
        <f>IF(Inputs!$Q$108="as generated",'Cash Flow'!K$186,-K$193)</f>
        <v>0</v>
      </c>
      <c r="L69" s="25">
        <f>IF(Inputs!$Q$108="as generated",'Cash Flow'!L$186,-L$193)</f>
        <v>0</v>
      </c>
      <c r="M69" s="25">
        <f>IF(Inputs!$Q$108="as generated",'Cash Flow'!M$186,-M$193)</f>
        <v>0</v>
      </c>
      <c r="N69" s="25">
        <f>IF(Inputs!$Q$108="as generated",'Cash Flow'!N$186,-N$193)</f>
        <v>0</v>
      </c>
      <c r="O69" s="25">
        <f>IF(Inputs!$Q$108="as generated",'Cash Flow'!O$186,-O$193)</f>
        <v>0</v>
      </c>
      <c r="P69" s="25">
        <f>IF(Inputs!$Q$108="as generated",'Cash Flow'!P$186,-P$193)</f>
        <v>0</v>
      </c>
      <c r="Q69" s="25">
        <f>IF(Inputs!$Q$108="as generated",'Cash Flow'!Q$186,-Q$193)</f>
        <v>0</v>
      </c>
      <c r="R69" s="25">
        <f>IF(Inputs!$Q$108="as generated",'Cash Flow'!R$186,-R$193)</f>
        <v>0</v>
      </c>
      <c r="S69" s="25">
        <f>IF(Inputs!$Q$108="as generated",'Cash Flow'!S$186,-S$193)</f>
        <v>0</v>
      </c>
      <c r="T69" s="25">
        <f>IF(Inputs!$Q$108="as generated",'Cash Flow'!T$186,-T$193)</f>
        <v>0</v>
      </c>
      <c r="U69" s="25">
        <f>IF(Inputs!$Q$108="as generated",'Cash Flow'!U$186,-U$193)</f>
        <v>0</v>
      </c>
      <c r="V69" s="25">
        <f>IF(Inputs!$Q$108="as generated",'Cash Flow'!V$186,-V$193)</f>
        <v>0</v>
      </c>
      <c r="W69" s="25">
        <f>IF(Inputs!$Q$108="as generated",'Cash Flow'!W$186,-W$193)</f>
        <v>0</v>
      </c>
      <c r="X69" s="25">
        <f>IF(Inputs!$Q$108="as generated",'Cash Flow'!X$186,-X$193)</f>
        <v>0</v>
      </c>
      <c r="Y69" s="25">
        <f>IF(Inputs!$Q$108="as generated",'Cash Flow'!Y$186,-Y$193)</f>
        <v>0</v>
      </c>
      <c r="Z69" s="25">
        <f>IF(Inputs!$Q$108="as generated",'Cash Flow'!Z$186,-Z$193)</f>
        <v>0</v>
      </c>
      <c r="AA69" s="25">
        <f>IF(Inputs!$Q$108="as generated",'Cash Flow'!AA$186,-AA$193)</f>
        <v>0</v>
      </c>
      <c r="AB69" s="25">
        <f>IF(Inputs!$Q$108="as generated",'Cash Flow'!AB$186,-AB$193)</f>
        <v>0</v>
      </c>
      <c r="AC69" s="25">
        <f>IF(Inputs!$Q$108="as generated",'Cash Flow'!AC$186,-AC$193)</f>
        <v>0</v>
      </c>
      <c r="AD69" s="25">
        <f>IF(Inputs!$Q$108="as generated",'Cash Flow'!AD$186,-AD$193)</f>
        <v>0</v>
      </c>
      <c r="AE69" s="25">
        <f>IF(Inputs!$Q$108="as generated",'Cash Flow'!AE$186,-AE$193)</f>
        <v>0</v>
      </c>
      <c r="AF69" s="25">
        <f>IF(Inputs!$Q$108="as generated",'Cash Flow'!AF$186,-AF$193)</f>
        <v>0</v>
      </c>
      <c r="AG69" s="25">
        <f>IF(Inputs!$Q$108="as generated",'Cash Flow'!AG$186,-AG$193)</f>
        <v>0</v>
      </c>
      <c r="AH69" s="25">
        <f>IF(Inputs!$Q$108="as generated",'Cash Flow'!AH$186,-AH$193)</f>
        <v>0</v>
      </c>
      <c r="AI69" s="25">
        <f>IF(Inputs!$Q$108="as generated",'Cash Flow'!AI$186,-AI$193)</f>
        <v>0</v>
      </c>
      <c r="AJ69" s="25">
        <f>IF(Inputs!$Q$108="as generated",'Cash Flow'!AJ$186,-AJ$193)</f>
        <v>0</v>
      </c>
    </row>
    <row r="70" spans="2:36" s="11" customFormat="1" ht="16">
      <c r="B70" s="16" t="s">
        <v>124</v>
      </c>
      <c r="C70" s="16"/>
      <c r="D70" s="16"/>
      <c r="E70" s="35"/>
      <c r="F70" s="27">
        <f t="shared" ref="F70:AJ70" si="20">F57+SUM(F66:F69)</f>
        <v>-79810656.836137891</v>
      </c>
      <c r="G70" s="27">
        <f>G57+SUM(G66:G69)</f>
        <v>46187172.34542717</v>
      </c>
      <c r="H70" s="27">
        <f t="shared" si="20"/>
        <v>15273378.08652503</v>
      </c>
      <c r="I70" s="27">
        <f t="shared" si="20"/>
        <v>10795845.741395928</v>
      </c>
      <c r="J70" s="27">
        <f t="shared" si="20"/>
        <v>8249963.2902283659</v>
      </c>
      <c r="K70" s="27">
        <f t="shared" si="20"/>
        <v>8072036.2654162645</v>
      </c>
      <c r="L70" s="27">
        <f t="shared" si="20"/>
        <v>5968115.1777319191</v>
      </c>
      <c r="M70" s="27">
        <f t="shared" si="20"/>
        <v>3829175.774357995</v>
      </c>
      <c r="N70" s="27">
        <f t="shared" si="20"/>
        <v>3618206.2390732067</v>
      </c>
      <c r="O70" s="27">
        <f t="shared" si="20"/>
        <v>3399266.8941478608</v>
      </c>
      <c r="P70" s="27">
        <f t="shared" si="20"/>
        <v>3171703.0972775044</v>
      </c>
      <c r="Q70" s="27">
        <f t="shared" si="20"/>
        <v>2935071.7631381415</v>
      </c>
      <c r="R70" s="27">
        <f t="shared" si="20"/>
        <v>2610771.0871266015</v>
      </c>
      <c r="S70" s="27">
        <f t="shared" si="20"/>
        <v>2121545.9512940887</v>
      </c>
      <c r="T70" s="27">
        <f t="shared" si="20"/>
        <v>1631608.35168231</v>
      </c>
      <c r="U70" s="27">
        <f t="shared" si="20"/>
        <v>1140032.1715641264</v>
      </c>
      <c r="V70" s="27">
        <f t="shared" si="20"/>
        <v>11245357.126133956</v>
      </c>
      <c r="W70" s="27">
        <f t="shared" si="20"/>
        <v>7377385.2245230097</v>
      </c>
      <c r="X70" s="27">
        <f t="shared" si="20"/>
        <v>7088838.480923716</v>
      </c>
      <c r="Y70" s="27">
        <f t="shared" si="20"/>
        <v>6808888.8355814237</v>
      </c>
      <c r="Z70" s="27">
        <f t="shared" si="20"/>
        <v>7478786.7259345213</v>
      </c>
      <c r="AA70" s="27">
        <f t="shared" si="20"/>
        <v>190718.07201686961</v>
      </c>
      <c r="AB70" s="27">
        <f t="shared" si="20"/>
        <v>147800.71723162674</v>
      </c>
      <c r="AC70" s="27">
        <f t="shared" si="20"/>
        <v>122603.14027425591</v>
      </c>
      <c r="AD70" s="27">
        <f t="shared" si="20"/>
        <v>97205.763593370124</v>
      </c>
      <c r="AE70" s="27">
        <f t="shared" si="20"/>
        <v>2626473.2719706516</v>
      </c>
      <c r="AF70" s="27">
        <f t="shared" si="20"/>
        <v>0</v>
      </c>
      <c r="AG70" s="27">
        <f t="shared" si="20"/>
        <v>0</v>
      </c>
      <c r="AH70" s="27">
        <f t="shared" si="20"/>
        <v>0</v>
      </c>
      <c r="AI70" s="27">
        <f t="shared" si="20"/>
        <v>0</v>
      </c>
      <c r="AJ70" s="27">
        <f t="shared" si="20"/>
        <v>0</v>
      </c>
    </row>
    <row r="71" spans="2:36" s="11" customFormat="1" ht="17">
      <c r="B71" s="37" t="s">
        <v>123</v>
      </c>
      <c r="C71" s="37"/>
      <c r="D71" s="37"/>
      <c r="E71" s="35"/>
      <c r="F71" s="27"/>
      <c r="G71" s="318">
        <f>IF(ISERROR(IRR($F70:G70)),"NA",IRR($F70:G70))</f>
        <v>-0.42129066247060587</v>
      </c>
      <c r="H71" s="318">
        <f>IF(ISERROR(IRR($F70:H70)),"NA",IRR($F70:H70))</f>
        <v>-0.18614911265064804</v>
      </c>
      <c r="I71" s="318">
        <f>IF(ISERROR(IRR($F70:I70)),"NA",IRR($F70:I70))</f>
        <v>-6.2989715094042609E-2</v>
      </c>
      <c r="J71" s="318">
        <f>IF(ISERROR(IRR($F70:J70)),"NA",IRR($F70:J70))</f>
        <v>4.9358304362570049E-3</v>
      </c>
      <c r="K71" s="318">
        <f>IF(ISERROR(IRR($F70:K70)),"NA",IRR($F70:K70))</f>
        <v>5.3121141511872416E-2</v>
      </c>
      <c r="L71" s="318">
        <f>IF(ISERROR(IRR($F70:L70)),"NA",IRR($F70:L70))</f>
        <v>7.9606414507810586E-2</v>
      </c>
      <c r="M71" s="318">
        <f>IF(ISERROR(IRR($F70:M70)),"NA",IRR($F70:M70))</f>
        <v>9.3060164317027461E-2</v>
      </c>
      <c r="N71" s="318">
        <f>IF(ISERROR(IRR($F70:N70)),"NA",IRR($F70:N70))</f>
        <v>0.10344436209701935</v>
      </c>
      <c r="O71" s="318">
        <f>IF(ISERROR(IRR($F70:O70)),"NA",IRR($F70:O70))</f>
        <v>0.11143797047877513</v>
      </c>
      <c r="P71" s="318">
        <f>IF(ISERROR(IRR($F70:P70)),"NA",IRR($F70:P70))</f>
        <v>0.11758415504127773</v>
      </c>
      <c r="Q71" s="318">
        <f>IF(ISERROR(IRR($F70:Q70)),"NA",IRR($F70:Q70))</f>
        <v>0.12230330240683074</v>
      </c>
      <c r="R71" s="318">
        <f>IF(ISERROR(IRR($F70:R70)),"NA",IRR($F70:R70))</f>
        <v>0.12581434503419664</v>
      </c>
      <c r="S71" s="318">
        <f>IF(ISERROR(IRR($F70:S70)),"NA",IRR($F70:S70))</f>
        <v>0.12822528248063336</v>
      </c>
      <c r="T71" s="318">
        <f>IF(ISERROR(IRR($F70:T70)),"NA",IRR($F70:T70))</f>
        <v>0.12980944487308799</v>
      </c>
      <c r="U71" s="318">
        <f>IF(ISERROR(IRR($F70:U70)),"NA",IRR($F70:U70))</f>
        <v>0.13076463428295404</v>
      </c>
      <c r="V71" s="318">
        <f>IF(ISERROR(IRR($F70:V70)),"NA",IRR($F70:V70))</f>
        <v>0.13833544108065965</v>
      </c>
      <c r="W71" s="318">
        <f>IF(ISERROR(IRR($F70:W70)),"NA",IRR($F70:W70))</f>
        <v>0.14217697691680664</v>
      </c>
      <c r="X71" s="318">
        <f>IF(ISERROR(IRR($F70:X70)),"NA",IRR($F70:X70))</f>
        <v>0.14515766857686718</v>
      </c>
      <c r="Y71" s="318">
        <f>IF(ISERROR(IRR($F70:Y70)),"NA",IRR($F70:Y70))</f>
        <v>0.14749678730623761</v>
      </c>
      <c r="Z71" s="318">
        <f>IF(ISERROR(IRR($F70:Z70)),"NA",IRR($F70:Z70))</f>
        <v>0.1496078751322043</v>
      </c>
      <c r="AA71" s="318">
        <f>IF(ISERROR(IRR($F70:AA70)),"NA",IRR($F70:AA70))</f>
        <v>0.14965336028922871</v>
      </c>
      <c r="AB71" s="318">
        <f>IF(ISERROR(IRR($F70:AB70)),"NA",IRR($F70:AB70))</f>
        <v>0.14968398707852537</v>
      </c>
      <c r="AC71" s="318">
        <f>IF(ISERROR(IRR($F70:AC70)),"NA",IRR($F70:AC70))</f>
        <v>0.14970606668497632</v>
      </c>
      <c r="AD71" s="318">
        <f>IF(ISERROR(IRR($F70:AD70)),"NA",IRR($F70:AD70))</f>
        <v>0.14972128367018578</v>
      </c>
      <c r="AE71" s="318">
        <f>IF(ISERROR(IRR($F70:AE70)),"NA",IRR($F70:AE70))</f>
        <v>0.15007655077733828</v>
      </c>
      <c r="AF71" s="318">
        <f>IF(ISERROR(IRR($F70:AF70)),"NA",IRR($F70:AF70))</f>
        <v>0.15007655077733828</v>
      </c>
      <c r="AG71" s="318">
        <f>IF(ISERROR(IRR($F70:AG70)),"NA",IRR($F70:AG70))</f>
        <v>0.15007655077733828</v>
      </c>
      <c r="AH71" s="318">
        <f>IF(ISERROR(IRR($F70:AH70)),"NA",IRR($F70:AH70))</f>
        <v>0.15007655077733828</v>
      </c>
      <c r="AI71" s="318">
        <f>IF(ISERROR(IRR($F70:AI70)),"NA",IRR($F70:AI70))</f>
        <v>0.15007655077733828</v>
      </c>
      <c r="AJ71" s="318">
        <f>IF(ISERROR(IRR($F70:AJ70)),"NA",IRR($F70:AJ70))</f>
        <v>0.15007655077733828</v>
      </c>
    </row>
    <row r="72" spans="2:36" s="11" customFormat="1" ht="17" thickBot="1">
      <c r="B72" s="16"/>
      <c r="C72" s="16"/>
      <c r="D72" s="16"/>
      <c r="E72" s="39"/>
      <c r="F72" s="331"/>
      <c r="G72" s="331"/>
      <c r="H72" s="331"/>
      <c r="I72" s="331"/>
      <c r="J72" s="331"/>
      <c r="K72" s="331"/>
      <c r="L72" s="331"/>
      <c r="M72" s="331"/>
      <c r="N72" s="27"/>
      <c r="O72" s="27"/>
      <c r="P72" s="27"/>
      <c r="Q72" s="27"/>
      <c r="R72" s="27"/>
      <c r="S72" s="27"/>
      <c r="T72" s="27"/>
      <c r="U72" s="27"/>
      <c r="V72" s="27"/>
      <c r="W72" s="27"/>
      <c r="X72" s="27"/>
      <c r="Y72" s="27"/>
      <c r="Z72" s="27"/>
      <c r="AA72" s="27"/>
      <c r="AB72" s="27"/>
      <c r="AC72" s="27"/>
      <c r="AD72" s="27"/>
      <c r="AE72" s="27"/>
      <c r="AF72" s="27"/>
      <c r="AG72" s="27"/>
      <c r="AH72" s="27"/>
      <c r="AI72" s="27"/>
      <c r="AJ72" s="27"/>
    </row>
    <row r="73" spans="2:36" s="11" customFormat="1" ht="17" thickBot="1">
      <c r="B73" s="912" t="s">
        <v>358</v>
      </c>
      <c r="C73" s="913"/>
      <c r="D73" s="300">
        <f>IRR(F57:AJ57)</f>
        <v>8.9187281783869476E-2</v>
      </c>
      <c r="F73" s="27"/>
      <c r="G73" s="379" t="s">
        <v>154</v>
      </c>
      <c r="H73" s="388"/>
      <c r="I73" s="388"/>
      <c r="J73" s="389"/>
      <c r="K73" s="388"/>
      <c r="L73" s="27"/>
      <c r="O73" s="27"/>
      <c r="P73" s="27"/>
      <c r="Q73" s="27"/>
      <c r="R73" s="27"/>
      <c r="S73" s="27"/>
      <c r="T73" s="27"/>
      <c r="U73" s="27"/>
      <c r="V73" s="27"/>
      <c r="W73" s="27"/>
      <c r="X73" s="27"/>
      <c r="Y73" s="27"/>
      <c r="Z73" s="27"/>
      <c r="AA73" s="27"/>
      <c r="AB73" s="27"/>
      <c r="AC73" s="27"/>
      <c r="AD73" s="27"/>
      <c r="AE73" s="27"/>
      <c r="AF73" s="27"/>
      <c r="AG73" s="27"/>
      <c r="AH73" s="27"/>
      <c r="AI73" s="27"/>
      <c r="AJ73" s="27"/>
    </row>
    <row r="74" spans="2:36" s="11" customFormat="1" ht="17" thickBot="1">
      <c r="B74" s="912" t="s">
        <v>359</v>
      </c>
      <c r="C74" s="913"/>
      <c r="D74" s="300">
        <f>IRR(F70:AJ70)</f>
        <v>0.15007655077733828</v>
      </c>
      <c r="F74" s="27"/>
      <c r="G74" s="381" t="s">
        <v>243</v>
      </c>
      <c r="H74" s="390"/>
      <c r="I74" s="386"/>
      <c r="J74" s="387"/>
      <c r="K74" s="387"/>
      <c r="L74" s="27"/>
      <c r="O74" s="27"/>
      <c r="P74" s="27"/>
      <c r="Q74" s="27"/>
      <c r="R74" s="27"/>
      <c r="S74" s="27"/>
      <c r="T74" s="27"/>
      <c r="U74" s="27"/>
      <c r="V74" s="27"/>
      <c r="W74" s="27"/>
      <c r="X74" s="27"/>
      <c r="Y74" s="27"/>
      <c r="Z74" s="27"/>
      <c r="AA74" s="27"/>
      <c r="AB74" s="27"/>
      <c r="AC74" s="27"/>
      <c r="AD74" s="27"/>
      <c r="AE74" s="27"/>
      <c r="AF74" s="27"/>
      <c r="AG74" s="27"/>
      <c r="AH74" s="27"/>
      <c r="AI74" s="27"/>
      <c r="AJ74" s="27"/>
    </row>
    <row r="75" spans="2:36" s="11" customFormat="1" ht="17" thickBot="1">
      <c r="B75" s="914">
        <f>Inputs!$G$90</f>
        <v>0.15</v>
      </c>
      <c r="C75" s="915"/>
      <c r="D75" s="217">
        <f>NPV(Inputs!$G$90,'Cash Flow'!F70:AJ70)</f>
        <v>15023.611258697145</v>
      </c>
      <c r="G75" s="380">
        <f>AVERAGE(R247:S247)</f>
        <v>18.550000000000008</v>
      </c>
      <c r="H75" s="390"/>
      <c r="I75" s="386"/>
      <c r="J75" s="391"/>
      <c r="K75" s="386"/>
    </row>
    <row r="76" spans="2:36" s="11" customFormat="1" ht="17" thickBot="1">
      <c r="B76" s="40"/>
      <c r="C76" s="40"/>
      <c r="D76" s="40"/>
      <c r="E76" s="41"/>
      <c r="F76" s="315"/>
      <c r="G76" s="301"/>
      <c r="H76" s="315"/>
      <c r="I76" s="315"/>
      <c r="J76" s="315"/>
      <c r="K76" s="315"/>
      <c r="L76" s="315"/>
      <c r="M76" s="315"/>
      <c r="N76" s="315"/>
      <c r="O76" s="315"/>
      <c r="P76" s="315"/>
      <c r="Q76" s="315"/>
      <c r="R76" s="315"/>
      <c r="S76" s="315"/>
      <c r="T76" s="315"/>
      <c r="U76" s="315"/>
      <c r="V76" s="315"/>
      <c r="W76" s="315"/>
      <c r="X76" s="315"/>
      <c r="Y76" s="315"/>
      <c r="Z76" s="315"/>
      <c r="AA76" s="315"/>
      <c r="AB76" s="315"/>
      <c r="AC76" s="315"/>
      <c r="AD76" s="315"/>
      <c r="AE76" s="315"/>
      <c r="AF76" s="315"/>
      <c r="AG76" s="315"/>
      <c r="AH76" s="315"/>
      <c r="AI76" s="315"/>
      <c r="AJ76" s="315"/>
    </row>
    <row r="77" spans="2:36" s="11" customFormat="1" ht="16">
      <c r="B77" s="42"/>
      <c r="C77" s="42"/>
      <c r="D77" s="42"/>
      <c r="E77" s="43"/>
      <c r="F77" s="43"/>
      <c r="G77" s="44"/>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row>
    <row r="78" spans="2:36" s="11" customFormat="1" ht="16">
      <c r="B78" s="45" t="s">
        <v>69</v>
      </c>
      <c r="C78" s="45"/>
      <c r="D78" s="45"/>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row>
    <row r="79" spans="2:36" s="11" customFormat="1" ht="17" thickBot="1">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row>
    <row r="80" spans="2:36" s="11" customFormat="1" ht="16">
      <c r="B80" s="230"/>
      <c r="C80" s="230"/>
      <c r="D80" s="230"/>
      <c r="E80" s="230"/>
      <c r="F80" s="245"/>
      <c r="G80" s="255"/>
      <c r="H80" s="256"/>
      <c r="I80" s="230"/>
      <c r="J80" s="230"/>
      <c r="K80" s="230"/>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row>
    <row r="81" spans="2:36" s="11" customFormat="1" ht="16">
      <c r="B81" s="229" t="s">
        <v>75</v>
      </c>
      <c r="C81" s="229"/>
      <c r="D81" s="229"/>
      <c r="E81" s="230"/>
      <c r="F81" s="230"/>
      <c r="G81" s="230"/>
      <c r="H81" s="230"/>
      <c r="I81" s="230"/>
      <c r="J81" s="230"/>
      <c r="K81" s="230"/>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row>
    <row r="82" spans="2:36" s="11" customFormat="1" ht="16">
      <c r="B82" s="257" t="s">
        <v>77</v>
      </c>
      <c r="C82" s="257"/>
      <c r="D82" s="257"/>
      <c r="E82" s="258"/>
      <c r="F82" s="259"/>
      <c r="G82" s="260"/>
      <c r="H82" s="260"/>
      <c r="I82" s="260"/>
      <c r="J82" s="260"/>
      <c r="K82" s="260"/>
      <c r="L82" s="260"/>
      <c r="M82" s="260"/>
      <c r="N82" s="260"/>
      <c r="O82" s="260"/>
      <c r="P82" s="260"/>
      <c r="Q82" s="260"/>
      <c r="R82" s="260"/>
      <c r="S82" s="260"/>
      <c r="T82" s="260"/>
      <c r="U82" s="260"/>
      <c r="V82" s="260"/>
      <c r="W82" s="260"/>
      <c r="X82" s="260"/>
      <c r="Y82" s="260"/>
      <c r="Z82" s="260"/>
      <c r="AA82" s="260"/>
      <c r="AB82" s="260"/>
      <c r="AC82" s="260"/>
      <c r="AD82" s="260"/>
      <c r="AE82" s="260"/>
      <c r="AF82" s="260"/>
      <c r="AG82" s="260"/>
      <c r="AH82" s="260"/>
      <c r="AI82" s="260"/>
      <c r="AJ82" s="260"/>
    </row>
    <row r="83" spans="2:36" s="11" customFormat="1" ht="16">
      <c r="B83" s="258" t="s">
        <v>78</v>
      </c>
      <c r="C83" s="258"/>
      <c r="D83" s="258"/>
      <c r="E83" s="258"/>
      <c r="F83" s="259">
        <f>IF(Inputs!$G$20="Simple",Inputs!$G$75-Inputs!$G$106,IF(Inputs!$G$20="Intermediate",Inputs!G32+Inputs!G49+Inputs!G64+Inputs!G65+Inputs!G67-Inputs!G106,Inputs!G32+'Complex Inputs'!C48+'Complex Inputs'!C73+'Complex Inputs'!C99))</f>
        <v>129062243.453125</v>
      </c>
      <c r="G83" s="260"/>
      <c r="H83" s="260"/>
      <c r="I83" s="260"/>
      <c r="J83" s="260"/>
      <c r="K83" s="260"/>
      <c r="L83" s="260"/>
      <c r="M83" s="260"/>
      <c r="N83" s="260"/>
      <c r="O83" s="260"/>
      <c r="P83" s="260"/>
      <c r="Q83" s="260"/>
      <c r="R83" s="260"/>
      <c r="S83" s="260"/>
      <c r="T83" s="260"/>
      <c r="U83" s="260"/>
      <c r="V83" s="260"/>
      <c r="W83" s="260"/>
      <c r="X83" s="260"/>
      <c r="Y83" s="260"/>
      <c r="Z83" s="260"/>
      <c r="AA83" s="260"/>
      <c r="AB83" s="260"/>
      <c r="AC83" s="260"/>
      <c r="AD83" s="260"/>
      <c r="AE83" s="260"/>
      <c r="AF83" s="260"/>
      <c r="AG83" s="260"/>
      <c r="AH83" s="260"/>
      <c r="AI83" s="260"/>
      <c r="AJ83" s="260"/>
    </row>
    <row r="84" spans="2:36" s="11" customFormat="1" ht="16">
      <c r="B84" s="258" t="s">
        <v>79</v>
      </c>
      <c r="C84" s="258"/>
      <c r="D84" s="258"/>
      <c r="E84" s="258"/>
      <c r="F84" s="261">
        <f>Inputs!$G$79</f>
        <v>0.5</v>
      </c>
      <c r="G84" s="260"/>
      <c r="H84" s="260"/>
      <c r="I84" s="260"/>
      <c r="J84" s="260"/>
      <c r="K84" s="260"/>
      <c r="L84" s="260"/>
      <c r="M84" s="260"/>
      <c r="N84" s="260"/>
      <c r="O84" s="260"/>
      <c r="P84" s="260"/>
      <c r="Q84" s="260"/>
      <c r="R84" s="260"/>
      <c r="S84" s="260"/>
      <c r="T84" s="260"/>
      <c r="U84" s="260"/>
      <c r="V84" s="260"/>
      <c r="W84" s="260"/>
      <c r="X84" s="260"/>
      <c r="Y84" s="260"/>
      <c r="Z84" s="260"/>
      <c r="AA84" s="260"/>
      <c r="AB84" s="260"/>
      <c r="AC84" s="260"/>
      <c r="AD84" s="260"/>
      <c r="AE84" s="260"/>
      <c r="AF84" s="260"/>
      <c r="AG84" s="260"/>
      <c r="AH84" s="260"/>
      <c r="AI84" s="260"/>
      <c r="AJ84" s="260"/>
    </row>
    <row r="85" spans="2:36" s="11" customFormat="1" ht="16">
      <c r="B85" s="258" t="s">
        <v>76</v>
      </c>
      <c r="C85" s="258"/>
      <c r="D85" s="258"/>
      <c r="E85" s="258"/>
      <c r="F85" s="262">
        <f>F83*F84</f>
        <v>64531121.7265625</v>
      </c>
      <c r="G85" s="260"/>
      <c r="H85" s="260"/>
      <c r="I85" s="260"/>
      <c r="J85" s="260"/>
      <c r="K85" s="260"/>
      <c r="L85" s="260"/>
      <c r="M85" s="260"/>
      <c r="N85" s="260"/>
      <c r="O85" s="260"/>
      <c r="P85" s="260"/>
      <c r="Q85" s="260"/>
      <c r="R85" s="260"/>
      <c r="S85" s="260"/>
      <c r="T85" s="260"/>
      <c r="U85" s="260"/>
      <c r="V85" s="260"/>
      <c r="W85" s="260"/>
      <c r="X85" s="260"/>
      <c r="Y85" s="260"/>
      <c r="Z85" s="260"/>
      <c r="AA85" s="260"/>
      <c r="AB85" s="260"/>
      <c r="AC85" s="260"/>
      <c r="AD85" s="260"/>
      <c r="AE85" s="260"/>
      <c r="AF85" s="260"/>
      <c r="AG85" s="260"/>
      <c r="AH85" s="260"/>
      <c r="AI85" s="260"/>
      <c r="AJ85" s="260"/>
    </row>
    <row r="86" spans="2:36" s="11" customFormat="1" ht="16">
      <c r="B86" s="263"/>
      <c r="C86" s="263"/>
      <c r="D86" s="263"/>
      <c r="E86" s="263"/>
      <c r="F86" s="264"/>
      <c r="G86" s="260"/>
      <c r="H86" s="260"/>
      <c r="I86" s="260"/>
      <c r="J86" s="260"/>
      <c r="K86" s="260"/>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row>
    <row r="87" spans="2:36" s="11" customFormat="1" ht="16">
      <c r="B87" s="257" t="s">
        <v>110</v>
      </c>
      <c r="C87" s="257"/>
      <c r="D87" s="257"/>
      <c r="E87" s="257"/>
      <c r="F87" s="264"/>
      <c r="G87" s="260"/>
      <c r="H87" s="260"/>
      <c r="I87" s="260"/>
      <c r="J87" s="260"/>
      <c r="K87" s="260"/>
      <c r="L87" s="260"/>
      <c r="M87" s="260"/>
      <c r="N87" s="260"/>
      <c r="O87" s="260"/>
      <c r="P87" s="260"/>
      <c r="Q87" s="260"/>
      <c r="R87" s="260"/>
      <c r="S87" s="260"/>
      <c r="T87" s="260"/>
      <c r="U87" s="260"/>
      <c r="V87" s="260"/>
      <c r="W87" s="260"/>
      <c r="X87" s="260"/>
      <c r="Y87" s="260"/>
      <c r="Z87" s="260"/>
      <c r="AA87" s="260"/>
      <c r="AB87" s="260"/>
      <c r="AC87" s="260"/>
      <c r="AD87" s="260"/>
      <c r="AE87" s="260"/>
      <c r="AF87" s="260"/>
      <c r="AG87" s="260"/>
      <c r="AH87" s="260"/>
      <c r="AI87" s="260"/>
      <c r="AJ87" s="260"/>
    </row>
    <row r="88" spans="2:36" s="11" customFormat="1" ht="16">
      <c r="B88" s="265" t="s">
        <v>85</v>
      </c>
      <c r="C88" s="265"/>
      <c r="D88" s="265"/>
      <c r="E88" s="265"/>
      <c r="F88" s="266">
        <v>0</v>
      </c>
      <c r="G88" s="267">
        <f>SUM(G89:G90)</f>
        <v>-7085170.2915028986</v>
      </c>
      <c r="H88" s="267">
        <f t="shared" ref="H88:AJ88" si="21">SUM(H89:H90)</f>
        <v>-7085170.2915028995</v>
      </c>
      <c r="I88" s="267">
        <f t="shared" si="21"/>
        <v>-7085170.2915028986</v>
      </c>
      <c r="J88" s="267">
        <f t="shared" si="21"/>
        <v>-7085170.2915028995</v>
      </c>
      <c r="K88" s="267">
        <f t="shared" si="21"/>
        <v>-7085170.2915028995</v>
      </c>
      <c r="L88" s="267">
        <f t="shared" si="21"/>
        <v>-7085170.2915028986</v>
      </c>
      <c r="M88" s="267">
        <f t="shared" si="21"/>
        <v>-7085170.2915028995</v>
      </c>
      <c r="N88" s="267">
        <f t="shared" si="21"/>
        <v>-7085170.2915029004</v>
      </c>
      <c r="O88" s="267">
        <f t="shared" si="21"/>
        <v>-7085170.2915029004</v>
      </c>
      <c r="P88" s="267">
        <f t="shared" si="21"/>
        <v>-7085170.2915029004</v>
      </c>
      <c r="Q88" s="267">
        <f t="shared" si="21"/>
        <v>-7085170.2915028995</v>
      </c>
      <c r="R88" s="267">
        <f t="shared" si="21"/>
        <v>-7085170.2915028995</v>
      </c>
      <c r="S88" s="267">
        <f t="shared" si="21"/>
        <v>-7085170.2915029004</v>
      </c>
      <c r="T88" s="267">
        <f t="shared" si="21"/>
        <v>-7085170.2915029004</v>
      </c>
      <c r="U88" s="267">
        <f t="shared" si="21"/>
        <v>-7085170.2915028995</v>
      </c>
      <c r="V88" s="267">
        <f t="shared" si="21"/>
        <v>0</v>
      </c>
      <c r="W88" s="267">
        <f t="shared" si="21"/>
        <v>0</v>
      </c>
      <c r="X88" s="267">
        <f t="shared" si="21"/>
        <v>0</v>
      </c>
      <c r="Y88" s="267">
        <f t="shared" si="21"/>
        <v>0</v>
      </c>
      <c r="Z88" s="267">
        <f t="shared" si="21"/>
        <v>0</v>
      </c>
      <c r="AA88" s="267">
        <f t="shared" si="21"/>
        <v>0</v>
      </c>
      <c r="AB88" s="267">
        <f t="shared" si="21"/>
        <v>0</v>
      </c>
      <c r="AC88" s="267">
        <f t="shared" si="21"/>
        <v>0</v>
      </c>
      <c r="AD88" s="267">
        <f t="shared" si="21"/>
        <v>0</v>
      </c>
      <c r="AE88" s="267">
        <f t="shared" si="21"/>
        <v>0</v>
      </c>
      <c r="AF88" s="267">
        <f t="shared" si="21"/>
        <v>0</v>
      </c>
      <c r="AG88" s="267">
        <f t="shared" si="21"/>
        <v>0</v>
      </c>
      <c r="AH88" s="267">
        <f t="shared" si="21"/>
        <v>0</v>
      </c>
      <c r="AI88" s="267">
        <f t="shared" si="21"/>
        <v>0</v>
      </c>
      <c r="AJ88" s="267">
        <f t="shared" si="21"/>
        <v>0</v>
      </c>
    </row>
    <row r="89" spans="2:36" s="20" customFormat="1" ht="16">
      <c r="B89" s="268" t="s">
        <v>83</v>
      </c>
      <c r="C89" s="268"/>
      <c r="D89" s="268"/>
      <c r="E89" s="268"/>
      <c r="F89" s="266">
        <v>0</v>
      </c>
      <c r="G89" s="267">
        <f>IF(G$2&gt;Inputs!$G$80,0,IPMT(Inputs!$G$81,G$2,Inputs!$G$80,$F$85))</f>
        <v>-4517178.5208593756</v>
      </c>
      <c r="H89" s="267">
        <f>IF(H$2&gt;Inputs!$G$80,0,IPMT(Inputs!$G$81,H$2,Inputs!$G$80,$F$85))</f>
        <v>-4337419.0969143296</v>
      </c>
      <c r="I89" s="267">
        <f>IF(I$2&gt;Inputs!$G$80,0,IPMT(Inputs!$G$81,I$2,Inputs!$G$80,$F$85))</f>
        <v>-4145076.5132931289</v>
      </c>
      <c r="J89" s="267">
        <f>IF(J$2&gt;Inputs!$G$80,0,IPMT(Inputs!$G$81,J$2,Inputs!$G$80,$F$85))</f>
        <v>-3939269.9488184457</v>
      </c>
      <c r="K89" s="267">
        <f>IF(K$2&gt;Inputs!$G$80,0,IPMT(Inputs!$G$81,K$2,Inputs!$G$80,$F$85))</f>
        <v>-3719056.9248305336</v>
      </c>
      <c r="L89" s="267">
        <f>IF(L$2&gt;Inputs!$G$80,0,IPMT(Inputs!$G$81,L$2,Inputs!$G$80,$F$85))</f>
        <v>-3483428.9891634677</v>
      </c>
      <c r="M89" s="267">
        <f>IF(M$2&gt;Inputs!$G$80,0,IPMT(Inputs!$G$81,M$2,Inputs!$G$80,$F$85))</f>
        <v>-3231307.0979997083</v>
      </c>
      <c r="N89" s="267">
        <f>IF(N$2&gt;Inputs!$G$80,0,IPMT(Inputs!$G$81,N$2,Inputs!$G$80,$F$85))</f>
        <v>-2961536.6744544846</v>
      </c>
      <c r="O89" s="267">
        <f>IF(O$2&gt;Inputs!$G$80,0,IPMT(Inputs!$G$81,O$2,Inputs!$G$80,$F$85))</f>
        <v>-2672882.3212610953</v>
      </c>
      <c r="P89" s="267">
        <f>IF(P$2&gt;Inputs!$G$80,0,IPMT(Inputs!$G$81,P$2,Inputs!$G$80,$F$85))</f>
        <v>-2364022.1633441695</v>
      </c>
      <c r="Q89" s="267">
        <f>IF(Q$2&gt;Inputs!$G$80,0,IPMT(Inputs!$G$81,Q$2,Inputs!$G$80,$F$85))</f>
        <v>-2033541.7943730578</v>
      </c>
      <c r="R89" s="267">
        <f>IF(R$2&gt;Inputs!$G$80,0,IPMT(Inputs!$G$81,R$2,Inputs!$G$80,$F$85))</f>
        <v>-1679927.7995739689</v>
      </c>
      <c r="S89" s="267">
        <f>IF(S$2&gt;Inputs!$G$80,0,IPMT(Inputs!$G$81,S$2,Inputs!$G$80,$F$85))</f>
        <v>-1301560.8251389437</v>
      </c>
      <c r="T89" s="267">
        <f>IF(T$2&gt;Inputs!$G$80,0,IPMT(Inputs!$G$81,T$2,Inputs!$G$80,$F$85))</f>
        <v>-896708.16249346698</v>
      </c>
      <c r="U89" s="267">
        <f>IF(U$2&gt;Inputs!$G$80,0,IPMT(Inputs!$G$81,U$2,Inputs!$G$80,$F$85))</f>
        <v>-463515.81346280657</v>
      </c>
      <c r="V89" s="267">
        <f>IF(V$2&gt;Inputs!$G$80,0,IPMT(Inputs!$G$81,V$2,Inputs!$G$80,$F$85))</f>
        <v>0</v>
      </c>
      <c r="W89" s="267">
        <f>IF(W$2&gt;Inputs!$G$80,0,IPMT(Inputs!$G$81,W$2,Inputs!$G$80,$F$85))</f>
        <v>0</v>
      </c>
      <c r="X89" s="267">
        <f>IF(X$2&gt;Inputs!$G$80,0,IPMT(Inputs!$G$81,X$2,Inputs!$G$80,$F$85))</f>
        <v>0</v>
      </c>
      <c r="Y89" s="267">
        <f>IF(Y$2&gt;Inputs!$G$80,0,IPMT(Inputs!$G$81,Y$2,Inputs!$G$80,$F$85))</f>
        <v>0</v>
      </c>
      <c r="Z89" s="267">
        <f>IF(Z$2&gt;Inputs!$G$80,0,IPMT(Inputs!$G$81,Z$2,Inputs!$G$80,$F$85))</f>
        <v>0</v>
      </c>
      <c r="AA89" s="267">
        <f>IF(AA$2&gt;Inputs!$G$80,0,IPMT(Inputs!$G$81,AA$2,Inputs!$G$80,$F$85))</f>
        <v>0</v>
      </c>
      <c r="AB89" s="267">
        <f>IF(AB$2&gt;Inputs!$G$80,0,IPMT(Inputs!$G$81,AB$2,Inputs!$G$80,$F$85))</f>
        <v>0</v>
      </c>
      <c r="AC89" s="267">
        <f>IF(AC$2&gt;Inputs!$G$80,0,IPMT(Inputs!$G$81,AC$2,Inputs!$G$80,$F$85))</f>
        <v>0</v>
      </c>
      <c r="AD89" s="267">
        <f>IF(AD$2&gt;Inputs!$G$80,0,IPMT(Inputs!$G$81,AD$2,Inputs!$G$80,$F$85))</f>
        <v>0</v>
      </c>
      <c r="AE89" s="267">
        <f>IF(AE$2&gt;Inputs!$G$80,0,IPMT(Inputs!$G$81,AE$2,Inputs!$G$80,$F$85))</f>
        <v>0</v>
      </c>
      <c r="AF89" s="267">
        <f>IF(AF$2&gt;Inputs!$G$80,0,IPMT(Inputs!$G$81,AF$2,Inputs!$G$80,$F$85))</f>
        <v>0</v>
      </c>
      <c r="AG89" s="267">
        <f>IF(AG$2&gt;Inputs!$G$80,0,IPMT(Inputs!$G$81,AG$2,Inputs!$G$80,$F$85))</f>
        <v>0</v>
      </c>
      <c r="AH89" s="267">
        <f>IF(AH$2&gt;Inputs!$G$80,0,IPMT(Inputs!$G$81,AH$2,Inputs!$G$80,$F$85))</f>
        <v>0</v>
      </c>
      <c r="AI89" s="267">
        <f>IF(AI$2&gt;Inputs!$G$80,0,IPMT(Inputs!$G$81,AI$2,Inputs!$G$80,$F$85))</f>
        <v>0</v>
      </c>
      <c r="AJ89" s="267">
        <f>IF(AJ$2&gt;Inputs!$G$80,0,IPMT(Inputs!$G$81,AJ$2,Inputs!$G$80,$F$85))</f>
        <v>0</v>
      </c>
    </row>
    <row r="90" spans="2:36" s="11" customFormat="1" ht="16">
      <c r="B90" s="265" t="s">
        <v>84</v>
      </c>
      <c r="C90" s="265"/>
      <c r="D90" s="265"/>
      <c r="E90" s="265"/>
      <c r="F90" s="269">
        <f>MIN(MAX(0,F88-F89),F$93)</f>
        <v>0</v>
      </c>
      <c r="G90" s="267">
        <f>IF(G$2&gt;Inputs!$G$80,0,PPMT(Inputs!$G$81,G$2,Inputs!$G$80,$F$85))</f>
        <v>-2567991.7706435234</v>
      </c>
      <c r="H90" s="267">
        <f>IF(H$2&gt;Inputs!$G$80,0,PPMT(Inputs!$G$81,H$2,Inputs!$G$80,$F$85))</f>
        <v>-2747751.1945885699</v>
      </c>
      <c r="I90" s="267">
        <f>IF(I$2&gt;Inputs!$G$80,0,PPMT(Inputs!$G$81,I$2,Inputs!$G$80,$F$85))</f>
        <v>-2940093.7782097701</v>
      </c>
      <c r="J90" s="267">
        <f>IF(J$2&gt;Inputs!$G$80,0,PPMT(Inputs!$G$81,J$2,Inputs!$G$80,$F$85))</f>
        <v>-3145900.3426844538</v>
      </c>
      <c r="K90" s="267">
        <f>IF(K$2&gt;Inputs!$G$80,0,PPMT(Inputs!$G$81,K$2,Inputs!$G$80,$F$85))</f>
        <v>-3366113.3666723659</v>
      </c>
      <c r="L90" s="267">
        <f>IF(L$2&gt;Inputs!$G$80,0,PPMT(Inputs!$G$81,L$2,Inputs!$G$80,$F$85))</f>
        <v>-3601741.3023394314</v>
      </c>
      <c r="M90" s="267">
        <f>IF(M$2&gt;Inputs!$G$80,0,PPMT(Inputs!$G$81,M$2,Inputs!$G$80,$F$85))</f>
        <v>-3853863.1935031912</v>
      </c>
      <c r="N90" s="267">
        <f>IF(N$2&gt;Inputs!$G$80,0,PPMT(Inputs!$G$81,N$2,Inputs!$G$80,$F$85))</f>
        <v>-4123633.6170484154</v>
      </c>
      <c r="O90" s="267">
        <f>IF(O$2&gt;Inputs!$G$80,0,PPMT(Inputs!$G$81,O$2,Inputs!$G$80,$F$85))</f>
        <v>-4412287.9702418046</v>
      </c>
      <c r="P90" s="267">
        <f>IF(P$2&gt;Inputs!$G$80,0,PPMT(Inputs!$G$81,P$2,Inputs!$G$80,$F$85))</f>
        <v>-4721148.1281587305</v>
      </c>
      <c r="Q90" s="267">
        <f>IF(Q$2&gt;Inputs!$G$80,0,PPMT(Inputs!$G$81,Q$2,Inputs!$G$80,$F$85))</f>
        <v>-5051628.4971298417</v>
      </c>
      <c r="R90" s="267">
        <f>IF(R$2&gt;Inputs!$G$80,0,PPMT(Inputs!$G$81,R$2,Inputs!$G$80,$F$85))</f>
        <v>-5405242.4919289304</v>
      </c>
      <c r="S90" s="267">
        <f>IF(S$2&gt;Inputs!$G$80,0,PPMT(Inputs!$G$81,S$2,Inputs!$G$80,$F$85))</f>
        <v>-5783609.4663639562</v>
      </c>
      <c r="T90" s="267">
        <f>IF(T$2&gt;Inputs!$G$80,0,PPMT(Inputs!$G$81,T$2,Inputs!$G$80,$F$85))</f>
        <v>-6188462.1290094331</v>
      </c>
      <c r="U90" s="267">
        <f>IF(U$2&gt;Inputs!$G$80,0,PPMT(Inputs!$G$81,U$2,Inputs!$G$80,$F$85))</f>
        <v>-6621654.4780400926</v>
      </c>
      <c r="V90" s="267">
        <f>IF(V$2&gt;Inputs!$G$80,0,PPMT(Inputs!$G$81,V$2,Inputs!$G$80,$F$85))</f>
        <v>0</v>
      </c>
      <c r="W90" s="267">
        <f>IF(W$2&gt;Inputs!$G$80,0,PPMT(Inputs!$G$81,W$2,Inputs!$G$80,$F$85))</f>
        <v>0</v>
      </c>
      <c r="X90" s="267">
        <f>IF(X$2&gt;Inputs!$G$80,0,PPMT(Inputs!$G$81,X$2,Inputs!$G$80,$F$85))</f>
        <v>0</v>
      </c>
      <c r="Y90" s="267">
        <f>IF(Y$2&gt;Inputs!$G$80,0,PPMT(Inputs!$G$81,Y$2,Inputs!$G$80,$F$85))</f>
        <v>0</v>
      </c>
      <c r="Z90" s="267">
        <f>IF(Z$2&gt;Inputs!$G$80,0,PPMT(Inputs!$G$81,Z$2,Inputs!$G$80,$F$85))</f>
        <v>0</v>
      </c>
      <c r="AA90" s="267">
        <f>IF(AA$2&gt;Inputs!$G$80,0,PPMT(Inputs!$G$81,AA$2,Inputs!$G$80,$F$85))</f>
        <v>0</v>
      </c>
      <c r="AB90" s="267">
        <f>IF(AB$2&gt;Inputs!$G$80,0,PPMT(Inputs!$G$81,AB$2,Inputs!$G$80,$F$85))</f>
        <v>0</v>
      </c>
      <c r="AC90" s="267">
        <f>IF(AC$2&gt;Inputs!$G$80,0,PPMT(Inputs!$G$81,AC$2,Inputs!$G$80,$F$85))</f>
        <v>0</v>
      </c>
      <c r="AD90" s="267">
        <f>IF(AD$2&gt;Inputs!$G$80,0,PPMT(Inputs!$G$81,AD$2,Inputs!$G$80,$F$85))</f>
        <v>0</v>
      </c>
      <c r="AE90" s="267">
        <f>IF(AE$2&gt;Inputs!$G$80,0,PPMT(Inputs!$G$81,AE$2,Inputs!$G$80,$F$85))</f>
        <v>0</v>
      </c>
      <c r="AF90" s="267">
        <f>IF(AF$2&gt;Inputs!$G$80,0,PPMT(Inputs!$G$81,AF$2,Inputs!$G$80,$F$85))</f>
        <v>0</v>
      </c>
      <c r="AG90" s="267">
        <f>IF(AG$2&gt;Inputs!$G$80,0,PPMT(Inputs!$G$81,AG$2,Inputs!$G$80,$F$85))</f>
        <v>0</v>
      </c>
      <c r="AH90" s="267">
        <f>IF(AH$2&gt;Inputs!$G$80,0,PPMT(Inputs!$G$81,AH$2,Inputs!$G$80,$F$85))</f>
        <v>0</v>
      </c>
      <c r="AI90" s="267">
        <f>IF(AI$2&gt;Inputs!$G$80,0,PPMT(Inputs!$G$81,AI$2,Inputs!$G$80,$F$85))</f>
        <v>0</v>
      </c>
      <c r="AJ90" s="267">
        <f>IF(AJ$2&gt;Inputs!$G$80,0,PPMT(Inputs!$G$81,AJ$2,Inputs!$G$80,$F$85))</f>
        <v>0</v>
      </c>
    </row>
    <row r="91" spans="2:36" s="11" customFormat="1" ht="16">
      <c r="B91" s="257"/>
      <c r="C91" s="257"/>
      <c r="D91" s="257"/>
      <c r="E91" s="257"/>
      <c r="F91" s="264"/>
      <c r="G91" s="260"/>
      <c r="H91" s="260"/>
      <c r="I91" s="260"/>
      <c r="J91" s="260"/>
      <c r="K91" s="260"/>
      <c r="L91" s="260"/>
      <c r="M91" s="260"/>
      <c r="N91" s="260"/>
      <c r="O91" s="260"/>
      <c r="P91" s="260"/>
      <c r="Q91" s="260"/>
      <c r="R91" s="260"/>
      <c r="S91" s="260"/>
      <c r="T91" s="260"/>
      <c r="U91" s="260"/>
      <c r="V91" s="260"/>
      <c r="W91" s="260"/>
      <c r="X91" s="260"/>
      <c r="Y91" s="260"/>
      <c r="Z91" s="260"/>
      <c r="AA91" s="260"/>
      <c r="AB91" s="260"/>
      <c r="AC91" s="260"/>
      <c r="AD91" s="260"/>
      <c r="AE91" s="260"/>
      <c r="AF91" s="260"/>
      <c r="AG91" s="260"/>
      <c r="AH91" s="260"/>
      <c r="AI91" s="260"/>
      <c r="AJ91" s="260"/>
    </row>
    <row r="92" spans="2:36" s="11" customFormat="1" ht="16">
      <c r="B92" s="257" t="s">
        <v>109</v>
      </c>
      <c r="C92" s="257"/>
      <c r="D92" s="257"/>
      <c r="E92" s="258"/>
      <c r="F92" s="270"/>
      <c r="G92" s="270"/>
      <c r="H92" s="270"/>
      <c r="I92" s="270"/>
      <c r="J92" s="270"/>
      <c r="K92" s="270"/>
      <c r="L92" s="270"/>
      <c r="M92" s="270"/>
      <c r="N92" s="270"/>
      <c r="O92" s="270"/>
      <c r="P92" s="270"/>
      <c r="Q92" s="270"/>
      <c r="R92" s="270"/>
      <c r="S92" s="270"/>
      <c r="T92" s="270"/>
      <c r="U92" s="270"/>
      <c r="V92" s="270"/>
      <c r="W92" s="270"/>
      <c r="X92" s="270"/>
      <c r="Y92" s="270"/>
      <c r="Z92" s="270"/>
      <c r="AA92" s="270"/>
      <c r="AB92" s="270"/>
      <c r="AC92" s="270"/>
      <c r="AD92" s="270"/>
      <c r="AE92" s="270"/>
      <c r="AF92" s="270"/>
      <c r="AG92" s="270"/>
      <c r="AH92" s="270"/>
      <c r="AI92" s="270"/>
      <c r="AJ92" s="270"/>
    </row>
    <row r="93" spans="2:36" s="11" customFormat="1" ht="16">
      <c r="B93" s="265" t="s">
        <v>80</v>
      </c>
      <c r="C93" s="265"/>
      <c r="D93" s="265"/>
      <c r="E93" s="265"/>
      <c r="F93" s="271">
        <v>0</v>
      </c>
      <c r="G93" s="269">
        <f t="shared" ref="G93:AJ93" si="22">F96</f>
        <v>64531121.7265625</v>
      </c>
      <c r="H93" s="269">
        <f t="shared" si="22"/>
        <v>61963129.955918975</v>
      </c>
      <c r="I93" s="269">
        <f t="shared" si="22"/>
        <v>59215378.761330403</v>
      </c>
      <c r="J93" s="269">
        <f t="shared" si="22"/>
        <v>56275284.983120635</v>
      </c>
      <c r="K93" s="269">
        <f t="shared" si="22"/>
        <v>53129384.64043618</v>
      </c>
      <c r="L93" s="269">
        <f t="shared" si="22"/>
        <v>49763271.273763813</v>
      </c>
      <c r="M93" s="269">
        <f t="shared" si="22"/>
        <v>46161529.971424378</v>
      </c>
      <c r="N93" s="269">
        <f t="shared" si="22"/>
        <v>42307666.777921185</v>
      </c>
      <c r="O93" s="269">
        <f t="shared" si="22"/>
        <v>38184033.160872772</v>
      </c>
      <c r="P93" s="269">
        <f t="shared" si="22"/>
        <v>33771745.190630965</v>
      </c>
      <c r="Q93" s="269">
        <f t="shared" si="22"/>
        <v>29050597.062472235</v>
      </c>
      <c r="R93" s="269">
        <f t="shared" si="22"/>
        <v>23998968.565342393</v>
      </c>
      <c r="S93" s="269">
        <f t="shared" si="22"/>
        <v>18593726.073413461</v>
      </c>
      <c r="T93" s="269">
        <f t="shared" si="22"/>
        <v>12810116.607049506</v>
      </c>
      <c r="U93" s="269">
        <f t="shared" si="22"/>
        <v>6621654.4780400731</v>
      </c>
      <c r="V93" s="269">
        <f t="shared" si="22"/>
        <v>-1.9557774066925049E-8</v>
      </c>
      <c r="W93" s="269">
        <f t="shared" si="22"/>
        <v>-1.9557774066925049E-8</v>
      </c>
      <c r="X93" s="269">
        <f t="shared" si="22"/>
        <v>-1.9557774066925049E-8</v>
      </c>
      <c r="Y93" s="269">
        <f t="shared" si="22"/>
        <v>-1.9557774066925049E-8</v>
      </c>
      <c r="Z93" s="269">
        <f t="shared" si="22"/>
        <v>-1.9557774066925049E-8</v>
      </c>
      <c r="AA93" s="269">
        <f t="shared" si="22"/>
        <v>-1.9557774066925049E-8</v>
      </c>
      <c r="AB93" s="269">
        <f t="shared" si="22"/>
        <v>-1.9557774066925049E-8</v>
      </c>
      <c r="AC93" s="269">
        <f t="shared" si="22"/>
        <v>-1.9557774066925049E-8</v>
      </c>
      <c r="AD93" s="269">
        <f t="shared" si="22"/>
        <v>-1.9557774066925049E-8</v>
      </c>
      <c r="AE93" s="269">
        <f t="shared" si="22"/>
        <v>-1.9557774066925049E-8</v>
      </c>
      <c r="AF93" s="269">
        <f t="shared" si="22"/>
        <v>-1.9557774066925049E-8</v>
      </c>
      <c r="AG93" s="269">
        <f t="shared" si="22"/>
        <v>-1.9557774066925049E-8</v>
      </c>
      <c r="AH93" s="269">
        <f t="shared" si="22"/>
        <v>-1.9557774066925049E-8</v>
      </c>
      <c r="AI93" s="269">
        <f t="shared" si="22"/>
        <v>-1.9557774066925049E-8</v>
      </c>
      <c r="AJ93" s="269">
        <f t="shared" si="22"/>
        <v>-1.9557774066925049E-8</v>
      </c>
    </row>
    <row r="94" spans="2:36" s="11" customFormat="1" ht="16">
      <c r="B94" s="265" t="s">
        <v>81</v>
      </c>
      <c r="C94" s="265"/>
      <c r="D94" s="265"/>
      <c r="E94" s="265"/>
      <c r="F94" s="269">
        <f>$F$85</f>
        <v>64531121.7265625</v>
      </c>
      <c r="G94" s="271">
        <v>0</v>
      </c>
      <c r="H94" s="271">
        <v>0</v>
      </c>
      <c r="I94" s="271">
        <v>0</v>
      </c>
      <c r="J94" s="271">
        <v>0</v>
      </c>
      <c r="K94" s="271">
        <v>0</v>
      </c>
      <c r="L94" s="271">
        <v>0</v>
      </c>
      <c r="M94" s="271">
        <v>0</v>
      </c>
      <c r="N94" s="271">
        <v>0</v>
      </c>
      <c r="O94" s="271">
        <v>0</v>
      </c>
      <c r="P94" s="271">
        <v>0</v>
      </c>
      <c r="Q94" s="271">
        <v>0</v>
      </c>
      <c r="R94" s="271">
        <v>0</v>
      </c>
      <c r="S94" s="271">
        <v>0</v>
      </c>
      <c r="T94" s="271">
        <v>0</v>
      </c>
      <c r="U94" s="271">
        <v>0</v>
      </c>
      <c r="V94" s="271">
        <v>0</v>
      </c>
      <c r="W94" s="271">
        <v>0</v>
      </c>
      <c r="X94" s="271">
        <v>0</v>
      </c>
      <c r="Y94" s="271">
        <v>0</v>
      </c>
      <c r="Z94" s="271">
        <v>0</v>
      </c>
      <c r="AA94" s="271">
        <v>0</v>
      </c>
      <c r="AB94" s="271">
        <v>0</v>
      </c>
      <c r="AC94" s="271">
        <v>0</v>
      </c>
      <c r="AD94" s="271">
        <v>0</v>
      </c>
      <c r="AE94" s="271">
        <v>0</v>
      </c>
      <c r="AF94" s="271">
        <v>0</v>
      </c>
      <c r="AG94" s="271">
        <v>0</v>
      </c>
      <c r="AH94" s="271">
        <v>0</v>
      </c>
      <c r="AI94" s="271">
        <v>0</v>
      </c>
      <c r="AJ94" s="271">
        <v>0</v>
      </c>
    </row>
    <row r="95" spans="2:36" s="11" customFormat="1" ht="16">
      <c r="B95" s="265" t="s">
        <v>108</v>
      </c>
      <c r="C95" s="265"/>
      <c r="D95" s="265"/>
      <c r="E95" s="265"/>
      <c r="F95" s="272">
        <v>0</v>
      </c>
      <c r="G95" s="273">
        <f t="shared" ref="G95:AJ95" si="23">G90</f>
        <v>-2567991.7706435234</v>
      </c>
      <c r="H95" s="273">
        <f t="shared" si="23"/>
        <v>-2747751.1945885699</v>
      </c>
      <c r="I95" s="273">
        <f t="shared" si="23"/>
        <v>-2940093.7782097701</v>
      </c>
      <c r="J95" s="273">
        <f t="shared" si="23"/>
        <v>-3145900.3426844538</v>
      </c>
      <c r="K95" s="273">
        <f t="shared" si="23"/>
        <v>-3366113.3666723659</v>
      </c>
      <c r="L95" s="273">
        <f t="shared" si="23"/>
        <v>-3601741.3023394314</v>
      </c>
      <c r="M95" s="273">
        <f t="shared" si="23"/>
        <v>-3853863.1935031912</v>
      </c>
      <c r="N95" s="273">
        <f t="shared" si="23"/>
        <v>-4123633.6170484154</v>
      </c>
      <c r="O95" s="273">
        <f t="shared" si="23"/>
        <v>-4412287.9702418046</v>
      </c>
      <c r="P95" s="273">
        <f t="shared" si="23"/>
        <v>-4721148.1281587305</v>
      </c>
      <c r="Q95" s="273">
        <f t="shared" si="23"/>
        <v>-5051628.4971298417</v>
      </c>
      <c r="R95" s="273">
        <f t="shared" si="23"/>
        <v>-5405242.4919289304</v>
      </c>
      <c r="S95" s="273">
        <f t="shared" si="23"/>
        <v>-5783609.4663639562</v>
      </c>
      <c r="T95" s="273">
        <f t="shared" si="23"/>
        <v>-6188462.1290094331</v>
      </c>
      <c r="U95" s="273">
        <f t="shared" si="23"/>
        <v>-6621654.4780400926</v>
      </c>
      <c r="V95" s="273">
        <f t="shared" si="23"/>
        <v>0</v>
      </c>
      <c r="W95" s="273">
        <f t="shared" si="23"/>
        <v>0</v>
      </c>
      <c r="X95" s="273">
        <f t="shared" si="23"/>
        <v>0</v>
      </c>
      <c r="Y95" s="273">
        <f t="shared" si="23"/>
        <v>0</v>
      </c>
      <c r="Z95" s="273">
        <f t="shared" si="23"/>
        <v>0</v>
      </c>
      <c r="AA95" s="273">
        <f t="shared" si="23"/>
        <v>0</v>
      </c>
      <c r="AB95" s="273">
        <f t="shared" si="23"/>
        <v>0</v>
      </c>
      <c r="AC95" s="273">
        <f t="shared" si="23"/>
        <v>0</v>
      </c>
      <c r="AD95" s="273">
        <f t="shared" si="23"/>
        <v>0</v>
      </c>
      <c r="AE95" s="273">
        <f t="shared" si="23"/>
        <v>0</v>
      </c>
      <c r="AF95" s="273">
        <f t="shared" si="23"/>
        <v>0</v>
      </c>
      <c r="AG95" s="273">
        <f t="shared" si="23"/>
        <v>0</v>
      </c>
      <c r="AH95" s="273">
        <f t="shared" si="23"/>
        <v>0</v>
      </c>
      <c r="AI95" s="273">
        <f t="shared" si="23"/>
        <v>0</v>
      </c>
      <c r="AJ95" s="273">
        <f t="shared" si="23"/>
        <v>0</v>
      </c>
    </row>
    <row r="96" spans="2:36" s="11" customFormat="1" ht="16">
      <c r="B96" s="265" t="s">
        <v>82</v>
      </c>
      <c r="C96" s="265"/>
      <c r="D96" s="265"/>
      <c r="E96" s="265"/>
      <c r="F96" s="269">
        <f t="shared" ref="F96:AJ96" si="24">SUM(F93:F95)</f>
        <v>64531121.7265625</v>
      </c>
      <c r="G96" s="269">
        <f t="shared" si="24"/>
        <v>61963129.955918975</v>
      </c>
      <c r="H96" s="269">
        <f t="shared" si="24"/>
        <v>59215378.761330403</v>
      </c>
      <c r="I96" s="269">
        <f t="shared" si="24"/>
        <v>56275284.983120635</v>
      </c>
      <c r="J96" s="269">
        <f t="shared" si="24"/>
        <v>53129384.64043618</v>
      </c>
      <c r="K96" s="269">
        <f t="shared" si="24"/>
        <v>49763271.273763813</v>
      </c>
      <c r="L96" s="269">
        <f t="shared" si="24"/>
        <v>46161529.971424378</v>
      </c>
      <c r="M96" s="269">
        <f t="shared" si="24"/>
        <v>42307666.777921185</v>
      </c>
      <c r="N96" s="269">
        <f t="shared" si="24"/>
        <v>38184033.160872772</v>
      </c>
      <c r="O96" s="269">
        <f t="shared" si="24"/>
        <v>33771745.190630965</v>
      </c>
      <c r="P96" s="269">
        <f t="shared" si="24"/>
        <v>29050597.062472235</v>
      </c>
      <c r="Q96" s="269">
        <f t="shared" si="24"/>
        <v>23998968.565342393</v>
      </c>
      <c r="R96" s="269">
        <f t="shared" si="24"/>
        <v>18593726.073413461</v>
      </c>
      <c r="S96" s="269">
        <f t="shared" si="24"/>
        <v>12810116.607049506</v>
      </c>
      <c r="T96" s="269">
        <f t="shared" si="24"/>
        <v>6621654.4780400731</v>
      </c>
      <c r="U96" s="269">
        <f t="shared" si="24"/>
        <v>-1.9557774066925049E-8</v>
      </c>
      <c r="V96" s="269">
        <f t="shared" si="24"/>
        <v>-1.9557774066925049E-8</v>
      </c>
      <c r="W96" s="269">
        <f t="shared" si="24"/>
        <v>-1.9557774066925049E-8</v>
      </c>
      <c r="X96" s="269">
        <f t="shared" si="24"/>
        <v>-1.9557774066925049E-8</v>
      </c>
      <c r="Y96" s="269">
        <f t="shared" si="24"/>
        <v>-1.9557774066925049E-8</v>
      </c>
      <c r="Z96" s="269">
        <f t="shared" si="24"/>
        <v>-1.9557774066925049E-8</v>
      </c>
      <c r="AA96" s="269">
        <f t="shared" si="24"/>
        <v>-1.9557774066925049E-8</v>
      </c>
      <c r="AB96" s="269">
        <f t="shared" si="24"/>
        <v>-1.9557774066925049E-8</v>
      </c>
      <c r="AC96" s="269">
        <f t="shared" si="24"/>
        <v>-1.9557774066925049E-8</v>
      </c>
      <c r="AD96" s="269">
        <f t="shared" si="24"/>
        <v>-1.9557774066925049E-8</v>
      </c>
      <c r="AE96" s="269">
        <f t="shared" si="24"/>
        <v>-1.9557774066925049E-8</v>
      </c>
      <c r="AF96" s="269">
        <f t="shared" si="24"/>
        <v>-1.9557774066925049E-8</v>
      </c>
      <c r="AG96" s="269">
        <f t="shared" si="24"/>
        <v>-1.9557774066925049E-8</v>
      </c>
      <c r="AH96" s="269">
        <f t="shared" si="24"/>
        <v>-1.9557774066925049E-8</v>
      </c>
      <c r="AI96" s="269">
        <f t="shared" si="24"/>
        <v>-1.9557774066925049E-8</v>
      </c>
      <c r="AJ96" s="269">
        <f t="shared" si="24"/>
        <v>-1.9557774066925049E-8</v>
      </c>
    </row>
    <row r="97" spans="2:36" s="11" customFormat="1" ht="17" thickBot="1">
      <c r="B97" s="252"/>
      <c r="C97" s="252"/>
      <c r="D97" s="252"/>
      <c r="E97" s="252"/>
      <c r="F97" s="252"/>
      <c r="G97" s="252"/>
      <c r="H97" s="252"/>
      <c r="I97" s="252"/>
      <c r="J97" s="252"/>
      <c r="K97" s="252"/>
      <c r="L97" s="252"/>
      <c r="M97" s="252"/>
      <c r="N97" s="252"/>
      <c r="O97" s="252"/>
      <c r="P97" s="252"/>
      <c r="Q97" s="252"/>
      <c r="R97" s="252"/>
      <c r="S97" s="252"/>
      <c r="T97" s="252"/>
      <c r="U97" s="252"/>
      <c r="V97" s="252"/>
      <c r="W97" s="252"/>
      <c r="X97" s="252"/>
      <c r="Y97" s="252"/>
      <c r="Z97" s="252"/>
      <c r="AA97" s="252"/>
      <c r="AB97" s="252"/>
      <c r="AC97" s="252"/>
      <c r="AD97" s="252"/>
      <c r="AE97" s="252"/>
      <c r="AF97" s="252"/>
      <c r="AG97" s="252"/>
      <c r="AH97" s="252"/>
      <c r="AI97" s="252"/>
      <c r="AJ97" s="252"/>
    </row>
    <row r="98" spans="2:36">
      <c r="B98" s="274"/>
      <c r="C98" s="274"/>
      <c r="D98" s="274"/>
      <c r="E98" s="274"/>
      <c r="F98" s="274"/>
      <c r="G98" s="274"/>
      <c r="H98" s="274"/>
      <c r="I98" s="274"/>
      <c r="J98" s="274"/>
      <c r="K98" s="274"/>
      <c r="L98" s="274"/>
      <c r="M98" s="274"/>
      <c r="N98" s="274"/>
      <c r="O98" s="274"/>
      <c r="P98" s="274"/>
      <c r="Q98" s="274"/>
      <c r="R98" s="274"/>
      <c r="S98" s="274"/>
      <c r="T98" s="274"/>
      <c r="U98" s="274"/>
      <c r="V98" s="274"/>
      <c r="W98" s="274"/>
      <c r="X98" s="274"/>
      <c r="Y98" s="274"/>
      <c r="Z98" s="274"/>
      <c r="AA98" s="274"/>
      <c r="AB98" s="274"/>
      <c r="AC98" s="274"/>
      <c r="AD98" s="274"/>
      <c r="AE98" s="274"/>
      <c r="AF98" s="274"/>
      <c r="AG98" s="274"/>
      <c r="AH98" s="274"/>
      <c r="AI98" s="274"/>
      <c r="AJ98" s="274"/>
    </row>
    <row r="99" spans="2:36" s="11" customFormat="1" ht="16">
      <c r="B99" s="229" t="s">
        <v>132</v>
      </c>
      <c r="C99" s="911" t="s">
        <v>350</v>
      </c>
      <c r="D99" s="911"/>
      <c r="E99" s="911"/>
      <c r="F99" s="230"/>
      <c r="G99" s="230"/>
      <c r="H99" s="230"/>
      <c r="I99" s="230"/>
      <c r="J99" s="230"/>
      <c r="K99" s="230"/>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row>
    <row r="100" spans="2:36" s="11" customFormat="1" ht="16">
      <c r="B100" s="230" t="s">
        <v>114</v>
      </c>
      <c r="C100" s="231" t="s">
        <v>351</v>
      </c>
      <c r="D100" s="231" t="s">
        <v>352</v>
      </c>
      <c r="E100" s="231" t="s">
        <v>353</v>
      </c>
      <c r="F100" s="231">
        <v>0</v>
      </c>
      <c r="G100" s="231">
        <v>1</v>
      </c>
      <c r="H100" s="231">
        <v>2</v>
      </c>
      <c r="I100" s="231">
        <v>3</v>
      </c>
      <c r="J100" s="231">
        <v>4</v>
      </c>
      <c r="K100" s="231">
        <v>5</v>
      </c>
      <c r="L100" s="231">
        <v>6</v>
      </c>
      <c r="M100" s="231">
        <v>7</v>
      </c>
      <c r="N100" s="231">
        <v>8</v>
      </c>
      <c r="O100" s="231">
        <v>9</v>
      </c>
      <c r="P100" s="231">
        <v>10</v>
      </c>
      <c r="Q100" s="231">
        <v>11</v>
      </c>
      <c r="R100" s="231">
        <v>12</v>
      </c>
      <c r="S100" s="231">
        <v>13</v>
      </c>
      <c r="T100" s="231">
        <v>14</v>
      </c>
      <c r="U100" s="231">
        <v>15</v>
      </c>
      <c r="V100" s="231">
        <v>16</v>
      </c>
      <c r="W100" s="231">
        <v>17</v>
      </c>
      <c r="X100" s="231">
        <v>18</v>
      </c>
      <c r="Y100" s="231">
        <v>19</v>
      </c>
      <c r="Z100" s="231">
        <v>20</v>
      </c>
      <c r="AA100" s="231">
        <v>21</v>
      </c>
      <c r="AB100" s="231">
        <v>22</v>
      </c>
      <c r="AC100" s="231">
        <v>23</v>
      </c>
      <c r="AD100" s="231">
        <v>24</v>
      </c>
      <c r="AE100" s="231">
        <v>25</v>
      </c>
      <c r="AF100" s="231">
        <v>26</v>
      </c>
      <c r="AG100" s="231">
        <v>27</v>
      </c>
      <c r="AH100" s="231">
        <v>28</v>
      </c>
      <c r="AI100" s="231">
        <v>29</v>
      </c>
      <c r="AJ100" s="231">
        <v>30</v>
      </c>
    </row>
    <row r="101" spans="2:36" s="11" customFormat="1" ht="16">
      <c r="B101" s="232" t="s">
        <v>115</v>
      </c>
      <c r="C101" s="233" t="s">
        <v>354</v>
      </c>
      <c r="D101" s="233" t="s">
        <v>116</v>
      </c>
      <c r="E101" s="233" t="s">
        <v>354</v>
      </c>
      <c r="F101" s="230"/>
      <c r="G101" s="230"/>
      <c r="H101" s="230"/>
      <c r="I101" s="230"/>
      <c r="J101" s="230"/>
      <c r="K101" s="230"/>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c r="AH101" s="230"/>
      <c r="AI101" s="230"/>
      <c r="AJ101" s="230"/>
    </row>
    <row r="102" spans="2:36" s="11" customFormat="1" ht="16">
      <c r="B102" s="230" t="s">
        <v>70</v>
      </c>
      <c r="C102" s="234">
        <f>IF(Inputs!$G$20="Simple",Inputs!$G$75*Inputs!$P$91,IF(Inputs!$G$20="Intermediate",(Inputs!$G$32*Inputs!$P$92)+((Inputs!$G$49+Inputs!$G$64)*Inputs!$P$93)+((Inputs!$G$70-Inputs!$G$68-Inputs!$G$67)*Inputs!$P$94)+SUMPRODUCT(Inputs!$G$67:$G$68,Inputs!$P$95:$P$96),(Inputs!$G$32*Inputs!$P$92)+'Complex Inputs'!$F$121))</f>
        <v>94320905.024062499</v>
      </c>
      <c r="D102" s="521">
        <f>C102/$C$108</f>
        <v>0.80965140118972667</v>
      </c>
      <c r="E102" s="234">
        <f>($C$108-$C$110)*IF(Inputs!$P$86="No",1,(1-Inputs!$P$87))*D102</f>
        <v>82865847.0869302</v>
      </c>
      <c r="F102" s="235"/>
      <c r="G102" s="236">
        <v>0.2</v>
      </c>
      <c r="H102" s="236">
        <v>0.32</v>
      </c>
      <c r="I102" s="236">
        <v>0.192</v>
      </c>
      <c r="J102" s="236">
        <v>0.1152</v>
      </c>
      <c r="K102" s="236">
        <v>0.1152</v>
      </c>
      <c r="L102" s="236">
        <v>5.7599999999999998E-2</v>
      </c>
      <c r="M102" s="236">
        <v>0</v>
      </c>
      <c r="N102" s="236">
        <v>0</v>
      </c>
      <c r="O102" s="236">
        <v>0</v>
      </c>
      <c r="P102" s="236">
        <v>0</v>
      </c>
      <c r="Q102" s="236">
        <v>0</v>
      </c>
      <c r="R102" s="236">
        <v>0</v>
      </c>
      <c r="S102" s="236">
        <v>0</v>
      </c>
      <c r="T102" s="236">
        <v>0</v>
      </c>
      <c r="U102" s="236">
        <v>0</v>
      </c>
      <c r="V102" s="236">
        <v>0</v>
      </c>
      <c r="W102" s="236">
        <v>0</v>
      </c>
      <c r="X102" s="236">
        <v>0</v>
      </c>
      <c r="Y102" s="236">
        <v>0</v>
      </c>
      <c r="Z102" s="236">
        <v>0</v>
      </c>
      <c r="AA102" s="236">
        <v>0</v>
      </c>
      <c r="AB102" s="236">
        <v>0</v>
      </c>
      <c r="AC102" s="236">
        <v>0</v>
      </c>
      <c r="AD102" s="236">
        <v>0</v>
      </c>
      <c r="AE102" s="236">
        <v>0</v>
      </c>
      <c r="AF102" s="236">
        <v>0</v>
      </c>
      <c r="AG102" s="236">
        <v>0</v>
      </c>
      <c r="AH102" s="236">
        <v>0</v>
      </c>
      <c r="AI102" s="236">
        <v>0</v>
      </c>
      <c r="AJ102" s="236">
        <v>0</v>
      </c>
    </row>
    <row r="103" spans="2:36" s="11" customFormat="1" ht="16">
      <c r="B103" s="230" t="s">
        <v>71</v>
      </c>
      <c r="C103" s="234">
        <f>IF(Inputs!$G$20="Simple",Inputs!$G$75*Inputs!$Q$91,IF(Inputs!$G$20="Intermediate",(Inputs!$G$32*Inputs!$Q$92)+((Inputs!$G$49+Inputs!$G$64)*Inputs!$Q$93)+((Inputs!$G$70-Inputs!$G$68-Inputs!$G$67)*Inputs!$Q$94)+SUMPRODUCT(Inputs!$G$67:$G$68,Inputs!$Q$95:$Q$96),(Inputs!$G$32*Inputs!$Q$92)+'Complex Inputs'!$F$121))</f>
        <v>1000000</v>
      </c>
      <c r="D103" s="521">
        <f>C103/$C$108</f>
        <v>8.584007977692475E-3</v>
      </c>
      <c r="E103" s="234">
        <f>($C$108-$C$110)*IF(Inputs!$P$86="No",1,(1-Inputs!$P$87))*D103</f>
        <v>878552.28982154105</v>
      </c>
      <c r="F103" s="230"/>
      <c r="G103" s="236">
        <v>0.05</v>
      </c>
      <c r="H103" s="236">
        <v>9.5000000000000001E-2</v>
      </c>
      <c r="I103" s="236">
        <v>8.5500000000000007E-2</v>
      </c>
      <c r="J103" s="236">
        <v>7.6999999999999999E-2</v>
      </c>
      <c r="K103" s="236">
        <v>6.93E-2</v>
      </c>
      <c r="L103" s="236">
        <v>6.2300000000000001E-2</v>
      </c>
      <c r="M103" s="236">
        <v>5.8999999999999997E-2</v>
      </c>
      <c r="N103" s="236">
        <v>5.8999999999999997E-2</v>
      </c>
      <c r="O103" s="236">
        <v>5.91E-2</v>
      </c>
      <c r="P103" s="236">
        <v>5.8999999999999997E-2</v>
      </c>
      <c r="Q103" s="236">
        <v>5.91E-2</v>
      </c>
      <c r="R103" s="236">
        <v>5.8999999999999997E-2</v>
      </c>
      <c r="S103" s="236">
        <v>5.91E-2</v>
      </c>
      <c r="T103" s="236">
        <v>5.8999999999999997E-2</v>
      </c>
      <c r="U103" s="236">
        <v>5.91E-2</v>
      </c>
      <c r="V103" s="236">
        <v>2.9499999999999998E-2</v>
      </c>
      <c r="W103" s="236">
        <v>0</v>
      </c>
      <c r="X103" s="236">
        <v>0</v>
      </c>
      <c r="Y103" s="236">
        <v>0</v>
      </c>
      <c r="Z103" s="236">
        <v>0</v>
      </c>
      <c r="AA103" s="236">
        <v>0</v>
      </c>
      <c r="AB103" s="236">
        <v>0</v>
      </c>
      <c r="AC103" s="236">
        <v>0</v>
      </c>
      <c r="AD103" s="236">
        <v>0</v>
      </c>
      <c r="AE103" s="236">
        <v>0</v>
      </c>
      <c r="AF103" s="236">
        <v>0</v>
      </c>
      <c r="AG103" s="236">
        <v>0</v>
      </c>
      <c r="AH103" s="236">
        <v>0</v>
      </c>
      <c r="AI103" s="236">
        <v>0</v>
      </c>
      <c r="AJ103" s="236">
        <v>0</v>
      </c>
    </row>
    <row r="104" spans="2:36" s="11" customFormat="1" ht="16">
      <c r="B104" s="230" t="s">
        <v>72</v>
      </c>
      <c r="C104" s="234">
        <f>IF(Inputs!$G$20="Simple",Inputs!$G$75*Inputs!$R$91,IF(Inputs!$G$20="Intermediate",(Inputs!$G$32*Inputs!$R$92)+((Inputs!$G$49+Inputs!$G$64)*Inputs!$R$93)+((Inputs!$G$70-Inputs!$G$68-Inputs!$G$67)*Inputs!$R$94)+SUMPRODUCT(Inputs!$G$67:$G$68,Inputs!$R$95:$R$96),(Inputs!$G$32*Inputs!$R$92)+'Complex Inputs'!$F$121))</f>
        <v>4024896.4297876973</v>
      </c>
      <c r="D104" s="521">
        <f>C104/$C$108</f>
        <v>3.4549743062683554E-2</v>
      </c>
      <c r="E104" s="234">
        <f>($C$108-$C$110)*IF(Inputs!$P$86="No",1,(1-Inputs!$P$87))*D104</f>
        <v>3536081.9746845267</v>
      </c>
      <c r="F104" s="230"/>
      <c r="G104" s="236">
        <v>2.5000000000000001E-2</v>
      </c>
      <c r="H104" s="236">
        <v>0.05</v>
      </c>
      <c r="I104" s="236">
        <v>0.05</v>
      </c>
      <c r="J104" s="236">
        <v>0.05</v>
      </c>
      <c r="K104" s="236">
        <v>0.05</v>
      </c>
      <c r="L104" s="236">
        <v>0.05</v>
      </c>
      <c r="M104" s="236">
        <v>0.05</v>
      </c>
      <c r="N104" s="236">
        <v>0.05</v>
      </c>
      <c r="O104" s="236">
        <v>0.05</v>
      </c>
      <c r="P104" s="236">
        <v>0.05</v>
      </c>
      <c r="Q104" s="236">
        <v>0.05</v>
      </c>
      <c r="R104" s="236">
        <v>0.05</v>
      </c>
      <c r="S104" s="236">
        <v>0.05</v>
      </c>
      <c r="T104" s="236">
        <v>0.05</v>
      </c>
      <c r="U104" s="236">
        <v>0.05</v>
      </c>
      <c r="V104" s="236">
        <v>0.05</v>
      </c>
      <c r="W104" s="236">
        <v>0.05</v>
      </c>
      <c r="X104" s="236">
        <v>0.05</v>
      </c>
      <c r="Y104" s="236">
        <v>0.05</v>
      </c>
      <c r="Z104" s="236">
        <v>0.05</v>
      </c>
      <c r="AA104" s="236">
        <v>2.5000000000000001E-2</v>
      </c>
      <c r="AB104" s="236">
        <f t="shared" ref="AB104:AJ104" si="25">IF(AB$100&lt;=20, 1/20,0)</f>
        <v>0</v>
      </c>
      <c r="AC104" s="236">
        <f t="shared" si="25"/>
        <v>0</v>
      </c>
      <c r="AD104" s="236">
        <f t="shared" si="25"/>
        <v>0</v>
      </c>
      <c r="AE104" s="236">
        <f t="shared" si="25"/>
        <v>0</v>
      </c>
      <c r="AF104" s="236">
        <f t="shared" si="25"/>
        <v>0</v>
      </c>
      <c r="AG104" s="236">
        <f t="shared" si="25"/>
        <v>0</v>
      </c>
      <c r="AH104" s="236">
        <f t="shared" si="25"/>
        <v>0</v>
      </c>
      <c r="AI104" s="236">
        <f t="shared" si="25"/>
        <v>0</v>
      </c>
      <c r="AJ104" s="236">
        <f t="shared" si="25"/>
        <v>0</v>
      </c>
    </row>
    <row r="105" spans="2:36" s="11" customFormat="1" ht="16">
      <c r="B105" s="230" t="s">
        <v>349</v>
      </c>
      <c r="C105" s="234"/>
      <c r="D105" s="521"/>
      <c r="E105" s="234">
        <f>($C$108-$C$110)*IF(Inputs!$P$86="No",0,Inputs!$P$87)</f>
        <v>0</v>
      </c>
      <c r="F105" s="230"/>
      <c r="G105" s="236">
        <v>1</v>
      </c>
      <c r="H105" s="236">
        <v>0</v>
      </c>
      <c r="I105" s="236">
        <v>0</v>
      </c>
      <c r="J105" s="236">
        <v>0</v>
      </c>
      <c r="K105" s="236">
        <v>0</v>
      </c>
      <c r="L105" s="236">
        <v>0</v>
      </c>
      <c r="M105" s="236">
        <v>0</v>
      </c>
      <c r="N105" s="236">
        <v>0</v>
      </c>
      <c r="O105" s="236">
        <v>0</v>
      </c>
      <c r="P105" s="236">
        <v>0</v>
      </c>
      <c r="Q105" s="236">
        <v>0</v>
      </c>
      <c r="R105" s="236">
        <v>0</v>
      </c>
      <c r="S105" s="236">
        <v>0</v>
      </c>
      <c r="T105" s="236">
        <v>0</v>
      </c>
      <c r="U105" s="236">
        <v>0</v>
      </c>
      <c r="V105" s="236">
        <v>0</v>
      </c>
      <c r="W105" s="236">
        <v>0</v>
      </c>
      <c r="X105" s="236">
        <v>0</v>
      </c>
      <c r="Y105" s="236">
        <v>0</v>
      </c>
      <c r="Z105" s="236">
        <v>0</v>
      </c>
      <c r="AA105" s="236">
        <v>0</v>
      </c>
      <c r="AB105" s="236">
        <v>0</v>
      </c>
      <c r="AC105" s="236">
        <v>0</v>
      </c>
      <c r="AD105" s="236">
        <v>0</v>
      </c>
      <c r="AE105" s="236">
        <v>0</v>
      </c>
      <c r="AF105" s="236">
        <v>0</v>
      </c>
      <c r="AG105" s="236">
        <v>0</v>
      </c>
      <c r="AH105" s="236">
        <v>0</v>
      </c>
      <c r="AI105" s="236">
        <v>0</v>
      </c>
      <c r="AJ105" s="236">
        <v>0</v>
      </c>
    </row>
    <row r="106" spans="2:36" s="11" customFormat="1" ht="16">
      <c r="B106" s="245" t="s">
        <v>22</v>
      </c>
      <c r="C106" s="734">
        <f>IF(Inputs!$G$20="Simple",Inputs!$G$75*Inputs!$U$91,IF(Inputs!$G$20="Intermediate",(Inputs!$G$32*Inputs!$U$92)+((Inputs!$G$49+Inputs!$G$64)*Inputs!$U$93)+((Inputs!$G$70-Inputs!$G$68-Inputs!$G$67)*Inputs!$U$94)+SUMPRODUCT(Inputs!$G$67:$G$68,Inputs!$U$95:$U$96),(Inputs!$G$32*Inputs!$U$92)+'Complex Inputs'!$F$121))</f>
        <v>17149896.429787695</v>
      </c>
      <c r="D106" s="689">
        <f>C106/$C$108</f>
        <v>0.14721484776989727</v>
      </c>
      <c r="E106" s="688">
        <f>($C$108-$C$110)*IF(Inputs!$P$86="No",1,(1-Inputs!$P$87))*D106</f>
        <v>15067080.778592251</v>
      </c>
      <c r="F106" s="230"/>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row>
    <row r="107" spans="2:36" s="11" customFormat="1" ht="16">
      <c r="B107" s="312"/>
      <c r="C107" s="520" t="s">
        <v>355</v>
      </c>
      <c r="D107" s="520"/>
      <c r="E107" s="520" t="s">
        <v>356</v>
      </c>
      <c r="F107" s="230"/>
      <c r="G107" s="237"/>
      <c r="H107" s="237"/>
      <c r="I107" s="237"/>
      <c r="J107" s="237"/>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7"/>
    </row>
    <row r="108" spans="2:36" s="11" customFormat="1" ht="16">
      <c r="B108" s="229" t="s">
        <v>357</v>
      </c>
      <c r="C108" s="239">
        <f>SUM(C102:C106)</f>
        <v>116495697.88363789</v>
      </c>
      <c r="D108" s="521">
        <f>SUM(D102:D106)</f>
        <v>0.99999999999999989</v>
      </c>
      <c r="E108" s="239">
        <f>SUM(E102:E106)</f>
        <v>102347562.13002852</v>
      </c>
      <c r="F108" s="230"/>
      <c r="G108" s="237"/>
      <c r="H108" s="237"/>
      <c r="I108" s="237"/>
      <c r="J108" s="237"/>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row>
    <row r="109" spans="2:36" s="11" customFormat="1" ht="16">
      <c r="B109" s="312"/>
      <c r="C109" s="522" t="str">
        <f>IF(C108+C137+C144=Inputs!G75,"OK","error")</f>
        <v>OK</v>
      </c>
      <c r="D109" s="522" t="str">
        <f>IF(D108=100%,"OK","error")</f>
        <v>OK</v>
      </c>
      <c r="E109" s="522" t="str">
        <f>IF(ROUND(E108,0)=ROUND((C108-C110),0),"OK","error")</f>
        <v>OK</v>
      </c>
      <c r="F109" s="230"/>
      <c r="G109" s="237"/>
      <c r="H109" s="237"/>
      <c r="I109" s="237"/>
      <c r="J109" s="237"/>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row>
    <row r="110" spans="2:36" s="11" customFormat="1" ht="16">
      <c r="B110" s="230" t="s">
        <v>360</v>
      </c>
      <c r="C110" s="234">
        <f>IF(OR(Inputs!$Q$55="Performance-Based",Inputs!$Q$55="Neither"),0,50%*Inputs!$Q$59)+IF(Inputs!$Q$66="Yes",0,Inputs!$Q$65)+IF(Inputs!$Q$83="Yes",0,IF(Inputs!$Q$82=0,Inputs!$Q$81*1000*Inputs!$G$6,MIN(Inputs!$Q$82,Inputs!$Q$81*1000*Inputs!$G$6)))</f>
        <v>14148135.753609374</v>
      </c>
      <c r="D110" s="230"/>
      <c r="E110" s="234"/>
      <c r="F110" s="230"/>
      <c r="G110" s="237"/>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row>
    <row r="111" spans="2:36" s="11" customFormat="1" ht="16">
      <c r="B111" s="230"/>
      <c r="C111" s="234"/>
      <c r="D111" s="230"/>
      <c r="E111" s="234"/>
      <c r="F111" s="230"/>
      <c r="G111" s="237"/>
      <c r="H111" s="237"/>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row>
    <row r="112" spans="2:36" s="11" customFormat="1" ht="16">
      <c r="B112" s="232" t="s">
        <v>133</v>
      </c>
      <c r="C112" s="676"/>
      <c r="D112" s="232"/>
      <c r="E112" s="230"/>
      <c r="F112" s="230"/>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row>
    <row r="113" spans="2:36" s="11" customFormat="1" ht="16">
      <c r="B113" s="230" t="s">
        <v>73</v>
      </c>
      <c r="C113" s="230"/>
      <c r="D113" s="230"/>
      <c r="E113" s="238" t="s">
        <v>118</v>
      </c>
      <c r="F113" s="239"/>
      <c r="G113" s="230"/>
      <c r="H113" s="230"/>
      <c r="I113" s="230"/>
      <c r="J113" s="230"/>
      <c r="K113" s="230"/>
      <c r="L113" s="230"/>
      <c r="M113" s="230"/>
      <c r="N113" s="230"/>
      <c r="O113" s="230"/>
      <c r="P113" s="230"/>
      <c r="Q113" s="230"/>
      <c r="R113" s="230"/>
      <c r="S113" s="230"/>
      <c r="T113" s="230"/>
      <c r="U113" s="230"/>
      <c r="V113" s="230"/>
      <c r="W113" s="230"/>
      <c r="X113" s="230"/>
      <c r="Y113" s="230"/>
      <c r="Z113" s="230"/>
      <c r="AA113" s="230"/>
      <c r="AB113" s="230"/>
      <c r="AC113" s="230"/>
      <c r="AD113" s="230"/>
      <c r="AE113" s="230"/>
      <c r="AF113" s="230"/>
      <c r="AG113" s="230"/>
      <c r="AH113" s="230"/>
      <c r="AI113" s="230"/>
      <c r="AJ113" s="230"/>
    </row>
    <row r="114" spans="2:36" s="11" customFormat="1" ht="16">
      <c r="B114" s="230" t="s">
        <v>70</v>
      </c>
      <c r="C114" s="230"/>
      <c r="D114" s="230"/>
      <c r="E114" s="240">
        <f>SUM(G114:AJ114)</f>
        <v>82865847.086930215</v>
      </c>
      <c r="F114" s="239"/>
      <c r="G114" s="241">
        <f>$E102*G102</f>
        <v>16573169.41738604</v>
      </c>
      <c r="H114" s="241">
        <f t="shared" ref="H114:AJ114" si="26">$E102*H102</f>
        <v>26517071.067817666</v>
      </c>
      <c r="I114" s="241">
        <f t="shared" si="26"/>
        <v>15910242.640690599</v>
      </c>
      <c r="J114" s="241">
        <f t="shared" si="26"/>
        <v>9546145.5844143592</v>
      </c>
      <c r="K114" s="241">
        <f t="shared" si="26"/>
        <v>9546145.5844143592</v>
      </c>
      <c r="L114" s="241">
        <f t="shared" si="26"/>
        <v>4773072.7922071796</v>
      </c>
      <c r="M114" s="241">
        <f t="shared" si="26"/>
        <v>0</v>
      </c>
      <c r="N114" s="241">
        <f t="shared" si="26"/>
        <v>0</v>
      </c>
      <c r="O114" s="241">
        <f t="shared" si="26"/>
        <v>0</v>
      </c>
      <c r="P114" s="241">
        <f t="shared" si="26"/>
        <v>0</v>
      </c>
      <c r="Q114" s="241">
        <f t="shared" si="26"/>
        <v>0</v>
      </c>
      <c r="R114" s="241">
        <f t="shared" si="26"/>
        <v>0</v>
      </c>
      <c r="S114" s="241">
        <f t="shared" si="26"/>
        <v>0</v>
      </c>
      <c r="T114" s="241">
        <f t="shared" si="26"/>
        <v>0</v>
      </c>
      <c r="U114" s="241">
        <f t="shared" si="26"/>
        <v>0</v>
      </c>
      <c r="V114" s="241">
        <f t="shared" si="26"/>
        <v>0</v>
      </c>
      <c r="W114" s="241">
        <f t="shared" si="26"/>
        <v>0</v>
      </c>
      <c r="X114" s="241">
        <f t="shared" si="26"/>
        <v>0</v>
      </c>
      <c r="Y114" s="241">
        <f t="shared" si="26"/>
        <v>0</v>
      </c>
      <c r="Z114" s="241">
        <f t="shared" si="26"/>
        <v>0</v>
      </c>
      <c r="AA114" s="241">
        <f t="shared" si="26"/>
        <v>0</v>
      </c>
      <c r="AB114" s="241">
        <f t="shared" si="26"/>
        <v>0</v>
      </c>
      <c r="AC114" s="241">
        <f t="shared" si="26"/>
        <v>0</v>
      </c>
      <c r="AD114" s="241">
        <f t="shared" si="26"/>
        <v>0</v>
      </c>
      <c r="AE114" s="241">
        <f t="shared" si="26"/>
        <v>0</v>
      </c>
      <c r="AF114" s="241">
        <f t="shared" si="26"/>
        <v>0</v>
      </c>
      <c r="AG114" s="241">
        <f t="shared" si="26"/>
        <v>0</v>
      </c>
      <c r="AH114" s="241">
        <f t="shared" si="26"/>
        <v>0</v>
      </c>
      <c r="AI114" s="241">
        <f t="shared" si="26"/>
        <v>0</v>
      </c>
      <c r="AJ114" s="241">
        <f t="shared" si="26"/>
        <v>0</v>
      </c>
    </row>
    <row r="115" spans="2:36" s="11" customFormat="1" ht="16">
      <c r="B115" s="230" t="s">
        <v>71</v>
      </c>
      <c r="C115" s="230"/>
      <c r="D115" s="230"/>
      <c r="E115" s="240">
        <f t="shared" ref="E115:E117" si="27">SUM(G115:AJ115)</f>
        <v>878552.28982154117</v>
      </c>
      <c r="F115" s="239"/>
      <c r="G115" s="241">
        <f t="shared" ref="G115:AJ115" si="28">$E103*G103</f>
        <v>43927.614491077053</v>
      </c>
      <c r="H115" s="241">
        <f t="shared" si="28"/>
        <v>83462.467533046394</v>
      </c>
      <c r="I115" s="241">
        <f t="shared" si="28"/>
        <v>75116.220779741765</v>
      </c>
      <c r="J115" s="241">
        <f t="shared" si="28"/>
        <v>67648.526316258663</v>
      </c>
      <c r="K115" s="241">
        <f t="shared" si="28"/>
        <v>60883.673684632799</v>
      </c>
      <c r="L115" s="241">
        <f t="shared" si="28"/>
        <v>54733.80765588201</v>
      </c>
      <c r="M115" s="241">
        <f t="shared" si="28"/>
        <v>51834.585099470918</v>
      </c>
      <c r="N115" s="241">
        <f t="shared" si="28"/>
        <v>51834.585099470918</v>
      </c>
      <c r="O115" s="241">
        <f t="shared" si="28"/>
        <v>51922.440328453078</v>
      </c>
      <c r="P115" s="241">
        <f t="shared" si="28"/>
        <v>51834.585099470918</v>
      </c>
      <c r="Q115" s="241">
        <f t="shared" si="28"/>
        <v>51922.440328453078</v>
      </c>
      <c r="R115" s="241">
        <f t="shared" si="28"/>
        <v>51834.585099470918</v>
      </c>
      <c r="S115" s="241">
        <f t="shared" si="28"/>
        <v>51922.440328453078</v>
      </c>
      <c r="T115" s="241">
        <f t="shared" si="28"/>
        <v>51834.585099470918</v>
      </c>
      <c r="U115" s="241">
        <f t="shared" si="28"/>
        <v>51922.440328453078</v>
      </c>
      <c r="V115" s="241">
        <f t="shared" si="28"/>
        <v>25917.292549735459</v>
      </c>
      <c r="W115" s="241">
        <f t="shared" si="28"/>
        <v>0</v>
      </c>
      <c r="X115" s="241">
        <f t="shared" si="28"/>
        <v>0</v>
      </c>
      <c r="Y115" s="241">
        <f t="shared" si="28"/>
        <v>0</v>
      </c>
      <c r="Z115" s="241">
        <f t="shared" si="28"/>
        <v>0</v>
      </c>
      <c r="AA115" s="241">
        <f t="shared" si="28"/>
        <v>0</v>
      </c>
      <c r="AB115" s="241">
        <f t="shared" si="28"/>
        <v>0</v>
      </c>
      <c r="AC115" s="241">
        <f t="shared" si="28"/>
        <v>0</v>
      </c>
      <c r="AD115" s="241">
        <f t="shared" si="28"/>
        <v>0</v>
      </c>
      <c r="AE115" s="241">
        <f t="shared" si="28"/>
        <v>0</v>
      </c>
      <c r="AF115" s="241">
        <f t="shared" si="28"/>
        <v>0</v>
      </c>
      <c r="AG115" s="241">
        <f t="shared" si="28"/>
        <v>0</v>
      </c>
      <c r="AH115" s="241">
        <f t="shared" si="28"/>
        <v>0</v>
      </c>
      <c r="AI115" s="241">
        <f t="shared" si="28"/>
        <v>0</v>
      </c>
      <c r="AJ115" s="241">
        <f t="shared" si="28"/>
        <v>0</v>
      </c>
    </row>
    <row r="116" spans="2:36" s="11" customFormat="1" ht="16">
      <c r="B116" s="230" t="s">
        <v>72</v>
      </c>
      <c r="C116" s="230"/>
      <c r="D116" s="230"/>
      <c r="E116" s="240">
        <f t="shared" si="27"/>
        <v>3536081.9746845281</v>
      </c>
      <c r="F116" s="239"/>
      <c r="G116" s="241">
        <f t="shared" ref="G116:AJ116" si="29">$E104*G104</f>
        <v>88402.04936711317</v>
      </c>
      <c r="H116" s="241">
        <f t="shared" si="29"/>
        <v>176804.09873422634</v>
      </c>
      <c r="I116" s="241">
        <f t="shared" si="29"/>
        <v>176804.09873422634</v>
      </c>
      <c r="J116" s="241">
        <f t="shared" si="29"/>
        <v>176804.09873422634</v>
      </c>
      <c r="K116" s="241">
        <f t="shared" si="29"/>
        <v>176804.09873422634</v>
      </c>
      <c r="L116" s="241">
        <f t="shared" si="29"/>
        <v>176804.09873422634</v>
      </c>
      <c r="M116" s="241">
        <f t="shared" si="29"/>
        <v>176804.09873422634</v>
      </c>
      <c r="N116" s="241">
        <f t="shared" si="29"/>
        <v>176804.09873422634</v>
      </c>
      <c r="O116" s="241">
        <f t="shared" si="29"/>
        <v>176804.09873422634</v>
      </c>
      <c r="P116" s="241">
        <f t="shared" si="29"/>
        <v>176804.09873422634</v>
      </c>
      <c r="Q116" s="241">
        <f t="shared" si="29"/>
        <v>176804.09873422634</v>
      </c>
      <c r="R116" s="241">
        <f t="shared" si="29"/>
        <v>176804.09873422634</v>
      </c>
      <c r="S116" s="241">
        <f t="shared" si="29"/>
        <v>176804.09873422634</v>
      </c>
      <c r="T116" s="241">
        <f t="shared" si="29"/>
        <v>176804.09873422634</v>
      </c>
      <c r="U116" s="241">
        <f t="shared" si="29"/>
        <v>176804.09873422634</v>
      </c>
      <c r="V116" s="241">
        <f t="shared" si="29"/>
        <v>176804.09873422634</v>
      </c>
      <c r="W116" s="241">
        <f t="shared" si="29"/>
        <v>176804.09873422634</v>
      </c>
      <c r="X116" s="241">
        <f t="shared" si="29"/>
        <v>176804.09873422634</v>
      </c>
      <c r="Y116" s="241">
        <f t="shared" si="29"/>
        <v>176804.09873422634</v>
      </c>
      <c r="Z116" s="241">
        <f t="shared" si="29"/>
        <v>176804.09873422634</v>
      </c>
      <c r="AA116" s="241">
        <f t="shared" si="29"/>
        <v>88402.04936711317</v>
      </c>
      <c r="AB116" s="241">
        <f t="shared" si="29"/>
        <v>0</v>
      </c>
      <c r="AC116" s="241">
        <f t="shared" si="29"/>
        <v>0</v>
      </c>
      <c r="AD116" s="241">
        <f t="shared" si="29"/>
        <v>0</v>
      </c>
      <c r="AE116" s="241">
        <f t="shared" si="29"/>
        <v>0</v>
      </c>
      <c r="AF116" s="241">
        <f t="shared" si="29"/>
        <v>0</v>
      </c>
      <c r="AG116" s="241">
        <f t="shared" si="29"/>
        <v>0</v>
      </c>
      <c r="AH116" s="241">
        <f t="shared" si="29"/>
        <v>0</v>
      </c>
      <c r="AI116" s="241">
        <f t="shared" si="29"/>
        <v>0</v>
      </c>
      <c r="AJ116" s="241">
        <f t="shared" si="29"/>
        <v>0</v>
      </c>
    </row>
    <row r="117" spans="2:36" s="11" customFormat="1" ht="16">
      <c r="B117" s="230" t="s">
        <v>349</v>
      </c>
      <c r="C117" s="230"/>
      <c r="D117" s="230"/>
      <c r="E117" s="240">
        <f t="shared" si="27"/>
        <v>0</v>
      </c>
      <c r="F117" s="240"/>
      <c r="G117" s="241">
        <f t="shared" ref="G117:AJ117" si="30">$E105*G105</f>
        <v>0</v>
      </c>
      <c r="H117" s="241">
        <f t="shared" si="30"/>
        <v>0</v>
      </c>
      <c r="I117" s="241">
        <f t="shared" si="30"/>
        <v>0</v>
      </c>
      <c r="J117" s="241">
        <f t="shared" si="30"/>
        <v>0</v>
      </c>
      <c r="K117" s="241">
        <f t="shared" si="30"/>
        <v>0</v>
      </c>
      <c r="L117" s="241">
        <f t="shared" si="30"/>
        <v>0</v>
      </c>
      <c r="M117" s="241">
        <f t="shared" si="30"/>
        <v>0</v>
      </c>
      <c r="N117" s="241">
        <f t="shared" si="30"/>
        <v>0</v>
      </c>
      <c r="O117" s="241">
        <f t="shared" si="30"/>
        <v>0</v>
      </c>
      <c r="P117" s="241">
        <f t="shared" si="30"/>
        <v>0</v>
      </c>
      <c r="Q117" s="241">
        <f t="shared" si="30"/>
        <v>0</v>
      </c>
      <c r="R117" s="241">
        <f t="shared" si="30"/>
        <v>0</v>
      </c>
      <c r="S117" s="241">
        <f t="shared" si="30"/>
        <v>0</v>
      </c>
      <c r="T117" s="241">
        <f t="shared" si="30"/>
        <v>0</v>
      </c>
      <c r="U117" s="241">
        <f t="shared" si="30"/>
        <v>0</v>
      </c>
      <c r="V117" s="241">
        <f t="shared" si="30"/>
        <v>0</v>
      </c>
      <c r="W117" s="241">
        <f t="shared" si="30"/>
        <v>0</v>
      </c>
      <c r="X117" s="241">
        <f t="shared" si="30"/>
        <v>0</v>
      </c>
      <c r="Y117" s="241">
        <f t="shared" si="30"/>
        <v>0</v>
      </c>
      <c r="Z117" s="241">
        <f t="shared" si="30"/>
        <v>0</v>
      </c>
      <c r="AA117" s="241">
        <f t="shared" si="30"/>
        <v>0</v>
      </c>
      <c r="AB117" s="241">
        <f t="shared" si="30"/>
        <v>0</v>
      </c>
      <c r="AC117" s="241">
        <f t="shared" si="30"/>
        <v>0</v>
      </c>
      <c r="AD117" s="241">
        <f t="shared" si="30"/>
        <v>0</v>
      </c>
      <c r="AE117" s="241">
        <f t="shared" si="30"/>
        <v>0</v>
      </c>
      <c r="AF117" s="241">
        <f t="shared" si="30"/>
        <v>0</v>
      </c>
      <c r="AG117" s="241">
        <f t="shared" si="30"/>
        <v>0</v>
      </c>
      <c r="AH117" s="241">
        <f t="shared" si="30"/>
        <v>0</v>
      </c>
      <c r="AI117" s="241">
        <f t="shared" si="30"/>
        <v>0</v>
      </c>
      <c r="AJ117" s="241">
        <f t="shared" si="30"/>
        <v>0</v>
      </c>
    </row>
    <row r="118" spans="2:36" s="11" customFormat="1" ht="16">
      <c r="B118" s="243" t="s">
        <v>22</v>
      </c>
      <c r="C118" s="243"/>
      <c r="D118" s="243"/>
      <c r="E118" s="244">
        <f>E106</f>
        <v>15067080.778592251</v>
      </c>
      <c r="F118" s="240"/>
      <c r="G118" s="242"/>
      <c r="H118" s="242"/>
      <c r="I118" s="242"/>
      <c r="J118" s="242"/>
      <c r="K118" s="242"/>
      <c r="L118" s="242"/>
      <c r="M118" s="242"/>
      <c r="N118" s="242"/>
      <c r="O118" s="242"/>
      <c r="P118" s="242"/>
      <c r="Q118" s="242"/>
      <c r="R118" s="242"/>
      <c r="S118" s="242"/>
      <c r="T118" s="242"/>
      <c r="U118" s="242"/>
      <c r="V118" s="242"/>
      <c r="W118" s="242"/>
      <c r="X118" s="242"/>
      <c r="Y118" s="242"/>
      <c r="Z118" s="242"/>
      <c r="AA118" s="242"/>
      <c r="AB118" s="242"/>
      <c r="AC118" s="242"/>
      <c r="AD118" s="242"/>
      <c r="AE118" s="242"/>
      <c r="AF118" s="242"/>
      <c r="AG118" s="242"/>
      <c r="AH118" s="242"/>
      <c r="AI118" s="242"/>
      <c r="AJ118" s="242"/>
    </row>
    <row r="119" spans="2:36" s="11" customFormat="1" ht="16">
      <c r="B119" s="245" t="s">
        <v>74</v>
      </c>
      <c r="C119" s="245"/>
      <c r="D119" s="245"/>
      <c r="E119" s="240">
        <f>SUM(E114:E118)</f>
        <v>102347562.13002852</v>
      </c>
      <c r="F119" s="246" t="str">
        <f>IF(ROUND(E119,0)=ROUND(SUM(E102:E106),0),"OK","error")</f>
        <v>OK</v>
      </c>
      <c r="G119" s="242"/>
      <c r="H119" s="242"/>
      <c r="I119" s="242"/>
      <c r="J119" s="242"/>
      <c r="K119" s="242"/>
      <c r="L119" s="242"/>
      <c r="M119" s="242"/>
      <c r="N119" s="242"/>
      <c r="O119" s="242"/>
      <c r="P119" s="242"/>
      <c r="Q119" s="242"/>
      <c r="R119" s="242"/>
      <c r="S119" s="242"/>
      <c r="T119" s="242"/>
      <c r="U119" s="242"/>
      <c r="V119" s="242"/>
      <c r="W119" s="242"/>
      <c r="X119" s="242"/>
      <c r="Y119" s="242"/>
      <c r="Z119" s="242"/>
      <c r="AA119" s="242"/>
      <c r="AB119" s="242"/>
      <c r="AC119" s="242"/>
      <c r="AD119" s="242"/>
      <c r="AE119" s="242"/>
      <c r="AF119" s="242"/>
      <c r="AG119" s="242"/>
      <c r="AH119" s="242"/>
      <c r="AI119" s="242"/>
      <c r="AJ119" s="242"/>
    </row>
    <row r="120" spans="2:36" s="11" customFormat="1" ht="16">
      <c r="B120" s="245"/>
      <c r="C120" s="245"/>
      <c r="D120" s="245"/>
      <c r="E120" s="240"/>
      <c r="F120" s="246"/>
      <c r="G120" s="242"/>
      <c r="H120" s="242"/>
      <c r="I120" s="242"/>
      <c r="J120" s="242"/>
      <c r="K120" s="242"/>
      <c r="L120" s="242"/>
      <c r="M120" s="242"/>
      <c r="N120" s="242"/>
      <c r="O120" s="242"/>
      <c r="P120" s="242"/>
      <c r="Q120" s="242"/>
      <c r="R120" s="242"/>
      <c r="S120" s="242"/>
      <c r="T120" s="242"/>
      <c r="U120" s="242"/>
      <c r="V120" s="242"/>
      <c r="W120" s="242"/>
      <c r="X120" s="242"/>
      <c r="Y120" s="242"/>
      <c r="Z120" s="242"/>
      <c r="AA120" s="242"/>
      <c r="AB120" s="242"/>
      <c r="AC120" s="242"/>
      <c r="AD120" s="242"/>
      <c r="AE120" s="242"/>
      <c r="AF120" s="242"/>
      <c r="AG120" s="242"/>
      <c r="AH120" s="242"/>
      <c r="AI120" s="242"/>
      <c r="AJ120" s="242"/>
    </row>
    <row r="121" spans="2:36" s="11" customFormat="1" ht="16">
      <c r="B121" s="232" t="s">
        <v>134</v>
      </c>
      <c r="C121" s="232"/>
      <c r="D121" s="232"/>
      <c r="E121" s="240"/>
      <c r="F121" s="246"/>
      <c r="G121" s="242"/>
      <c r="H121" s="242"/>
      <c r="I121" s="242"/>
      <c r="J121" s="242"/>
      <c r="K121" s="242"/>
      <c r="L121" s="242"/>
      <c r="M121" s="242"/>
      <c r="N121" s="242"/>
      <c r="O121" s="242"/>
      <c r="P121" s="242"/>
      <c r="Q121" s="242"/>
      <c r="R121" s="242"/>
      <c r="S121" s="242"/>
      <c r="T121" s="242"/>
      <c r="U121" s="242"/>
      <c r="V121" s="242"/>
      <c r="W121" s="242"/>
      <c r="X121" s="242"/>
      <c r="Y121" s="242"/>
      <c r="Z121" s="242"/>
      <c r="AA121" s="242"/>
      <c r="AB121" s="242"/>
      <c r="AC121" s="242"/>
      <c r="AD121" s="242"/>
      <c r="AE121" s="242"/>
      <c r="AF121" s="242"/>
      <c r="AG121" s="242"/>
      <c r="AH121" s="242"/>
      <c r="AI121" s="242"/>
      <c r="AJ121" s="242"/>
    </row>
    <row r="122" spans="2:36" s="11" customFormat="1" ht="16">
      <c r="B122" s="230" t="s">
        <v>135</v>
      </c>
      <c r="C122" s="230"/>
      <c r="D122" s="230"/>
      <c r="E122" s="240">
        <f>50%*Inputs!$Q$41*Inputs!$Q$42</f>
        <v>0</v>
      </c>
      <c r="F122" s="246"/>
      <c r="G122" s="242">
        <f>IF(G$2=Inputs!$Q$40,'Cash Flow'!$E$122,0)</f>
        <v>0</v>
      </c>
      <c r="H122" s="242">
        <f>IF(H$2=Inputs!$Q$40,'Cash Flow'!$E$122,0)</f>
        <v>0</v>
      </c>
      <c r="I122" s="242">
        <f>IF(I$2=Inputs!$Q$40,'Cash Flow'!$E$122,0)</f>
        <v>0</v>
      </c>
      <c r="J122" s="242">
        <f>IF(J$2=Inputs!$Q$40,'Cash Flow'!$E$122,0)</f>
        <v>0</v>
      </c>
      <c r="K122" s="242">
        <f>IF(K$2=Inputs!$Q$40,'Cash Flow'!$E$122,0)</f>
        <v>0</v>
      </c>
      <c r="L122" s="242">
        <f>IF(L$2=Inputs!$Q$40,'Cash Flow'!$E$122,0)</f>
        <v>0</v>
      </c>
      <c r="M122" s="242">
        <f>IF(M$2=Inputs!$Q$40,'Cash Flow'!$E$122,0)</f>
        <v>0</v>
      </c>
      <c r="N122" s="242">
        <f>IF(N$2=Inputs!$Q$40,'Cash Flow'!$E$122,0)</f>
        <v>0</v>
      </c>
      <c r="O122" s="242">
        <f>IF(O$2=Inputs!$Q$40,'Cash Flow'!$E$122,0)</f>
        <v>0</v>
      </c>
      <c r="P122" s="242">
        <f>IF(P$2=Inputs!$Q$40,'Cash Flow'!$E$122,0)</f>
        <v>0</v>
      </c>
      <c r="Q122" s="242">
        <f>IF(Q$2=Inputs!$Q$40,'Cash Flow'!$E$122,0)</f>
        <v>0</v>
      </c>
      <c r="R122" s="242">
        <f>IF(R$2=Inputs!$Q$40,'Cash Flow'!$E$122,0)</f>
        <v>0</v>
      </c>
      <c r="S122" s="242">
        <f>IF(S$2=Inputs!$Q$40,'Cash Flow'!$E$122,0)</f>
        <v>0</v>
      </c>
      <c r="T122" s="242">
        <f>IF(T$2=Inputs!$Q$40,'Cash Flow'!$E$122,0)</f>
        <v>0</v>
      </c>
      <c r="U122" s="242">
        <f>IF(U$2=Inputs!$Q$40,'Cash Flow'!$E$122,0)</f>
        <v>0</v>
      </c>
      <c r="V122" s="242">
        <f>IF(V$2=Inputs!$Q$40,'Cash Flow'!$E$122,0)</f>
        <v>0</v>
      </c>
      <c r="W122" s="242">
        <f>IF(W$2=Inputs!$Q$40,'Cash Flow'!$E$122,0)</f>
        <v>0</v>
      </c>
      <c r="X122" s="242">
        <f>IF(X$2=Inputs!$Q$40,'Cash Flow'!$E$122,0)</f>
        <v>0</v>
      </c>
      <c r="Y122" s="242">
        <f>IF(Y$2=Inputs!$Q$40,'Cash Flow'!$E$122,0)</f>
        <v>0</v>
      </c>
      <c r="Z122" s="242">
        <f>IF(Z$2=Inputs!$Q$40,'Cash Flow'!$E$122,0)</f>
        <v>0</v>
      </c>
      <c r="AA122" s="242">
        <f>IF(AA$2=Inputs!$Q$40,'Cash Flow'!$E$122,0)</f>
        <v>0</v>
      </c>
      <c r="AB122" s="242">
        <f>IF(AB$2=Inputs!$Q$40,'Cash Flow'!$E$122,0)</f>
        <v>0</v>
      </c>
      <c r="AC122" s="242">
        <f>IF(AC$2=Inputs!$Q$40,'Cash Flow'!$E$122,0)</f>
        <v>0</v>
      </c>
      <c r="AD122" s="242">
        <f>IF(AD$2=Inputs!$Q$40,'Cash Flow'!$E$122,0)</f>
        <v>0</v>
      </c>
      <c r="AE122" s="242">
        <f>IF(AE$2=Inputs!$Q$40,'Cash Flow'!$E$122,0)</f>
        <v>0</v>
      </c>
      <c r="AF122" s="242">
        <f>IF(AF$2=Inputs!$Q$40,'Cash Flow'!$E$122,0)</f>
        <v>0</v>
      </c>
      <c r="AG122" s="242">
        <f>IF(AG$2=Inputs!$Q$40,'Cash Flow'!$E$122,0)</f>
        <v>0</v>
      </c>
      <c r="AH122" s="242">
        <f>IF(AH$2=Inputs!$Q$40,'Cash Flow'!$E$122,0)</f>
        <v>0</v>
      </c>
      <c r="AI122" s="242">
        <f>IF(AI$2=Inputs!$Q$40,'Cash Flow'!$E$122,0)</f>
        <v>0</v>
      </c>
      <c r="AJ122" s="242">
        <f>IF(AJ$2=Inputs!$Q$40,'Cash Flow'!$E$122,0)</f>
        <v>0</v>
      </c>
    </row>
    <row r="123" spans="2:36" s="11" customFormat="1" ht="16">
      <c r="B123" s="230" t="s">
        <v>137</v>
      </c>
      <c r="C123" s="230"/>
      <c r="D123" s="230"/>
      <c r="E123" s="240"/>
      <c r="F123" s="246"/>
      <c r="G123" s="247">
        <f>IF(G122&gt;0,1,IF(F123&gt;0,F123+1,0))</f>
        <v>0</v>
      </c>
      <c r="H123" s="247">
        <f t="shared" ref="H123:AJ123" si="31">IF(H122&gt;0,1,IF(G123&gt;0,G123+1,0))</f>
        <v>0</v>
      </c>
      <c r="I123" s="247">
        <f t="shared" si="31"/>
        <v>0</v>
      </c>
      <c r="J123" s="247">
        <f t="shared" si="31"/>
        <v>0</v>
      </c>
      <c r="K123" s="247">
        <f t="shared" si="31"/>
        <v>0</v>
      </c>
      <c r="L123" s="247">
        <f t="shared" si="31"/>
        <v>0</v>
      </c>
      <c r="M123" s="247">
        <f t="shared" si="31"/>
        <v>0</v>
      </c>
      <c r="N123" s="247">
        <f t="shared" si="31"/>
        <v>0</v>
      </c>
      <c r="O123" s="247">
        <f t="shared" si="31"/>
        <v>0</v>
      </c>
      <c r="P123" s="247">
        <f t="shared" si="31"/>
        <v>0</v>
      </c>
      <c r="Q123" s="247">
        <f t="shared" si="31"/>
        <v>0</v>
      </c>
      <c r="R123" s="247">
        <f t="shared" si="31"/>
        <v>0</v>
      </c>
      <c r="S123" s="247">
        <f t="shared" si="31"/>
        <v>0</v>
      </c>
      <c r="T123" s="247">
        <f t="shared" si="31"/>
        <v>0</v>
      </c>
      <c r="U123" s="247">
        <f t="shared" si="31"/>
        <v>0</v>
      </c>
      <c r="V123" s="247">
        <f t="shared" si="31"/>
        <v>0</v>
      </c>
      <c r="W123" s="247">
        <f t="shared" si="31"/>
        <v>0</v>
      </c>
      <c r="X123" s="247">
        <f t="shared" si="31"/>
        <v>0</v>
      </c>
      <c r="Y123" s="247">
        <f t="shared" si="31"/>
        <v>0</v>
      </c>
      <c r="Z123" s="247">
        <f t="shared" si="31"/>
        <v>0</v>
      </c>
      <c r="AA123" s="247">
        <f t="shared" si="31"/>
        <v>0</v>
      </c>
      <c r="AB123" s="247">
        <f t="shared" si="31"/>
        <v>0</v>
      </c>
      <c r="AC123" s="247">
        <f t="shared" si="31"/>
        <v>0</v>
      </c>
      <c r="AD123" s="247">
        <f t="shared" si="31"/>
        <v>0</v>
      </c>
      <c r="AE123" s="247">
        <f t="shared" si="31"/>
        <v>0</v>
      </c>
      <c r="AF123" s="247">
        <f t="shared" si="31"/>
        <v>0</v>
      </c>
      <c r="AG123" s="247">
        <f t="shared" si="31"/>
        <v>0</v>
      </c>
      <c r="AH123" s="247">
        <f t="shared" si="31"/>
        <v>0</v>
      </c>
      <c r="AI123" s="247">
        <f t="shared" si="31"/>
        <v>0</v>
      </c>
      <c r="AJ123" s="247">
        <f t="shared" si="31"/>
        <v>0</v>
      </c>
    </row>
    <row r="124" spans="2:36" s="11" customFormat="1" ht="16">
      <c r="B124" s="230" t="s">
        <v>138</v>
      </c>
      <c r="C124" s="230"/>
      <c r="D124" s="230"/>
      <c r="E124" s="240"/>
      <c r="F124" s="246"/>
      <c r="G124" s="242">
        <f t="shared" ref="G124:AJ124" si="32">IF(G123=0,0,$E$122*LOOKUP(G123,$G$100:$AJ$100,$G$102:$AJ$102))</f>
        <v>0</v>
      </c>
      <c r="H124" s="242">
        <f t="shared" si="32"/>
        <v>0</v>
      </c>
      <c r="I124" s="242">
        <f t="shared" si="32"/>
        <v>0</v>
      </c>
      <c r="J124" s="242">
        <f t="shared" si="32"/>
        <v>0</v>
      </c>
      <c r="K124" s="242">
        <f t="shared" si="32"/>
        <v>0</v>
      </c>
      <c r="L124" s="242">
        <f t="shared" si="32"/>
        <v>0</v>
      </c>
      <c r="M124" s="242">
        <f t="shared" si="32"/>
        <v>0</v>
      </c>
      <c r="N124" s="242">
        <f t="shared" si="32"/>
        <v>0</v>
      </c>
      <c r="O124" s="242">
        <f t="shared" si="32"/>
        <v>0</v>
      </c>
      <c r="P124" s="242">
        <f t="shared" si="32"/>
        <v>0</v>
      </c>
      <c r="Q124" s="242">
        <f t="shared" si="32"/>
        <v>0</v>
      </c>
      <c r="R124" s="242">
        <f t="shared" si="32"/>
        <v>0</v>
      </c>
      <c r="S124" s="242">
        <f t="shared" si="32"/>
        <v>0</v>
      </c>
      <c r="T124" s="242">
        <f t="shared" si="32"/>
        <v>0</v>
      </c>
      <c r="U124" s="242">
        <f t="shared" si="32"/>
        <v>0</v>
      </c>
      <c r="V124" s="242">
        <f t="shared" si="32"/>
        <v>0</v>
      </c>
      <c r="W124" s="242">
        <f t="shared" si="32"/>
        <v>0</v>
      </c>
      <c r="X124" s="242">
        <f t="shared" si="32"/>
        <v>0</v>
      </c>
      <c r="Y124" s="242">
        <f t="shared" si="32"/>
        <v>0</v>
      </c>
      <c r="Z124" s="242">
        <f t="shared" si="32"/>
        <v>0</v>
      </c>
      <c r="AA124" s="242">
        <f t="shared" si="32"/>
        <v>0</v>
      </c>
      <c r="AB124" s="242">
        <f t="shared" si="32"/>
        <v>0</v>
      </c>
      <c r="AC124" s="242">
        <f t="shared" si="32"/>
        <v>0</v>
      </c>
      <c r="AD124" s="242">
        <f t="shared" si="32"/>
        <v>0</v>
      </c>
      <c r="AE124" s="242">
        <f t="shared" si="32"/>
        <v>0</v>
      </c>
      <c r="AF124" s="242">
        <f t="shared" si="32"/>
        <v>0</v>
      </c>
      <c r="AG124" s="242">
        <f t="shared" si="32"/>
        <v>0</v>
      </c>
      <c r="AH124" s="242">
        <f t="shared" si="32"/>
        <v>0</v>
      </c>
      <c r="AI124" s="242">
        <f t="shared" si="32"/>
        <v>0</v>
      </c>
      <c r="AJ124" s="242">
        <f t="shared" si="32"/>
        <v>0</v>
      </c>
    </row>
    <row r="125" spans="2:36" s="11" customFormat="1" ht="16">
      <c r="B125" s="230" t="s">
        <v>136</v>
      </c>
      <c r="C125" s="230"/>
      <c r="D125" s="230"/>
      <c r="E125" s="240">
        <f>50%*Inputs!$Q$45*Inputs!$Q$46</f>
        <v>0</v>
      </c>
      <c r="F125" s="246"/>
      <c r="G125" s="242">
        <f>IF(G$2=Inputs!$Q$44,'Cash Flow'!$E$125,0)</f>
        <v>0</v>
      </c>
      <c r="H125" s="242">
        <f>IF(H$2=Inputs!$Q$44,'Cash Flow'!$E$125,0)</f>
        <v>0</v>
      </c>
      <c r="I125" s="242">
        <f>IF(I$2=Inputs!$Q$44,'Cash Flow'!$E$125,0)</f>
        <v>0</v>
      </c>
      <c r="J125" s="242">
        <f>IF(J$2=Inputs!$Q$44,'Cash Flow'!$E$125,0)</f>
        <v>0</v>
      </c>
      <c r="K125" s="242">
        <f>IF(K$2=Inputs!$Q$44,'Cash Flow'!$E$125,0)</f>
        <v>0</v>
      </c>
      <c r="L125" s="242">
        <f>IF(L$2=Inputs!$Q$44,'Cash Flow'!$E$125,0)</f>
        <v>0</v>
      </c>
      <c r="M125" s="242">
        <f>IF(M$2=Inputs!$Q$44,'Cash Flow'!$E$125,0)</f>
        <v>0</v>
      </c>
      <c r="N125" s="242">
        <f>IF(N$2=Inputs!$Q$44,'Cash Flow'!$E$125,0)</f>
        <v>0</v>
      </c>
      <c r="O125" s="242">
        <f>IF(O$2=Inputs!$Q$44,'Cash Flow'!$E$125,0)</f>
        <v>0</v>
      </c>
      <c r="P125" s="242">
        <f>IF(P$2=Inputs!$Q$44,'Cash Flow'!$E$125,0)</f>
        <v>0</v>
      </c>
      <c r="Q125" s="242">
        <f>IF(Q$2=Inputs!$Q$44,'Cash Flow'!$E$125,0)</f>
        <v>0</v>
      </c>
      <c r="R125" s="242">
        <f>IF(R$2=Inputs!$Q$44,'Cash Flow'!$E$125,0)</f>
        <v>0</v>
      </c>
      <c r="S125" s="242">
        <f>IF(S$2=Inputs!$Q$44,'Cash Flow'!$E$125,0)</f>
        <v>0</v>
      </c>
      <c r="T125" s="242">
        <f>IF(T$2=Inputs!$Q$44,'Cash Flow'!$E$125,0)</f>
        <v>0</v>
      </c>
      <c r="U125" s="242">
        <f>IF(U$2=Inputs!$Q$44,'Cash Flow'!$E$125,0)</f>
        <v>0</v>
      </c>
      <c r="V125" s="242">
        <f>IF(V$2=Inputs!$Q$44,'Cash Flow'!$E$125,0)</f>
        <v>0</v>
      </c>
      <c r="W125" s="242">
        <f>IF(W$2=Inputs!$Q$44,'Cash Flow'!$E$125,0)</f>
        <v>0</v>
      </c>
      <c r="X125" s="242">
        <f>IF(X$2=Inputs!$Q$44,'Cash Flow'!$E$125,0)</f>
        <v>0</v>
      </c>
      <c r="Y125" s="242">
        <f>IF(Y$2=Inputs!$Q$44,'Cash Flow'!$E$125,0)</f>
        <v>0</v>
      </c>
      <c r="Z125" s="242">
        <f>IF(Z$2=Inputs!$Q$44,'Cash Flow'!$E$125,0)</f>
        <v>0</v>
      </c>
      <c r="AA125" s="242">
        <f>IF(AA$2=Inputs!$Q$44,'Cash Flow'!$E$125,0)</f>
        <v>0</v>
      </c>
      <c r="AB125" s="242">
        <f>IF(AB$2=Inputs!$Q$44,'Cash Flow'!$E$125,0)</f>
        <v>0</v>
      </c>
      <c r="AC125" s="242">
        <f>IF(AC$2=Inputs!$Q$44,'Cash Flow'!$E$125,0)</f>
        <v>0</v>
      </c>
      <c r="AD125" s="242">
        <f>IF(AD$2=Inputs!$Q$44,'Cash Flow'!$E$125,0)</f>
        <v>0</v>
      </c>
      <c r="AE125" s="242">
        <f>IF(AE$2=Inputs!$Q$44,'Cash Flow'!$E$125,0)</f>
        <v>0</v>
      </c>
      <c r="AF125" s="242">
        <f>IF(AF$2=Inputs!$Q$44,'Cash Flow'!$E$125,0)</f>
        <v>0</v>
      </c>
      <c r="AG125" s="242">
        <f>IF(AG$2=Inputs!$Q$44,'Cash Flow'!$E$125,0)</f>
        <v>0</v>
      </c>
      <c r="AH125" s="242">
        <f>IF(AH$2=Inputs!$Q$44,'Cash Flow'!$E$125,0)</f>
        <v>0</v>
      </c>
      <c r="AI125" s="242">
        <f>IF(AI$2=Inputs!$Q$44,'Cash Flow'!$E$125,0)</f>
        <v>0</v>
      </c>
      <c r="AJ125" s="242">
        <f>IF(AJ$2=Inputs!$Q$44,'Cash Flow'!$E$125,0)</f>
        <v>0</v>
      </c>
    </row>
    <row r="126" spans="2:36" s="11" customFormat="1" ht="16">
      <c r="B126" s="230" t="s">
        <v>137</v>
      </c>
      <c r="C126" s="230"/>
      <c r="D126" s="230"/>
      <c r="E126" s="240"/>
      <c r="F126" s="246"/>
      <c r="G126" s="247">
        <f>IF(G125&gt;0,1,IF(F126&gt;0,F126+1,0))</f>
        <v>0</v>
      </c>
      <c r="H126" s="247">
        <f t="shared" ref="H126" si="33">IF(H125&gt;0,1,IF(G126&gt;0,G126+1,0))</f>
        <v>0</v>
      </c>
      <c r="I126" s="247">
        <f t="shared" ref="I126" si="34">IF(I125&gt;0,1,IF(H126&gt;0,H126+1,0))</f>
        <v>0</v>
      </c>
      <c r="J126" s="247">
        <f t="shared" ref="J126" si="35">IF(J125&gt;0,1,IF(I126&gt;0,I126+1,0))</f>
        <v>0</v>
      </c>
      <c r="K126" s="247">
        <f t="shared" ref="K126" si="36">IF(K125&gt;0,1,IF(J126&gt;0,J126+1,0))</f>
        <v>0</v>
      </c>
      <c r="L126" s="247">
        <f t="shared" ref="L126" si="37">IF(L125&gt;0,1,IF(K126&gt;0,K126+1,0))</f>
        <v>0</v>
      </c>
      <c r="M126" s="247">
        <f t="shared" ref="M126" si="38">IF(M125&gt;0,1,IF(L126&gt;0,L126+1,0))</f>
        <v>0</v>
      </c>
      <c r="N126" s="247">
        <f t="shared" ref="N126" si="39">IF(N125&gt;0,1,IF(M126&gt;0,M126+1,0))</f>
        <v>0</v>
      </c>
      <c r="O126" s="247">
        <f t="shared" ref="O126" si="40">IF(O125&gt;0,1,IF(N126&gt;0,N126+1,0))</f>
        <v>0</v>
      </c>
      <c r="P126" s="247">
        <f t="shared" ref="P126" si="41">IF(P125&gt;0,1,IF(O126&gt;0,O126+1,0))</f>
        <v>0</v>
      </c>
      <c r="Q126" s="247">
        <f t="shared" ref="Q126" si="42">IF(Q125&gt;0,1,IF(P126&gt;0,P126+1,0))</f>
        <v>0</v>
      </c>
      <c r="R126" s="247">
        <f t="shared" ref="R126" si="43">IF(R125&gt;0,1,IF(Q126&gt;0,Q126+1,0))</f>
        <v>0</v>
      </c>
      <c r="S126" s="247">
        <f t="shared" ref="S126" si="44">IF(S125&gt;0,1,IF(R126&gt;0,R126+1,0))</f>
        <v>0</v>
      </c>
      <c r="T126" s="247">
        <f t="shared" ref="T126" si="45">IF(T125&gt;0,1,IF(S126&gt;0,S126+1,0))</f>
        <v>0</v>
      </c>
      <c r="U126" s="247">
        <f t="shared" ref="U126" si="46">IF(U125&gt;0,1,IF(T126&gt;0,T126+1,0))</f>
        <v>0</v>
      </c>
      <c r="V126" s="247">
        <f t="shared" ref="V126" si="47">IF(V125&gt;0,1,IF(U126&gt;0,U126+1,0))</f>
        <v>0</v>
      </c>
      <c r="W126" s="247">
        <f t="shared" ref="W126" si="48">IF(W125&gt;0,1,IF(V126&gt;0,V126+1,0))</f>
        <v>0</v>
      </c>
      <c r="X126" s="247">
        <f t="shared" ref="X126" si="49">IF(X125&gt;0,1,IF(W126&gt;0,W126+1,0))</f>
        <v>0</v>
      </c>
      <c r="Y126" s="247">
        <f t="shared" ref="Y126" si="50">IF(Y125&gt;0,1,IF(X126&gt;0,X126+1,0))</f>
        <v>0</v>
      </c>
      <c r="Z126" s="247">
        <f t="shared" ref="Z126" si="51">IF(Z125&gt;0,1,IF(Y126&gt;0,Y126+1,0))</f>
        <v>0</v>
      </c>
      <c r="AA126" s="247">
        <f t="shared" ref="AA126" si="52">IF(AA125&gt;0,1,IF(Z126&gt;0,Z126+1,0))</f>
        <v>0</v>
      </c>
      <c r="AB126" s="247">
        <f t="shared" ref="AB126" si="53">IF(AB125&gt;0,1,IF(AA126&gt;0,AA126+1,0))</f>
        <v>0</v>
      </c>
      <c r="AC126" s="247">
        <f t="shared" ref="AC126" si="54">IF(AC125&gt;0,1,IF(AB126&gt;0,AB126+1,0))</f>
        <v>0</v>
      </c>
      <c r="AD126" s="247">
        <f t="shared" ref="AD126" si="55">IF(AD125&gt;0,1,IF(AC126&gt;0,AC126+1,0))</f>
        <v>0</v>
      </c>
      <c r="AE126" s="247">
        <f t="shared" ref="AE126" si="56">IF(AE125&gt;0,1,IF(AD126&gt;0,AD126+1,0))</f>
        <v>0</v>
      </c>
      <c r="AF126" s="247">
        <f t="shared" ref="AF126" si="57">IF(AF125&gt;0,1,IF(AE126&gt;0,AE126+1,0))</f>
        <v>0</v>
      </c>
      <c r="AG126" s="247">
        <f t="shared" ref="AG126" si="58">IF(AG125&gt;0,1,IF(AF126&gt;0,AF126+1,0))</f>
        <v>0</v>
      </c>
      <c r="AH126" s="247">
        <f t="shared" ref="AH126" si="59">IF(AH125&gt;0,1,IF(AG126&gt;0,AG126+1,0))</f>
        <v>0</v>
      </c>
      <c r="AI126" s="247">
        <f t="shared" ref="AI126" si="60">IF(AI125&gt;0,1,IF(AH126&gt;0,AH126+1,0))</f>
        <v>0</v>
      </c>
      <c r="AJ126" s="247">
        <f t="shared" ref="AJ126" si="61">IF(AJ125&gt;0,1,IF(AI126&gt;0,AI126+1,0))</f>
        <v>0</v>
      </c>
    </row>
    <row r="127" spans="2:36" s="11" customFormat="1" ht="16">
      <c r="B127" s="230" t="s">
        <v>138</v>
      </c>
      <c r="C127" s="230"/>
      <c r="D127" s="230"/>
      <c r="E127" s="240"/>
      <c r="F127" s="246"/>
      <c r="G127" s="242">
        <f t="shared" ref="G127:AJ127" si="62">IF(G126=0,0,$E$125*LOOKUP(G126,$G$100:$AJ$100,$G$102:$AJ$102))</f>
        <v>0</v>
      </c>
      <c r="H127" s="242">
        <f t="shared" si="62"/>
        <v>0</v>
      </c>
      <c r="I127" s="242">
        <f t="shared" si="62"/>
        <v>0</v>
      </c>
      <c r="J127" s="242">
        <f t="shared" si="62"/>
        <v>0</v>
      </c>
      <c r="K127" s="242">
        <f t="shared" si="62"/>
        <v>0</v>
      </c>
      <c r="L127" s="242">
        <f t="shared" si="62"/>
        <v>0</v>
      </c>
      <c r="M127" s="242">
        <f t="shared" si="62"/>
        <v>0</v>
      </c>
      <c r="N127" s="242">
        <f t="shared" si="62"/>
        <v>0</v>
      </c>
      <c r="O127" s="242">
        <f t="shared" si="62"/>
        <v>0</v>
      </c>
      <c r="P127" s="242">
        <f t="shared" si="62"/>
        <v>0</v>
      </c>
      <c r="Q127" s="242">
        <f t="shared" si="62"/>
        <v>0</v>
      </c>
      <c r="R127" s="242">
        <f t="shared" si="62"/>
        <v>0</v>
      </c>
      <c r="S127" s="242">
        <f t="shared" si="62"/>
        <v>0</v>
      </c>
      <c r="T127" s="242">
        <f t="shared" si="62"/>
        <v>0</v>
      </c>
      <c r="U127" s="242">
        <f t="shared" si="62"/>
        <v>0</v>
      </c>
      <c r="V127" s="242">
        <f t="shared" si="62"/>
        <v>0</v>
      </c>
      <c r="W127" s="242">
        <f t="shared" si="62"/>
        <v>0</v>
      </c>
      <c r="X127" s="242">
        <f t="shared" si="62"/>
        <v>0</v>
      </c>
      <c r="Y127" s="242">
        <f t="shared" si="62"/>
        <v>0</v>
      </c>
      <c r="Z127" s="242">
        <f t="shared" si="62"/>
        <v>0</v>
      </c>
      <c r="AA127" s="242">
        <f t="shared" si="62"/>
        <v>0</v>
      </c>
      <c r="AB127" s="242">
        <f t="shared" si="62"/>
        <v>0</v>
      </c>
      <c r="AC127" s="242">
        <f t="shared" si="62"/>
        <v>0</v>
      </c>
      <c r="AD127" s="242">
        <f t="shared" si="62"/>
        <v>0</v>
      </c>
      <c r="AE127" s="242">
        <f t="shared" si="62"/>
        <v>0</v>
      </c>
      <c r="AF127" s="242">
        <f t="shared" si="62"/>
        <v>0</v>
      </c>
      <c r="AG127" s="242">
        <f t="shared" si="62"/>
        <v>0</v>
      </c>
      <c r="AH127" s="242">
        <f t="shared" si="62"/>
        <v>0</v>
      </c>
      <c r="AI127" s="242">
        <f t="shared" si="62"/>
        <v>0</v>
      </c>
      <c r="AJ127" s="242">
        <f t="shared" si="62"/>
        <v>0</v>
      </c>
    </row>
    <row r="128" spans="2:36" s="11" customFormat="1" ht="16">
      <c r="B128" s="245"/>
      <c r="C128" s="245"/>
      <c r="D128" s="245"/>
      <c r="E128" s="240"/>
      <c r="F128" s="246"/>
      <c r="G128" s="242"/>
      <c r="H128" s="242"/>
      <c r="I128" s="242"/>
      <c r="J128" s="242"/>
      <c r="K128" s="242"/>
      <c r="L128" s="242"/>
      <c r="M128" s="242"/>
      <c r="N128" s="242"/>
      <c r="O128" s="242"/>
      <c r="P128" s="242"/>
      <c r="Q128" s="242"/>
      <c r="R128" s="242"/>
      <c r="S128" s="242"/>
      <c r="T128" s="242"/>
      <c r="U128" s="242"/>
      <c r="V128" s="242"/>
      <c r="W128" s="242"/>
      <c r="X128" s="242"/>
      <c r="Y128" s="242"/>
      <c r="Z128" s="242"/>
      <c r="AA128" s="242"/>
      <c r="AB128" s="242"/>
      <c r="AC128" s="242"/>
      <c r="AD128" s="242"/>
      <c r="AE128" s="242"/>
      <c r="AF128" s="242"/>
      <c r="AG128" s="242"/>
      <c r="AH128" s="242"/>
      <c r="AI128" s="242"/>
      <c r="AJ128" s="242"/>
    </row>
    <row r="129" spans="2:36" s="11" customFormat="1" ht="16">
      <c r="B129" s="230" t="s">
        <v>206</v>
      </c>
      <c r="C129" s="230"/>
      <c r="D129" s="230"/>
      <c r="E129" s="239"/>
      <c r="F129" s="278"/>
      <c r="G129" s="248">
        <f>IF(AND(Inputs!$Q$104="Yes",G$2&lt;=Inputs!$G$17),SUM('Cash Flow'!G114:G117)+G124+G127,0)</f>
        <v>16705499.08124423</v>
      </c>
      <c r="H129" s="248">
        <f>IF(AND(Inputs!$Q$104="Yes",H$2&lt;=Inputs!$G$17),SUM('Cash Flow'!H114:H117)+H124+H127,0)</f>
        <v>26777337.63408494</v>
      </c>
      <c r="I129" s="248">
        <f>IF(AND(Inputs!$Q$104="Yes",I$2&lt;=Inputs!$G$17),SUM('Cash Flow'!I114:I117)+I124+I127,0)</f>
        <v>16162162.960204566</v>
      </c>
      <c r="J129" s="248">
        <f>IF(AND(Inputs!$Q$104="Yes",J$2&lt;=Inputs!$G$17),SUM('Cash Flow'!J114:J117)+J124+J127,0)</f>
        <v>9790598.2094648443</v>
      </c>
      <c r="K129" s="248">
        <f>IF(AND(Inputs!$Q$104="Yes",K$2&lt;=Inputs!$G$17),SUM('Cash Flow'!K114:K117)+K124+K127,0)</f>
        <v>9783833.3568332177</v>
      </c>
      <c r="L129" s="248">
        <f>IF(AND(Inputs!$Q$104="Yes",L$2&lt;=Inputs!$G$17),SUM('Cash Flow'!L114:L117)+L124+L127,0)</f>
        <v>5004610.6985972878</v>
      </c>
      <c r="M129" s="248">
        <f>IF(AND(Inputs!$Q$104="Yes",M$2&lt;=Inputs!$G$17),SUM('Cash Flow'!M114:M117)+M124+M127,0)</f>
        <v>228638.68383369726</v>
      </c>
      <c r="N129" s="248">
        <f>IF(AND(Inputs!$Q$104="Yes",N$2&lt;=Inputs!$G$17),SUM('Cash Flow'!N114:N117)+N124+N127,0)</f>
        <v>228638.68383369726</v>
      </c>
      <c r="O129" s="248">
        <f>IF(AND(Inputs!$Q$104="Yes",O$2&lt;=Inputs!$G$17),SUM('Cash Flow'!O114:O117)+O124+O127,0)</f>
        <v>228726.53906267943</v>
      </c>
      <c r="P129" s="248">
        <f>IF(AND(Inputs!$Q$104="Yes",P$2&lt;=Inputs!$G$17),SUM('Cash Flow'!P114:P117)+P124+P127,0)</f>
        <v>228638.68383369726</v>
      </c>
      <c r="Q129" s="248">
        <f>IF(AND(Inputs!$Q$104="Yes",Q$2&lt;=Inputs!$G$17),SUM('Cash Flow'!Q114:Q117)+Q124+Q127,0)</f>
        <v>228726.53906267943</v>
      </c>
      <c r="R129" s="248">
        <f>IF(AND(Inputs!$Q$104="Yes",R$2&lt;=Inputs!$G$17),SUM('Cash Flow'!R114:R117)+R124+R127,0)</f>
        <v>228638.68383369726</v>
      </c>
      <c r="S129" s="248">
        <f>IF(AND(Inputs!$Q$104="Yes",S$2&lt;=Inputs!$G$17),SUM('Cash Flow'!S114:S117)+S124+S127,0)</f>
        <v>228726.53906267943</v>
      </c>
      <c r="T129" s="248">
        <f>IF(AND(Inputs!$Q$104="Yes",T$2&lt;=Inputs!$G$17),SUM('Cash Flow'!T114:T117)+T124+T127,0)</f>
        <v>228638.68383369726</v>
      </c>
      <c r="U129" s="248">
        <f>IF(AND(Inputs!$Q$104="Yes",U$2&lt;=Inputs!$G$17),SUM('Cash Flow'!U114:U117)+U124+U127,0)</f>
        <v>228726.53906267943</v>
      </c>
      <c r="V129" s="248">
        <f>IF(AND(Inputs!$Q$104="Yes",V$2&lt;=Inputs!$G$17),SUM('Cash Flow'!V114:V117)+V124+V127,0)</f>
        <v>202721.3912839618</v>
      </c>
      <c r="W129" s="248">
        <f>IF(AND(Inputs!$Q$104="Yes",W$2&lt;=Inputs!$G$17),SUM('Cash Flow'!W114:W117)+W124+W127,0)</f>
        <v>176804.09873422634</v>
      </c>
      <c r="X129" s="248">
        <f>IF(AND(Inputs!$Q$104="Yes",X$2&lt;=Inputs!$G$17),SUM('Cash Flow'!X114:X117)+X124+X127,0)</f>
        <v>176804.09873422634</v>
      </c>
      <c r="Y129" s="248">
        <f>IF(AND(Inputs!$Q$104="Yes",Y$2&lt;=Inputs!$G$17),SUM('Cash Flow'!Y114:Y117)+Y124+Y127,0)</f>
        <v>176804.09873422634</v>
      </c>
      <c r="Z129" s="248">
        <f>IF(AND(Inputs!$Q$104="Yes",Z$2&lt;=Inputs!$G$17),SUM('Cash Flow'!Z114:Z117)+Z124+Z127,0)</f>
        <v>176804.09873422634</v>
      </c>
      <c r="AA129" s="248">
        <f>IF(AND(Inputs!$Q$104="Yes",AA$2&lt;=Inputs!$G$17),SUM('Cash Flow'!AA114:AA117)+AA124+AA127,0)</f>
        <v>88402.04936711317</v>
      </c>
      <c r="AB129" s="248">
        <f>IF(AND(Inputs!$Q$104="Yes",AB$2&lt;=Inputs!$G$17),SUM('Cash Flow'!AB114:AB117)+AB124+AB127,0)</f>
        <v>0</v>
      </c>
      <c r="AC129" s="248">
        <f>IF(AND(Inputs!$Q$104="Yes",AC$2&lt;=Inputs!$G$17),SUM('Cash Flow'!AC114:AC117)+AC124+AC127,0)</f>
        <v>0</v>
      </c>
      <c r="AD129" s="248">
        <f>IF(AND(Inputs!$Q$104="Yes",AD$2&lt;=Inputs!$G$17),SUM('Cash Flow'!AD114:AD117)+AD124+AD127,0)</f>
        <v>0</v>
      </c>
      <c r="AE129" s="248">
        <f>IF(AND(Inputs!$Q$104="Yes",AE$2&lt;=Inputs!$G$17),SUM('Cash Flow'!AE114:AE117)+AE124+AE127,0)</f>
        <v>0</v>
      </c>
      <c r="AF129" s="248">
        <f>IF(AND(Inputs!$Q$104="Yes",AF$2&lt;=Inputs!$G$17),SUM('Cash Flow'!AF114:AF117)+AF124+AF127,0)</f>
        <v>0</v>
      </c>
      <c r="AG129" s="248">
        <f>IF(AND(Inputs!$Q$104="Yes",AG$2&lt;=Inputs!$G$17),SUM('Cash Flow'!AG114:AG117)+AG124+AG127,0)</f>
        <v>0</v>
      </c>
      <c r="AH129" s="248">
        <f>IF(AND(Inputs!$Q$104="Yes",AH$2&lt;=Inputs!$G$17),SUM('Cash Flow'!AH114:AH117)+AH124+AH127,0)</f>
        <v>0</v>
      </c>
      <c r="AI129" s="248">
        <f>IF(AND(Inputs!$Q$104="Yes",AI$2&lt;=Inputs!$G$17),SUM('Cash Flow'!AI114:AI117)+AI124+AI127,0)</f>
        <v>0</v>
      </c>
      <c r="AJ129" s="248">
        <f>IF(AND(Inputs!$Q$104="Yes",AJ$2&lt;=Inputs!$G$17),SUM('Cash Flow'!AJ114:AJ117)+AJ124+AJ127,0)</f>
        <v>0</v>
      </c>
    </row>
    <row r="130" spans="2:36" s="11" customFormat="1" ht="16">
      <c r="B130" s="230"/>
      <c r="C130" s="230"/>
      <c r="D130" s="230"/>
      <c r="E130" s="239"/>
      <c r="F130" s="27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row>
    <row r="131" spans="2:36" s="11" customFormat="1" ht="16">
      <c r="B131" s="230" t="s">
        <v>162</v>
      </c>
      <c r="C131" s="230"/>
      <c r="D131" s="230"/>
      <c r="E131" s="239"/>
      <c r="F131" s="278"/>
      <c r="G131" s="250">
        <f>G129*Inputs!$Q$109</f>
        <v>6769903.5026742239</v>
      </c>
      <c r="H131" s="250">
        <f>H129*Inputs!$Q$109</f>
        <v>10851516.076212922</v>
      </c>
      <c r="I131" s="250">
        <f>I129*Inputs!$Q$109</f>
        <v>6549716.5396229001</v>
      </c>
      <c r="J131" s="250">
        <f>J129*Inputs!$Q$109</f>
        <v>3967639.9243856282</v>
      </c>
      <c r="K131" s="250">
        <f>K129*Inputs!$Q$109</f>
        <v>3964898.4678566614</v>
      </c>
      <c r="L131" s="250">
        <f>L129*Inputs!$Q$109</f>
        <v>2028118.4856065509</v>
      </c>
      <c r="M131" s="250">
        <f>M129*Inputs!$Q$109</f>
        <v>92655.826623605812</v>
      </c>
      <c r="N131" s="250">
        <f>N129*Inputs!$Q$109</f>
        <v>92655.826623605812</v>
      </c>
      <c r="O131" s="250">
        <f>O129*Inputs!$Q$109</f>
        <v>92691.42995515083</v>
      </c>
      <c r="P131" s="250">
        <f>P129*Inputs!$Q$109</f>
        <v>92655.826623605812</v>
      </c>
      <c r="Q131" s="250">
        <f>Q129*Inputs!$Q$109</f>
        <v>92691.42995515083</v>
      </c>
      <c r="R131" s="250">
        <f>R129*Inputs!$Q$109</f>
        <v>92655.826623605812</v>
      </c>
      <c r="S131" s="250">
        <f>S129*Inputs!$Q$109</f>
        <v>92691.42995515083</v>
      </c>
      <c r="T131" s="250">
        <f>T129*Inputs!$Q$109</f>
        <v>92655.826623605812</v>
      </c>
      <c r="U131" s="250">
        <f>U129*Inputs!$Q$109</f>
        <v>92691.42995515083</v>
      </c>
      <c r="V131" s="250">
        <f>V129*Inputs!$Q$109</f>
        <v>82152.843817825516</v>
      </c>
      <c r="W131" s="250">
        <f>W129*Inputs!$Q$109</f>
        <v>71649.861012045221</v>
      </c>
      <c r="X131" s="250">
        <f>X129*Inputs!$Q$109</f>
        <v>71649.861012045221</v>
      </c>
      <c r="Y131" s="250">
        <f>Y129*Inputs!$Q$109</f>
        <v>71649.861012045221</v>
      </c>
      <c r="Z131" s="250">
        <f>Z129*Inputs!$Q$109</f>
        <v>71649.861012045221</v>
      </c>
      <c r="AA131" s="250">
        <f>AA129*Inputs!$Q$109</f>
        <v>35824.930506022611</v>
      </c>
      <c r="AB131" s="250">
        <f>AB129*Inputs!$Q$109</f>
        <v>0</v>
      </c>
      <c r="AC131" s="250">
        <f>AC129*Inputs!$Q$109</f>
        <v>0</v>
      </c>
      <c r="AD131" s="250">
        <f>AD129*Inputs!$Q$109</f>
        <v>0</v>
      </c>
      <c r="AE131" s="250">
        <f>AE129*Inputs!$Q$109</f>
        <v>0</v>
      </c>
      <c r="AF131" s="250">
        <f>AF129*Inputs!$Q$109</f>
        <v>0</v>
      </c>
      <c r="AG131" s="250">
        <f>AG129*Inputs!$Q$109</f>
        <v>0</v>
      </c>
      <c r="AH131" s="250">
        <f>AH129*Inputs!$Q$109</f>
        <v>0</v>
      </c>
      <c r="AI131" s="250">
        <f>AI129*Inputs!$Q$109</f>
        <v>0</v>
      </c>
      <c r="AJ131" s="250">
        <f>AJ129*Inputs!$Q$109</f>
        <v>0</v>
      </c>
    </row>
    <row r="132" spans="2:36" s="11" customFormat="1" ht="17" thickBot="1">
      <c r="B132" s="251"/>
      <c r="C132" s="251"/>
      <c r="D132" s="251"/>
      <c r="E132" s="252"/>
      <c r="F132" s="252"/>
      <c r="G132" s="253"/>
      <c r="H132" s="254"/>
      <c r="I132" s="252"/>
      <c r="J132" s="252"/>
      <c r="K132" s="252"/>
      <c r="L132" s="252"/>
      <c r="M132" s="252"/>
      <c r="N132" s="252"/>
      <c r="O132" s="252"/>
      <c r="P132" s="252"/>
      <c r="Q132" s="252"/>
      <c r="R132" s="252"/>
      <c r="S132" s="252"/>
      <c r="T132" s="252"/>
      <c r="U132" s="252"/>
      <c r="V132" s="252"/>
      <c r="W132" s="252"/>
      <c r="X132" s="252"/>
      <c r="Y132" s="252"/>
      <c r="Z132" s="252"/>
      <c r="AA132" s="252"/>
      <c r="AB132" s="252"/>
      <c r="AC132" s="252"/>
      <c r="AD132" s="252"/>
      <c r="AE132" s="252"/>
      <c r="AF132" s="252"/>
      <c r="AG132" s="252"/>
      <c r="AH132" s="252"/>
      <c r="AI132" s="252"/>
      <c r="AJ132" s="252"/>
    </row>
    <row r="133" spans="2:36" s="11" customFormat="1" ht="16">
      <c r="B133" s="711"/>
      <c r="C133" s="711"/>
      <c r="D133" s="711"/>
      <c r="E133" s="245"/>
      <c r="F133" s="245"/>
      <c r="G133" s="255"/>
      <c r="H133" s="256"/>
      <c r="I133" s="245"/>
      <c r="J133" s="245"/>
      <c r="K133" s="245"/>
      <c r="L133" s="245"/>
      <c r="M133" s="245"/>
      <c r="N133" s="245"/>
      <c r="O133" s="245"/>
      <c r="P133" s="245"/>
      <c r="Q133" s="245"/>
      <c r="R133" s="245"/>
      <c r="S133" s="245"/>
      <c r="T133" s="245"/>
      <c r="U133" s="245"/>
      <c r="V133" s="245"/>
      <c r="W133" s="245"/>
      <c r="X133" s="245"/>
      <c r="Y133" s="245"/>
      <c r="Z133" s="245"/>
      <c r="AA133" s="245"/>
      <c r="AB133" s="245"/>
      <c r="AC133" s="245"/>
      <c r="AD133" s="245"/>
      <c r="AE133" s="245"/>
      <c r="AF133" s="245"/>
      <c r="AG133" s="245"/>
      <c r="AH133" s="245"/>
      <c r="AI133" s="245"/>
      <c r="AJ133" s="245"/>
    </row>
    <row r="134" spans="2:36" s="11" customFormat="1" ht="16">
      <c r="B134" s="229" t="s">
        <v>405</v>
      </c>
      <c r="C134" s="234"/>
      <c r="D134" s="230"/>
      <c r="E134" s="234"/>
      <c r="F134" s="230"/>
      <c r="G134" s="237"/>
      <c r="H134" s="237"/>
      <c r="I134" s="237"/>
      <c r="J134" s="237"/>
      <c r="K134" s="237"/>
      <c r="L134" s="237"/>
      <c r="M134" s="237"/>
      <c r="N134" s="237"/>
      <c r="O134" s="237"/>
      <c r="P134" s="237"/>
      <c r="Q134" s="237"/>
      <c r="R134" s="237"/>
      <c r="S134" s="237"/>
      <c r="T134" s="237"/>
      <c r="U134" s="237"/>
      <c r="V134" s="237"/>
      <c r="W134" s="237"/>
      <c r="X134" s="237"/>
      <c r="Y134" s="237"/>
      <c r="Z134" s="237"/>
      <c r="AA134" s="237"/>
      <c r="AB134" s="237"/>
      <c r="AC134" s="237"/>
      <c r="AD134" s="237"/>
      <c r="AE134" s="237"/>
      <c r="AF134" s="237"/>
      <c r="AG134" s="237"/>
      <c r="AH134" s="237"/>
      <c r="AI134" s="237"/>
      <c r="AJ134" s="237"/>
    </row>
    <row r="135" spans="2:36" s="11" customFormat="1" ht="16">
      <c r="B135" s="229"/>
      <c r="C135" s="234"/>
      <c r="D135" s="230"/>
      <c r="E135" s="234"/>
      <c r="F135" s="230"/>
      <c r="G135" s="237"/>
      <c r="H135" s="237"/>
      <c r="I135" s="237"/>
      <c r="J135" s="237"/>
      <c r="K135" s="237"/>
      <c r="L135" s="237"/>
      <c r="M135" s="237"/>
      <c r="N135" s="237"/>
      <c r="O135" s="237"/>
      <c r="P135" s="237"/>
      <c r="Q135" s="237"/>
      <c r="R135" s="237"/>
      <c r="S135" s="237"/>
      <c r="T135" s="237"/>
      <c r="U135" s="237"/>
      <c r="V135" s="237"/>
      <c r="W135" s="237"/>
      <c r="X135" s="237"/>
      <c r="Y135" s="237"/>
      <c r="Z135" s="237"/>
      <c r="AA135" s="237"/>
      <c r="AB135" s="237"/>
      <c r="AC135" s="237"/>
      <c r="AD135" s="237"/>
      <c r="AE135" s="237"/>
      <c r="AF135" s="237"/>
      <c r="AG135" s="237"/>
      <c r="AH135" s="237"/>
      <c r="AI135" s="237"/>
      <c r="AJ135" s="237"/>
    </row>
    <row r="136" spans="2:36" s="11" customFormat="1" ht="16">
      <c r="B136" s="229" t="s">
        <v>404</v>
      </c>
      <c r="C136" s="234"/>
      <c r="D136" s="230"/>
      <c r="E136" s="234"/>
      <c r="F136" s="230"/>
      <c r="G136" s="237"/>
      <c r="H136" s="237"/>
      <c r="I136" s="237"/>
      <c r="J136" s="237"/>
      <c r="K136" s="237"/>
      <c r="L136" s="237"/>
      <c r="M136" s="237"/>
      <c r="N136" s="237"/>
      <c r="O136" s="237"/>
      <c r="P136" s="237"/>
      <c r="Q136" s="237"/>
      <c r="R136" s="237"/>
      <c r="S136" s="237"/>
      <c r="T136" s="237"/>
      <c r="U136" s="237"/>
      <c r="V136" s="237"/>
      <c r="W136" s="237"/>
      <c r="X136" s="237"/>
      <c r="Y136" s="237"/>
      <c r="Z136" s="237"/>
      <c r="AA136" s="237"/>
      <c r="AB136" s="237"/>
      <c r="AC136" s="237"/>
      <c r="AD136" s="237"/>
      <c r="AE136" s="237"/>
      <c r="AF136" s="237"/>
      <c r="AG136" s="237"/>
      <c r="AH136" s="237"/>
      <c r="AI136" s="237"/>
      <c r="AJ136" s="237"/>
    </row>
    <row r="137" spans="2:36" s="11" customFormat="1" ht="16">
      <c r="B137" s="245" t="s">
        <v>393</v>
      </c>
      <c r="C137" s="311">
        <f>IF(Inputs!$G$20="Simple",Inputs!$G$75*Inputs!$V$91,IF(Inputs!$G$20="Intermediate",(Inputs!$G$32*Inputs!$V$92)+((Inputs!$G$49+Inputs!$G$64)*Inputs!$V$93),(Inputs!$G$32*Inputs!$V$92)+'Complex Inputs'!$J$121))</f>
        <v>11735540.33953125</v>
      </c>
      <c r="D137" s="686"/>
      <c r="E137" s="311">
        <f>IF(Inputs!$G$20="Simple",Inputs!$G$75*Inputs!$V$91,IF(Inputs!$G$20="Intermediate",(Inputs!$G$32*Inputs!$V$92)+((Inputs!$G$49+Inputs!$G$64)*Inputs!$V$93),(Inputs!$G$32*Inputs!$V$92)+'Complex Inputs'!$J$121))</f>
        <v>11735540.33953125</v>
      </c>
      <c r="F137" s="235"/>
      <c r="G137" s="241">
        <f>IF(G100&gt;Inputs!$G$17,0,'Cash Flow'!$E$137/Inputs!$G$17)</f>
        <v>469421.61358125001</v>
      </c>
      <c r="H137" s="241">
        <f>IF(H100&gt;Inputs!$G$17,0,'Cash Flow'!$E$137/Inputs!$G$17)</f>
        <v>469421.61358125001</v>
      </c>
      <c r="I137" s="241">
        <f>IF(I100&gt;Inputs!$G$17,0,'Cash Flow'!$E$137/Inputs!$G$17)</f>
        <v>469421.61358125001</v>
      </c>
      <c r="J137" s="241">
        <f>IF(J100&gt;Inputs!$G$17,0,'Cash Flow'!$E$137/Inputs!$G$17)</f>
        <v>469421.61358125001</v>
      </c>
      <c r="K137" s="241">
        <f>IF(K100&gt;Inputs!$G$17,0,'Cash Flow'!$E$137/Inputs!$G$17)</f>
        <v>469421.61358125001</v>
      </c>
      <c r="L137" s="241">
        <f>IF(L100&gt;Inputs!$G$17,0,'Cash Flow'!$E$137/Inputs!$G$17)</f>
        <v>469421.61358125001</v>
      </c>
      <c r="M137" s="241">
        <f>IF(M100&gt;Inputs!$G$17,0,'Cash Flow'!$E$137/Inputs!$G$17)</f>
        <v>469421.61358125001</v>
      </c>
      <c r="N137" s="241">
        <f>IF(N100&gt;Inputs!$G$17,0,'Cash Flow'!$E$137/Inputs!$G$17)</f>
        <v>469421.61358125001</v>
      </c>
      <c r="O137" s="241">
        <f>IF(O100&gt;Inputs!$G$17,0,'Cash Flow'!$E$137/Inputs!$G$17)</f>
        <v>469421.61358125001</v>
      </c>
      <c r="P137" s="241">
        <f>IF(P100&gt;Inputs!$G$17,0,'Cash Flow'!$E$137/Inputs!$G$17)</f>
        <v>469421.61358125001</v>
      </c>
      <c r="Q137" s="241">
        <f>IF(Q100&gt;Inputs!$G$17,0,'Cash Flow'!$E$137/Inputs!$G$17)</f>
        <v>469421.61358125001</v>
      </c>
      <c r="R137" s="241">
        <f>IF(R100&gt;Inputs!$G$17,0,'Cash Flow'!$E$137/Inputs!$G$17)</f>
        <v>469421.61358125001</v>
      </c>
      <c r="S137" s="241">
        <f>IF(S100&gt;Inputs!$G$17,0,'Cash Flow'!$E$137/Inputs!$G$17)</f>
        <v>469421.61358125001</v>
      </c>
      <c r="T137" s="241">
        <f>IF(T100&gt;Inputs!$G$17,0,'Cash Flow'!$E$137/Inputs!$G$17)</f>
        <v>469421.61358125001</v>
      </c>
      <c r="U137" s="241">
        <f>IF(U100&gt;Inputs!$G$17,0,'Cash Flow'!$E$137/Inputs!$G$17)</f>
        <v>469421.61358125001</v>
      </c>
      <c r="V137" s="241">
        <f>IF(V100&gt;Inputs!$G$17,0,'Cash Flow'!$E$137/Inputs!$G$17)</f>
        <v>469421.61358125001</v>
      </c>
      <c r="W137" s="241">
        <f>IF(W100&gt;Inputs!$G$17,0,'Cash Flow'!$E$137/Inputs!$G$17)</f>
        <v>469421.61358125001</v>
      </c>
      <c r="X137" s="241">
        <f>IF(X100&gt;Inputs!$G$17,0,'Cash Flow'!$E$137/Inputs!$G$17)</f>
        <v>469421.61358125001</v>
      </c>
      <c r="Y137" s="241">
        <f>IF(Y100&gt;Inputs!$G$17,0,'Cash Flow'!$E$137/Inputs!$G$17)</f>
        <v>469421.61358125001</v>
      </c>
      <c r="Z137" s="241">
        <f>IF(Z100&gt;Inputs!$G$17,0,'Cash Flow'!$E$137/Inputs!$G$17)</f>
        <v>469421.61358125001</v>
      </c>
      <c r="AA137" s="241">
        <f>IF(AA100&gt;Inputs!$G$17,0,'Cash Flow'!$E$137/Inputs!$G$17)</f>
        <v>469421.61358125001</v>
      </c>
      <c r="AB137" s="241">
        <f>IF(AB100&gt;Inputs!$G$17,0,'Cash Flow'!$E$137/Inputs!$G$17)</f>
        <v>469421.61358125001</v>
      </c>
      <c r="AC137" s="241">
        <f>IF(AC100&gt;Inputs!$G$17,0,'Cash Flow'!$E$137/Inputs!$G$17)</f>
        <v>469421.61358125001</v>
      </c>
      <c r="AD137" s="241">
        <f>IF(AD100&gt;Inputs!$G$17,0,'Cash Flow'!$E$137/Inputs!$G$17)</f>
        <v>469421.61358125001</v>
      </c>
      <c r="AE137" s="241">
        <f>IF(AE100&gt;Inputs!$G$17,0,'Cash Flow'!$E$137/Inputs!$G$17)</f>
        <v>469421.61358125001</v>
      </c>
      <c r="AF137" s="241">
        <f>IF(AF100&gt;Inputs!$G$17,0,'Cash Flow'!$E$137/Inputs!$G$17)</f>
        <v>0</v>
      </c>
      <c r="AG137" s="241">
        <f>IF(AG100&gt;Inputs!$G$17,0,'Cash Flow'!$E$137/Inputs!$G$17)</f>
        <v>0</v>
      </c>
      <c r="AH137" s="241">
        <f>IF(AH100&gt;Inputs!$G$17,0,'Cash Flow'!$E$137/Inputs!$G$17)</f>
        <v>0</v>
      </c>
      <c r="AI137" s="241">
        <f>IF(AI100&gt;Inputs!$G$17,0,'Cash Flow'!$E$137/Inputs!$G$17)</f>
        <v>0</v>
      </c>
      <c r="AJ137" s="241">
        <f>IF(AJ100&gt;Inputs!$G$17,0,'Cash Flow'!$E$137/Inputs!$G$17)</f>
        <v>0</v>
      </c>
    </row>
    <row r="138" spans="2:36" s="11" customFormat="1" ht="16">
      <c r="B138" s="243" t="s">
        <v>394</v>
      </c>
      <c r="C138" s="706"/>
      <c r="D138" s="707"/>
      <c r="E138" s="706"/>
      <c r="F138" s="709"/>
      <c r="G138" s="708">
        <f>MAX(0,MIN(Inputs!$P$101*(G23-G37)*Inputs!$P$100,G141))</f>
        <v>0</v>
      </c>
      <c r="H138" s="708">
        <f>MAX(0,MIN(Inputs!$P$101*(H23-H37)*Inputs!$P$100,H141))</f>
        <v>0</v>
      </c>
      <c r="I138" s="708">
        <f>MAX(0,MIN(Inputs!$P$101*(I23-I37)*Inputs!$P$100,I141))</f>
        <v>0</v>
      </c>
      <c r="J138" s="708">
        <f>MAX(0,MIN(Inputs!$P$101*(J23-J37)*Inputs!$P$100,J141))</f>
        <v>1006593.7754807808</v>
      </c>
      <c r="K138" s="708">
        <f>MAX(0,MIN(Inputs!$P$101*(K23-K37)*Inputs!$P$100,K141))</f>
        <v>1037351.4815835785</v>
      </c>
      <c r="L138" s="708">
        <f>MAX(0,MIN(Inputs!$P$101*(L23-L37)*Inputs!$P$100,L141))</f>
        <v>1104185.3257772729</v>
      </c>
      <c r="M138" s="708">
        <f>MAX(0,MIN(Inputs!$P$101*(M23-M37)*Inputs!$P$100,M141))</f>
        <v>1098690.0773570591</v>
      </c>
      <c r="N138" s="708">
        <f>MAX(0,MIN(Inputs!$P$101*(N23-N37)*Inputs!$P$100,N141))</f>
        <v>1093222.3051789463</v>
      </c>
      <c r="O138" s="708">
        <f>MAX(0,MIN(Inputs!$P$101*(O23-O37)*Inputs!$P$100,O141))</f>
        <v>1087781.8718617242</v>
      </c>
      <c r="P138" s="708">
        <f>MAX(0,MIN(Inputs!$P$101*(P23-P37)*Inputs!$P$100,P141))</f>
        <v>1082368.6407110884</v>
      </c>
      <c r="Q138" s="708">
        <f>MAX(0,MIN(Inputs!$P$101*(Q23-Q37)*Inputs!$P$100,Q141))</f>
        <v>1076982.4757162058</v>
      </c>
      <c r="R138" s="708">
        <f>MAX(0,MIN(Inputs!$P$101*(R23-R37)*Inputs!$P$100,R141))</f>
        <v>1062840.6421748574</v>
      </c>
      <c r="S138" s="708">
        <f>MAX(0,MIN(Inputs!$P$101*(S23-S37)*Inputs!$P$100,S141))</f>
        <v>1031109.4921616476</v>
      </c>
      <c r="T138" s="708">
        <f>MAX(0,MIN(Inputs!$P$101*(T23-T37)*Inputs!$P$100,T141))</f>
        <v>1000330.276648834</v>
      </c>
      <c r="U138" s="708">
        <f>MAX(0,MIN(Inputs!$P$101*(U23-U37)*Inputs!$P$100,U141))</f>
        <v>970474.4376014052</v>
      </c>
      <c r="V138" s="708">
        <f>MAX(0,MIN(Inputs!$P$101*(V23-V37)*Inputs!$P$100,V141))</f>
        <v>940026.387964183</v>
      </c>
      <c r="W138" s="708">
        <f>MAX(0,MIN(Inputs!$P$101*(W23-W37)*Inputs!$P$100,W141))</f>
        <v>910447.14324324159</v>
      </c>
      <c r="X138" s="708">
        <f>MAX(0,MIN(Inputs!$P$101*(X23-X37)*Inputs!$P$100,X141))</f>
        <v>883198.52505230752</v>
      </c>
      <c r="Y138" s="708">
        <f>MAX(0,MIN(Inputs!$P$101*(Y23-Y37)*Inputs!$P$100,Y141))</f>
        <v>856767.36540710134</v>
      </c>
      <c r="Z138" s="708">
        <f>MAX(0,MIN(Inputs!$P$101*(Z23-Z37)*Inputs!$P$100,Z141))</f>
        <v>942123.82707756723</v>
      </c>
      <c r="AA138" s="708">
        <f>MAX(0,MIN(Inputs!$P$101*(AA23-AA37)*Inputs!$P$100,AA141))</f>
        <v>64158.032700897595</v>
      </c>
      <c r="AB138" s="708">
        <f>MAX(0,MIN(Inputs!$P$101*(AB23-AB37)*Inputs!$P$100,AB141))</f>
        <v>92679.553053222597</v>
      </c>
      <c r="AC138" s="708">
        <f>MAX(0,MIN(Inputs!$P$101*(AC23-AC37)*Inputs!$P$100,AC141))</f>
        <v>76879.222620633896</v>
      </c>
      <c r="AD138" s="708">
        <f>MAX(0,MIN(Inputs!$P$101*(AD23-AD37)*Inputs!$P$100,AD141))</f>
        <v>60953.606266418006</v>
      </c>
      <c r="AE138" s="708">
        <f>MAX(0,MIN(Inputs!$P$101*(AE23-AE37)*Inputs!$P$100,AE141))</f>
        <v>34613.080384750385</v>
      </c>
      <c r="AF138" s="708">
        <f>MAX(0,MIN(Inputs!$P$101*(AF23-AF37)*Inputs!$P$100,AF141))</f>
        <v>0</v>
      </c>
      <c r="AG138" s="708">
        <f>MAX(0,MIN(Inputs!$P$101*(AG23-AG37)*Inputs!$P$100,AG141))</f>
        <v>0</v>
      </c>
      <c r="AH138" s="708">
        <f>MAX(0,MIN(Inputs!$P$101*(AH23-AH37)*Inputs!$P$100,AH141))</f>
        <v>0</v>
      </c>
      <c r="AI138" s="708">
        <f>MAX(0,MIN(Inputs!$P$101*(AI23-AI37)*Inputs!$P$100,AI141))</f>
        <v>0</v>
      </c>
      <c r="AJ138" s="708">
        <f>MAX(0,MIN(Inputs!$P$101*(AJ23-AJ37)*Inputs!$P$100,AJ141))</f>
        <v>0</v>
      </c>
    </row>
    <row r="139" spans="2:36" s="11" customFormat="1" ht="16">
      <c r="B139" s="701" t="s">
        <v>400</v>
      </c>
      <c r="C139" s="311"/>
      <c r="D139" s="686"/>
      <c r="E139" s="311"/>
      <c r="F139" s="235"/>
      <c r="G139" s="241">
        <f>IF(Inputs!$V$100="Percentage Method",'Cash Flow'!G138,IF(AND(Inputs!$V$100="Cost Method",'Cash Flow'!G100&gt;=Inputs!$V$101),'Cash Flow'!G138,'Cash Flow'!G137))</f>
        <v>469421.61358125001</v>
      </c>
      <c r="H139" s="241">
        <f>IF(Inputs!$V$100="Percentage Method",'Cash Flow'!H138,IF(AND(Inputs!$V$100="Cost Method",'Cash Flow'!H100&gt;=Inputs!$V$101),'Cash Flow'!H138,'Cash Flow'!H137))</f>
        <v>469421.61358125001</v>
      </c>
      <c r="I139" s="241">
        <f>IF(Inputs!$V$100="Percentage Method",'Cash Flow'!I138,IF(AND(Inputs!$V$100="Cost Method",'Cash Flow'!I100&gt;=Inputs!$V$101),'Cash Flow'!I138,'Cash Flow'!I137))</f>
        <v>469421.61358125001</v>
      </c>
      <c r="J139" s="241">
        <f>IF(Inputs!$V$100="Percentage Method",'Cash Flow'!J138,IF(AND(Inputs!$V$100="Cost Method",'Cash Flow'!J100&gt;=Inputs!$V$101),'Cash Flow'!J138,'Cash Flow'!J137))</f>
        <v>1006593.7754807808</v>
      </c>
      <c r="K139" s="241">
        <f>IF(Inputs!$V$100="Percentage Method",'Cash Flow'!K138,IF(AND(Inputs!$V$100="Cost Method",'Cash Flow'!K100&gt;=Inputs!$V$101),'Cash Flow'!K138,'Cash Flow'!K137))</f>
        <v>1037351.4815835785</v>
      </c>
      <c r="L139" s="241">
        <f>IF(Inputs!$V$100="Percentage Method",'Cash Flow'!L138,IF(AND(Inputs!$V$100="Cost Method",'Cash Flow'!L100&gt;=Inputs!$V$101),'Cash Flow'!L138,'Cash Flow'!L137))</f>
        <v>1104185.3257772729</v>
      </c>
      <c r="M139" s="241">
        <f>IF(Inputs!$V$100="Percentage Method",'Cash Flow'!M138,IF(AND(Inputs!$V$100="Cost Method",'Cash Flow'!M100&gt;=Inputs!$V$101),'Cash Flow'!M138,'Cash Flow'!M137))</f>
        <v>1098690.0773570591</v>
      </c>
      <c r="N139" s="241">
        <f>IF(Inputs!$V$100="Percentage Method",'Cash Flow'!N138,IF(AND(Inputs!$V$100="Cost Method",'Cash Flow'!N100&gt;=Inputs!$V$101),'Cash Flow'!N138,'Cash Flow'!N137))</f>
        <v>1093222.3051789463</v>
      </c>
      <c r="O139" s="241">
        <f>IF(Inputs!$V$100="Percentage Method",'Cash Flow'!O138,IF(AND(Inputs!$V$100="Cost Method",'Cash Flow'!O100&gt;=Inputs!$V$101),'Cash Flow'!O138,'Cash Flow'!O137))</f>
        <v>1087781.8718617242</v>
      </c>
      <c r="P139" s="241">
        <f>IF(Inputs!$V$100="Percentage Method",'Cash Flow'!P138,IF(AND(Inputs!$V$100="Cost Method",'Cash Flow'!P100&gt;=Inputs!$V$101),'Cash Flow'!P138,'Cash Flow'!P137))</f>
        <v>1082368.6407110884</v>
      </c>
      <c r="Q139" s="241">
        <f>IF(Inputs!$V$100="Percentage Method",'Cash Flow'!Q138,IF(AND(Inputs!$V$100="Cost Method",'Cash Flow'!Q100&gt;=Inputs!$V$101),'Cash Flow'!Q138,'Cash Flow'!Q137))</f>
        <v>1076982.4757162058</v>
      </c>
      <c r="R139" s="241">
        <f>IF(Inputs!$V$100="Percentage Method",'Cash Flow'!R138,IF(AND(Inputs!$V$100="Cost Method",'Cash Flow'!R100&gt;=Inputs!$V$101),'Cash Flow'!R138,'Cash Flow'!R137))</f>
        <v>1062840.6421748574</v>
      </c>
      <c r="S139" s="241">
        <f>IF(Inputs!$V$100="Percentage Method",'Cash Flow'!S138,IF(AND(Inputs!$V$100="Cost Method",'Cash Flow'!S100&gt;=Inputs!$V$101),'Cash Flow'!S138,'Cash Flow'!S137))</f>
        <v>1031109.4921616476</v>
      </c>
      <c r="T139" s="241">
        <f>IF(Inputs!$V$100="Percentage Method",'Cash Flow'!T138,IF(AND(Inputs!$V$100="Cost Method",'Cash Flow'!T100&gt;=Inputs!$V$101),'Cash Flow'!T138,'Cash Flow'!T137))</f>
        <v>1000330.276648834</v>
      </c>
      <c r="U139" s="241">
        <f>IF(Inputs!$V$100="Percentage Method",'Cash Flow'!U138,IF(AND(Inputs!$V$100="Cost Method",'Cash Flow'!U100&gt;=Inputs!$V$101),'Cash Flow'!U138,'Cash Flow'!U137))</f>
        <v>970474.4376014052</v>
      </c>
      <c r="V139" s="241">
        <f>IF(Inputs!$V$100="Percentage Method",'Cash Flow'!V138,IF(AND(Inputs!$V$100="Cost Method",'Cash Flow'!V100&gt;=Inputs!$V$101),'Cash Flow'!V138,'Cash Flow'!V137))</f>
        <v>940026.387964183</v>
      </c>
      <c r="W139" s="241">
        <f>IF(Inputs!$V$100="Percentage Method",'Cash Flow'!W138,IF(AND(Inputs!$V$100="Cost Method",'Cash Flow'!W100&gt;=Inputs!$V$101),'Cash Flow'!W138,'Cash Flow'!W137))</f>
        <v>910447.14324324159</v>
      </c>
      <c r="X139" s="241">
        <f>IF(Inputs!$V$100="Percentage Method",'Cash Flow'!X138,IF(AND(Inputs!$V$100="Cost Method",'Cash Flow'!X100&gt;=Inputs!$V$101),'Cash Flow'!X138,'Cash Flow'!X137))</f>
        <v>883198.52505230752</v>
      </c>
      <c r="Y139" s="241">
        <f>IF(Inputs!$V$100="Percentage Method",'Cash Flow'!Y138,IF(AND(Inputs!$V$100="Cost Method",'Cash Flow'!Y100&gt;=Inputs!$V$101),'Cash Flow'!Y138,'Cash Flow'!Y137))</f>
        <v>856767.36540710134</v>
      </c>
      <c r="Z139" s="241">
        <f>IF(Inputs!$V$100="Percentage Method",'Cash Flow'!Z138,IF(AND(Inputs!$V$100="Cost Method",'Cash Flow'!Z100&gt;=Inputs!$V$101),'Cash Flow'!Z138,'Cash Flow'!Z137))</f>
        <v>942123.82707756723</v>
      </c>
      <c r="AA139" s="241">
        <f>IF(Inputs!$V$100="Percentage Method",'Cash Flow'!AA138,IF(AND(Inputs!$V$100="Cost Method",'Cash Flow'!AA100&gt;=Inputs!$V$101),'Cash Flow'!AA138,'Cash Flow'!AA137))</f>
        <v>64158.032700897595</v>
      </c>
      <c r="AB139" s="241">
        <f>IF(Inputs!$V$100="Percentage Method",'Cash Flow'!AB138,IF(AND(Inputs!$V$100="Cost Method",'Cash Flow'!AB100&gt;=Inputs!$V$101),'Cash Flow'!AB138,'Cash Flow'!AB137))</f>
        <v>92679.553053222597</v>
      </c>
      <c r="AC139" s="241">
        <f>IF(Inputs!$V$100="Percentage Method",'Cash Flow'!AC138,IF(AND(Inputs!$V$100="Cost Method",'Cash Flow'!AC100&gt;=Inputs!$V$101),'Cash Flow'!AC138,'Cash Flow'!AC137))</f>
        <v>76879.222620633896</v>
      </c>
      <c r="AD139" s="241">
        <f>IF(Inputs!$V$100="Percentage Method",'Cash Flow'!AD138,IF(AND(Inputs!$V$100="Cost Method",'Cash Flow'!AD100&gt;=Inputs!$V$101),'Cash Flow'!AD138,'Cash Flow'!AD137))</f>
        <v>60953.606266418006</v>
      </c>
      <c r="AE139" s="241">
        <f>IF(Inputs!$V$100="Percentage Method",'Cash Flow'!AE138,IF(AND(Inputs!$V$100="Cost Method",'Cash Flow'!AE100&gt;=Inputs!$V$101),'Cash Flow'!AE138,'Cash Flow'!AE137))</f>
        <v>34613.080384750385</v>
      </c>
      <c r="AF139" s="241">
        <f>IF(Inputs!$V$100="Percentage Method",'Cash Flow'!AF138,IF(AND(Inputs!$V$100="Cost Method",'Cash Flow'!AF100&gt;=Inputs!$V$101),'Cash Flow'!AF138,'Cash Flow'!AF137))</f>
        <v>0</v>
      </c>
      <c r="AG139" s="241">
        <f>IF(Inputs!$V$100="Percentage Method",'Cash Flow'!AG138,IF(AND(Inputs!$V$100="Cost Method",'Cash Flow'!AG100&gt;=Inputs!$V$101),'Cash Flow'!AG138,'Cash Flow'!AG137))</f>
        <v>0</v>
      </c>
      <c r="AH139" s="241">
        <f>IF(Inputs!$V$100="Percentage Method",'Cash Flow'!AH138,IF(AND(Inputs!$V$100="Cost Method",'Cash Flow'!AH100&gt;=Inputs!$V$101),'Cash Flow'!AH138,'Cash Flow'!AH137))</f>
        <v>0</v>
      </c>
      <c r="AI139" s="241">
        <f>IF(Inputs!$V$100="Percentage Method",'Cash Flow'!AI138,IF(AND(Inputs!$V$100="Cost Method",'Cash Flow'!AI100&gt;=Inputs!$V$101),'Cash Flow'!AI138,'Cash Flow'!AI137))</f>
        <v>0</v>
      </c>
      <c r="AJ139" s="241">
        <f>IF(Inputs!$V$100="Percentage Method",'Cash Flow'!AJ138,IF(AND(Inputs!$V$100="Cost Method",'Cash Flow'!AJ100&gt;=Inputs!$V$101),'Cash Flow'!AJ138,'Cash Flow'!AJ137))</f>
        <v>0</v>
      </c>
    </row>
    <row r="140" spans="2:36" s="11" customFormat="1" ht="16">
      <c r="B140" s="701"/>
      <c r="C140" s="311"/>
      <c r="D140" s="686"/>
      <c r="E140" s="311"/>
      <c r="F140" s="235"/>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row>
    <row r="141" spans="2:36" s="11" customFormat="1" ht="16">
      <c r="B141" s="701" t="s">
        <v>407</v>
      </c>
      <c r="C141" s="311"/>
      <c r="D141" s="686"/>
      <c r="E141" s="311"/>
      <c r="F141" s="235"/>
      <c r="G141" s="718">
        <f>50%*(G$47-G129-G144)</f>
        <v>-10548448.861561446</v>
      </c>
      <c r="H141" s="718">
        <f t="shared" ref="H141:AJ141" si="63">50%*(H$47-H129-H144)</f>
        <v>-7521178.1940942761</v>
      </c>
      <c r="I141" s="718">
        <f t="shared" si="63"/>
        <v>-2199627.1958828652</v>
      </c>
      <c r="J141" s="718">
        <f t="shared" si="63"/>
        <v>1006593.7754807808</v>
      </c>
      <c r="K141" s="718">
        <f t="shared" si="63"/>
        <v>1037351.4815835785</v>
      </c>
      <c r="L141" s="718">
        <f t="shared" si="63"/>
        <v>3461769.3805824481</v>
      </c>
      <c r="M141" s="718">
        <f t="shared" si="63"/>
        <v>5892523.0182249183</v>
      </c>
      <c r="N141" s="718">
        <f t="shared" si="63"/>
        <v>5943819.1114873104</v>
      </c>
      <c r="O141" s="718">
        <f t="shared" si="63"/>
        <v>6004207.4163556304</v>
      </c>
      <c r="P141" s="718">
        <f t="shared" si="63"/>
        <v>6074470.4917649161</v>
      </c>
      <c r="Q141" s="718">
        <f t="shared" si="63"/>
        <v>6155129.5274664238</v>
      </c>
      <c r="R141" s="718">
        <f t="shared" si="63"/>
        <v>6184664.7540819449</v>
      </c>
      <c r="S141" s="718">
        <f t="shared" si="63"/>
        <v>6102204.0831415365</v>
      </c>
      <c r="T141" s="718">
        <f t="shared" si="63"/>
        <v>6041234.0918420386</v>
      </c>
      <c r="U141" s="718">
        <f t="shared" si="63"/>
        <v>6002249.1338407481</v>
      </c>
      <c r="V141" s="718">
        <f t="shared" si="63"/>
        <v>5984955.7758520888</v>
      </c>
      <c r="W141" s="718">
        <f t="shared" si="63"/>
        <v>5743272.3169310298</v>
      </c>
      <c r="X141" s="718">
        <f t="shared" si="63"/>
        <v>5509977.4526372775</v>
      </c>
      <c r="Y141" s="718">
        <f t="shared" si="63"/>
        <v>5283631.5779873645</v>
      </c>
      <c r="Z141" s="718">
        <f t="shared" si="63"/>
        <v>5817727.5714813881</v>
      </c>
      <c r="AA141" s="718">
        <f t="shared" si="63"/>
        <v>64158.032700897595</v>
      </c>
      <c r="AB141" s="718">
        <f t="shared" si="63"/>
        <v>92679.553053222597</v>
      </c>
      <c r="AC141" s="718">
        <f t="shared" si="63"/>
        <v>76879.222620633896</v>
      </c>
      <c r="AD141" s="718">
        <f t="shared" si="63"/>
        <v>60953.606266418006</v>
      </c>
      <c r="AE141" s="718">
        <f t="shared" si="63"/>
        <v>34613.080384750385</v>
      </c>
      <c r="AF141" s="718">
        <f t="shared" si="63"/>
        <v>0</v>
      </c>
      <c r="AG141" s="718">
        <f t="shared" si="63"/>
        <v>0</v>
      </c>
      <c r="AH141" s="718">
        <f t="shared" si="63"/>
        <v>0</v>
      </c>
      <c r="AI141" s="718">
        <f t="shared" si="63"/>
        <v>0</v>
      </c>
      <c r="AJ141" s="718">
        <f t="shared" si="63"/>
        <v>0</v>
      </c>
    </row>
    <row r="142" spans="2:36" s="11" customFormat="1" ht="16">
      <c r="B142" s="245"/>
      <c r="C142" s="311"/>
      <c r="D142" s="686"/>
      <c r="E142" s="311"/>
      <c r="F142" s="712"/>
      <c r="G142" s="713"/>
      <c r="H142" s="713"/>
      <c r="I142" s="713"/>
      <c r="J142" s="713"/>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row>
    <row r="143" spans="2:36" s="11" customFormat="1" ht="16">
      <c r="B143" s="701" t="s">
        <v>406</v>
      </c>
      <c r="C143" s="311"/>
      <c r="D143" s="686"/>
      <c r="E143" s="311"/>
      <c r="F143" s="712"/>
      <c r="G143" s="713"/>
      <c r="H143" s="713"/>
      <c r="I143" s="713"/>
      <c r="J143" s="713"/>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row>
    <row r="144" spans="2:36" s="11" customFormat="1" ht="16">
      <c r="B144" s="245" t="s">
        <v>392</v>
      </c>
      <c r="C144" s="311">
        <f>IF(Inputs!$G$20="Simple",Inputs!$G$75*Inputs!$W$91,IF(Inputs!$G$20="Intermediate",(Inputs!$G$32*Inputs!$W$92)+((Inputs!$G$49+Inputs!$G$64)*Inputs!$W$93),(Inputs!$G$32*Inputs!$W$92)+'Complex Inputs'!$K$121))</f>
        <v>16110540.33953125</v>
      </c>
      <c r="D144" s="686"/>
      <c r="E144" s="685">
        <f>C144</f>
        <v>16110540.33953125</v>
      </c>
      <c r="F144" s="230"/>
      <c r="G144" s="241">
        <f>E144</f>
        <v>16110540.33953125</v>
      </c>
      <c r="H144" s="241">
        <f>H122+H125</f>
        <v>0</v>
      </c>
      <c r="I144" s="241">
        <f t="shared" ref="I144:AJ144" si="64">I122+I125</f>
        <v>0</v>
      </c>
      <c r="J144" s="241">
        <f t="shared" si="64"/>
        <v>0</v>
      </c>
      <c r="K144" s="241">
        <f t="shared" si="64"/>
        <v>0</v>
      </c>
      <c r="L144" s="241">
        <f t="shared" si="64"/>
        <v>0</v>
      </c>
      <c r="M144" s="241">
        <f t="shared" si="64"/>
        <v>0</v>
      </c>
      <c r="N144" s="241">
        <f t="shared" si="64"/>
        <v>0</v>
      </c>
      <c r="O144" s="241">
        <f t="shared" si="64"/>
        <v>0</v>
      </c>
      <c r="P144" s="241">
        <f t="shared" si="64"/>
        <v>0</v>
      </c>
      <c r="Q144" s="241">
        <f t="shared" si="64"/>
        <v>0</v>
      </c>
      <c r="R144" s="241">
        <f t="shared" si="64"/>
        <v>0</v>
      </c>
      <c r="S144" s="241">
        <f t="shared" si="64"/>
        <v>0</v>
      </c>
      <c r="T144" s="241">
        <f t="shared" si="64"/>
        <v>0</v>
      </c>
      <c r="U144" s="241">
        <f t="shared" si="64"/>
        <v>0</v>
      </c>
      <c r="V144" s="241">
        <f t="shared" si="64"/>
        <v>0</v>
      </c>
      <c r="W144" s="241">
        <f t="shared" si="64"/>
        <v>0</v>
      </c>
      <c r="X144" s="241">
        <f t="shared" si="64"/>
        <v>0</v>
      </c>
      <c r="Y144" s="241">
        <f t="shared" si="64"/>
        <v>0</v>
      </c>
      <c r="Z144" s="241">
        <f t="shared" si="64"/>
        <v>0</v>
      </c>
      <c r="AA144" s="241">
        <f t="shared" si="64"/>
        <v>0</v>
      </c>
      <c r="AB144" s="241">
        <f t="shared" si="64"/>
        <v>0</v>
      </c>
      <c r="AC144" s="241">
        <f t="shared" si="64"/>
        <v>0</v>
      </c>
      <c r="AD144" s="241">
        <f t="shared" si="64"/>
        <v>0</v>
      </c>
      <c r="AE144" s="241">
        <f t="shared" si="64"/>
        <v>0</v>
      </c>
      <c r="AF144" s="241">
        <f t="shared" si="64"/>
        <v>0</v>
      </c>
      <c r="AG144" s="241">
        <f t="shared" si="64"/>
        <v>0</v>
      </c>
      <c r="AH144" s="241">
        <f t="shared" si="64"/>
        <v>0</v>
      </c>
      <c r="AI144" s="241">
        <f t="shared" si="64"/>
        <v>0</v>
      </c>
      <c r="AJ144" s="241">
        <f t="shared" si="64"/>
        <v>0</v>
      </c>
    </row>
    <row r="145" spans="2:36" s="11" customFormat="1" ht="17" thickBot="1">
      <c r="B145" s="251"/>
      <c r="C145" s="251"/>
      <c r="D145" s="251"/>
      <c r="E145" s="252"/>
      <c r="F145" s="252"/>
      <c r="G145" s="253"/>
      <c r="H145" s="254"/>
      <c r="I145" s="252"/>
      <c r="J145" s="252"/>
      <c r="K145" s="252"/>
      <c r="L145" s="252"/>
      <c r="M145" s="252"/>
      <c r="N145" s="252"/>
      <c r="O145" s="252"/>
      <c r="P145" s="252"/>
      <c r="Q145" s="252"/>
      <c r="R145" s="252"/>
      <c r="S145" s="252"/>
      <c r="T145" s="252"/>
      <c r="U145" s="252"/>
      <c r="V145" s="252"/>
      <c r="W145" s="252"/>
      <c r="X145" s="252"/>
      <c r="Y145" s="252"/>
      <c r="Z145" s="252"/>
      <c r="AA145" s="252"/>
      <c r="AB145" s="252"/>
      <c r="AC145" s="252"/>
      <c r="AD145" s="252"/>
      <c r="AE145" s="252"/>
      <c r="AF145" s="252"/>
      <c r="AG145" s="252"/>
      <c r="AH145" s="252"/>
      <c r="AI145" s="252"/>
      <c r="AJ145" s="252"/>
    </row>
    <row r="146" spans="2:36">
      <c r="B146" s="274"/>
      <c r="C146" s="274"/>
      <c r="D146" s="274"/>
      <c r="E146" s="274"/>
      <c r="F146" s="274"/>
      <c r="G146" s="274"/>
      <c r="H146" s="274"/>
      <c r="I146" s="274"/>
      <c r="J146" s="274"/>
      <c r="K146" s="274"/>
      <c r="L146" s="274"/>
      <c r="M146" s="274"/>
      <c r="N146" s="274"/>
      <c r="O146" s="274"/>
      <c r="P146" s="274"/>
      <c r="Q146" s="274"/>
      <c r="R146" s="274"/>
      <c r="S146" s="274"/>
      <c r="T146" s="274"/>
      <c r="U146" s="274"/>
      <c r="V146" s="274"/>
      <c r="W146" s="274"/>
      <c r="X146" s="274"/>
      <c r="Y146" s="274"/>
      <c r="Z146" s="274"/>
      <c r="AA146" s="274"/>
      <c r="AB146" s="274"/>
      <c r="AC146" s="274"/>
      <c r="AD146" s="274"/>
      <c r="AE146" s="274"/>
      <c r="AF146" s="274"/>
      <c r="AG146" s="274"/>
      <c r="AH146" s="274"/>
      <c r="AI146" s="274"/>
      <c r="AJ146" s="274"/>
    </row>
    <row r="147" spans="2:36" ht="16">
      <c r="B147" s="229" t="s">
        <v>200</v>
      </c>
      <c r="C147" s="229"/>
      <c r="D147" s="229"/>
      <c r="E147" s="274"/>
      <c r="F147" s="274"/>
      <c r="G147" s="274"/>
      <c r="H147" s="274"/>
      <c r="I147" s="274"/>
      <c r="J147" s="274"/>
      <c r="K147" s="274"/>
      <c r="L147" s="274"/>
      <c r="M147" s="274"/>
      <c r="N147" s="274"/>
      <c r="O147" s="274"/>
      <c r="P147" s="274"/>
      <c r="Q147" s="274"/>
      <c r="R147" s="274"/>
      <c r="S147" s="274"/>
      <c r="T147" s="274"/>
      <c r="U147" s="274"/>
      <c r="V147" s="274"/>
      <c r="W147" s="274"/>
      <c r="X147" s="274"/>
      <c r="Y147" s="274"/>
      <c r="Z147" s="274"/>
      <c r="AA147" s="274"/>
      <c r="AB147" s="274"/>
      <c r="AC147" s="274"/>
      <c r="AD147" s="274"/>
      <c r="AE147" s="274"/>
      <c r="AF147" s="274"/>
      <c r="AG147" s="274"/>
      <c r="AH147" s="274"/>
      <c r="AI147" s="274"/>
      <c r="AJ147" s="274"/>
    </row>
    <row r="148" spans="2:36" ht="16">
      <c r="B148" s="230"/>
      <c r="C148" s="230"/>
      <c r="D148" s="230"/>
      <c r="E148" s="274"/>
      <c r="F148" s="274"/>
      <c r="G148" s="274"/>
      <c r="H148" s="274"/>
      <c r="I148" s="274"/>
      <c r="J148" s="274"/>
      <c r="K148" s="274"/>
      <c r="L148" s="274"/>
      <c r="M148" s="274"/>
      <c r="N148" s="274"/>
      <c r="O148" s="274"/>
      <c r="P148" s="274"/>
      <c r="Q148" s="274"/>
      <c r="R148" s="274"/>
      <c r="S148" s="274"/>
      <c r="T148" s="274"/>
      <c r="U148" s="274"/>
      <c r="V148" s="274"/>
      <c r="W148" s="274"/>
      <c r="X148" s="274"/>
      <c r="Y148" s="274"/>
      <c r="Z148" s="274"/>
      <c r="AA148" s="274"/>
      <c r="AB148" s="274"/>
      <c r="AC148" s="274"/>
      <c r="AD148" s="274"/>
      <c r="AE148" s="274"/>
      <c r="AF148" s="274"/>
      <c r="AG148" s="274"/>
      <c r="AH148" s="274"/>
      <c r="AI148" s="274"/>
      <c r="AJ148" s="274"/>
    </row>
    <row r="149" spans="2:36" ht="16">
      <c r="B149" s="230" t="s">
        <v>199</v>
      </c>
      <c r="C149" s="230"/>
      <c r="D149" s="230"/>
      <c r="E149" s="274"/>
      <c r="F149" s="274"/>
      <c r="G149" s="250">
        <f>G61</f>
        <v>-21566319.336704142</v>
      </c>
      <c r="H149" s="250">
        <f t="shared" ref="H149:AJ149" si="65">H61</f>
        <v>-15511778.001769803</v>
      </c>
      <c r="I149" s="250">
        <f t="shared" si="65"/>
        <v>-4868676.0053469799</v>
      </c>
      <c r="J149" s="250">
        <f t="shared" si="65"/>
        <v>1006593.7754807808</v>
      </c>
      <c r="K149" s="250">
        <f t="shared" si="65"/>
        <v>1037351.4815835785</v>
      </c>
      <c r="L149" s="250">
        <f t="shared" si="65"/>
        <v>5819353.4353876235</v>
      </c>
      <c r="M149" s="250">
        <f t="shared" si="65"/>
        <v>10686355.959092777</v>
      </c>
      <c r="N149" s="250">
        <f t="shared" si="65"/>
        <v>10794415.917795675</v>
      </c>
      <c r="O149" s="250">
        <f t="shared" si="65"/>
        <v>10920632.960849537</v>
      </c>
      <c r="P149" s="250">
        <f t="shared" si="65"/>
        <v>11066572.342818744</v>
      </c>
      <c r="Q149" s="250">
        <f t="shared" si="65"/>
        <v>11233276.57921664</v>
      </c>
      <c r="R149" s="250">
        <f t="shared" si="65"/>
        <v>11306488.865989033</v>
      </c>
      <c r="S149" s="250">
        <f t="shared" si="65"/>
        <v>11173298.674121425</v>
      </c>
      <c r="T149" s="250">
        <f t="shared" si="65"/>
        <v>11082137.907035243</v>
      </c>
      <c r="U149" s="250">
        <f t="shared" si="65"/>
        <v>11034023.83008009</v>
      </c>
      <c r="V149" s="250">
        <f t="shared" si="65"/>
        <v>11029885.163739994</v>
      </c>
      <c r="W149" s="250">
        <f t="shared" si="65"/>
        <v>10576097.490618818</v>
      </c>
      <c r="X149" s="250">
        <f t="shared" si="65"/>
        <v>10136756.380222248</v>
      </c>
      <c r="Y149" s="250">
        <f t="shared" si="65"/>
        <v>9710495.7905676272</v>
      </c>
      <c r="Z149" s="250">
        <f t="shared" si="65"/>
        <v>10693331.315885209</v>
      </c>
      <c r="AA149" s="250">
        <f t="shared" si="65"/>
        <v>64158.032700897602</v>
      </c>
      <c r="AB149" s="250">
        <f t="shared" si="65"/>
        <v>92679.553053222597</v>
      </c>
      <c r="AC149" s="250">
        <f t="shared" si="65"/>
        <v>76879.222620633896</v>
      </c>
      <c r="AD149" s="250">
        <f t="shared" si="65"/>
        <v>60953.606266418006</v>
      </c>
      <c r="AE149" s="250">
        <f t="shared" si="65"/>
        <v>34613.080384750385</v>
      </c>
      <c r="AF149" s="250">
        <f t="shared" si="65"/>
        <v>0</v>
      </c>
      <c r="AG149" s="250">
        <f t="shared" si="65"/>
        <v>0</v>
      </c>
      <c r="AH149" s="250">
        <f t="shared" si="65"/>
        <v>0</v>
      </c>
      <c r="AI149" s="250">
        <f t="shared" si="65"/>
        <v>0</v>
      </c>
      <c r="AJ149" s="250">
        <f t="shared" si="65"/>
        <v>0</v>
      </c>
    </row>
    <row r="150" spans="2:36" ht="16">
      <c r="B150" s="230"/>
      <c r="C150" s="230"/>
      <c r="D150" s="230"/>
      <c r="E150" s="274"/>
      <c r="F150" s="274"/>
      <c r="G150" s="250"/>
      <c r="H150" s="250"/>
      <c r="I150" s="250"/>
      <c r="J150" s="250"/>
      <c r="K150" s="250"/>
      <c r="L150" s="250"/>
      <c r="M150" s="250"/>
      <c r="N150" s="250"/>
      <c r="O150" s="250"/>
      <c r="P150" s="250"/>
      <c r="Q150" s="250"/>
      <c r="R150" s="250"/>
      <c r="S150" s="250"/>
      <c r="T150" s="250"/>
      <c r="U150" s="250"/>
      <c r="V150" s="250"/>
      <c r="W150" s="250"/>
      <c r="X150" s="250"/>
      <c r="Y150" s="250"/>
      <c r="Z150" s="250"/>
      <c r="AA150" s="250"/>
      <c r="AB150" s="250"/>
      <c r="AC150" s="250"/>
      <c r="AD150" s="250"/>
      <c r="AE150" s="250"/>
      <c r="AF150" s="250"/>
      <c r="AG150" s="250"/>
      <c r="AH150" s="250"/>
      <c r="AI150" s="250"/>
      <c r="AJ150" s="250"/>
    </row>
    <row r="151" spans="2:36" ht="16">
      <c r="B151" s="312" t="s">
        <v>257</v>
      </c>
      <c r="C151" s="312"/>
      <c r="D151" s="312"/>
      <c r="E151" s="274"/>
      <c r="F151" s="274"/>
      <c r="G151" s="250"/>
      <c r="H151" s="250"/>
      <c r="I151" s="250"/>
      <c r="J151" s="250"/>
      <c r="K151" s="250"/>
      <c r="L151" s="250"/>
      <c r="M151" s="250"/>
      <c r="N151" s="250"/>
      <c r="O151" s="250"/>
      <c r="P151" s="250"/>
      <c r="Q151" s="250"/>
      <c r="R151" s="250"/>
      <c r="S151" s="250"/>
      <c r="T151" s="250"/>
      <c r="U151" s="250"/>
      <c r="V151" s="250"/>
      <c r="W151" s="250"/>
      <c r="X151" s="250"/>
      <c r="Y151" s="250"/>
      <c r="Z151" s="250"/>
      <c r="AA151" s="250"/>
      <c r="AB151" s="250"/>
      <c r="AC151" s="250"/>
      <c r="AD151" s="250"/>
      <c r="AE151" s="250"/>
      <c r="AF151" s="250"/>
      <c r="AG151" s="250"/>
      <c r="AH151" s="250"/>
      <c r="AI151" s="250"/>
      <c r="AJ151" s="250"/>
    </row>
    <row r="152" spans="2:36" ht="16">
      <c r="B152" s="230" t="s">
        <v>202</v>
      </c>
      <c r="C152" s="230"/>
      <c r="D152" s="230"/>
      <c r="E152" s="274"/>
      <c r="F152" s="274"/>
      <c r="G152" s="250">
        <v>0</v>
      </c>
      <c r="H152" s="250">
        <f>G155</f>
        <v>21566319.336704142</v>
      </c>
      <c r="I152" s="250">
        <f t="shared" ref="I152:AJ152" si="66">H155</f>
        <v>37078097.338473946</v>
      </c>
      <c r="J152" s="250">
        <f t="shared" si="66"/>
        <v>41946773.34382093</v>
      </c>
      <c r="K152" s="250">
        <f t="shared" si="66"/>
        <v>40940179.568340153</v>
      </c>
      <c r="L152" s="250">
        <f t="shared" si="66"/>
        <v>39902828.086756572</v>
      </c>
      <c r="M152" s="250">
        <f t="shared" si="66"/>
        <v>34083474.651368946</v>
      </c>
      <c r="N152" s="250">
        <f t="shared" si="66"/>
        <v>23397118.692276169</v>
      </c>
      <c r="O152" s="250">
        <f t="shared" si="66"/>
        <v>12602702.774480494</v>
      </c>
      <c r="P152" s="250">
        <f t="shared" si="66"/>
        <v>1682069.8136309572</v>
      </c>
      <c r="Q152" s="250">
        <f t="shared" si="66"/>
        <v>0</v>
      </c>
      <c r="R152" s="250">
        <f t="shared" si="66"/>
        <v>0</v>
      </c>
      <c r="S152" s="250">
        <f t="shared" si="66"/>
        <v>0</v>
      </c>
      <c r="T152" s="250">
        <f t="shared" si="66"/>
        <v>0</v>
      </c>
      <c r="U152" s="250">
        <f t="shared" si="66"/>
        <v>0</v>
      </c>
      <c r="V152" s="250">
        <f t="shared" si="66"/>
        <v>0</v>
      </c>
      <c r="W152" s="250">
        <f t="shared" si="66"/>
        <v>0</v>
      </c>
      <c r="X152" s="250">
        <f t="shared" si="66"/>
        <v>0</v>
      </c>
      <c r="Y152" s="250">
        <f t="shared" si="66"/>
        <v>0</v>
      </c>
      <c r="Z152" s="250">
        <f t="shared" si="66"/>
        <v>0</v>
      </c>
      <c r="AA152" s="250">
        <f t="shared" si="66"/>
        <v>0</v>
      </c>
      <c r="AB152" s="250">
        <f t="shared" si="66"/>
        <v>0</v>
      </c>
      <c r="AC152" s="250">
        <f t="shared" si="66"/>
        <v>0</v>
      </c>
      <c r="AD152" s="250">
        <f t="shared" si="66"/>
        <v>0</v>
      </c>
      <c r="AE152" s="250">
        <f t="shared" si="66"/>
        <v>0</v>
      </c>
      <c r="AF152" s="250">
        <f t="shared" si="66"/>
        <v>0</v>
      </c>
      <c r="AG152" s="250">
        <f t="shared" si="66"/>
        <v>0</v>
      </c>
      <c r="AH152" s="250">
        <f t="shared" si="66"/>
        <v>0</v>
      </c>
      <c r="AI152" s="250">
        <f t="shared" si="66"/>
        <v>0</v>
      </c>
      <c r="AJ152" s="250">
        <f t="shared" si="66"/>
        <v>0</v>
      </c>
    </row>
    <row r="153" spans="2:36" ht="16">
      <c r="B153" s="230" t="s">
        <v>203</v>
      </c>
      <c r="C153" s="230"/>
      <c r="D153" s="230"/>
      <c r="E153" s="274"/>
      <c r="F153" s="274"/>
      <c r="G153" s="250">
        <f>IF(G$149&gt;0,0,-G$149)</f>
        <v>21566319.336704142</v>
      </c>
      <c r="H153" s="250">
        <f t="shared" ref="H153:AJ153" si="67">IF(H$149&gt;0,0,-H$149)</f>
        <v>15511778.001769803</v>
      </c>
      <c r="I153" s="250">
        <f t="shared" si="67"/>
        <v>4868676.0053469799</v>
      </c>
      <c r="J153" s="250">
        <f t="shared" si="67"/>
        <v>0</v>
      </c>
      <c r="K153" s="250">
        <f t="shared" si="67"/>
        <v>0</v>
      </c>
      <c r="L153" s="250">
        <f t="shared" si="67"/>
        <v>0</v>
      </c>
      <c r="M153" s="250">
        <f t="shared" si="67"/>
        <v>0</v>
      </c>
      <c r="N153" s="250">
        <f t="shared" si="67"/>
        <v>0</v>
      </c>
      <c r="O153" s="250">
        <f t="shared" si="67"/>
        <v>0</v>
      </c>
      <c r="P153" s="250">
        <f t="shared" si="67"/>
        <v>0</v>
      </c>
      <c r="Q153" s="250">
        <f t="shared" si="67"/>
        <v>0</v>
      </c>
      <c r="R153" s="250">
        <f t="shared" si="67"/>
        <v>0</v>
      </c>
      <c r="S153" s="250">
        <f t="shared" si="67"/>
        <v>0</v>
      </c>
      <c r="T153" s="250">
        <f t="shared" si="67"/>
        <v>0</v>
      </c>
      <c r="U153" s="250">
        <f t="shared" si="67"/>
        <v>0</v>
      </c>
      <c r="V153" s="250">
        <f t="shared" si="67"/>
        <v>0</v>
      </c>
      <c r="W153" s="250">
        <f t="shared" si="67"/>
        <v>0</v>
      </c>
      <c r="X153" s="250">
        <f t="shared" si="67"/>
        <v>0</v>
      </c>
      <c r="Y153" s="250">
        <f t="shared" si="67"/>
        <v>0</v>
      </c>
      <c r="Z153" s="250">
        <f t="shared" si="67"/>
        <v>0</v>
      </c>
      <c r="AA153" s="250">
        <f t="shared" si="67"/>
        <v>0</v>
      </c>
      <c r="AB153" s="250">
        <f t="shared" si="67"/>
        <v>0</v>
      </c>
      <c r="AC153" s="250">
        <f t="shared" si="67"/>
        <v>0</v>
      </c>
      <c r="AD153" s="250">
        <f t="shared" si="67"/>
        <v>0</v>
      </c>
      <c r="AE153" s="250">
        <f t="shared" si="67"/>
        <v>0</v>
      </c>
      <c r="AF153" s="250">
        <f t="shared" si="67"/>
        <v>0</v>
      </c>
      <c r="AG153" s="250">
        <f t="shared" si="67"/>
        <v>0</v>
      </c>
      <c r="AH153" s="250">
        <f t="shared" si="67"/>
        <v>0</v>
      </c>
      <c r="AI153" s="250">
        <f t="shared" si="67"/>
        <v>0</v>
      </c>
      <c r="AJ153" s="250">
        <f t="shared" si="67"/>
        <v>0</v>
      </c>
    </row>
    <row r="154" spans="2:36" ht="16">
      <c r="B154" s="230" t="s">
        <v>201</v>
      </c>
      <c r="C154" s="230"/>
      <c r="D154" s="230"/>
      <c r="E154" s="274"/>
      <c r="F154" s="274"/>
      <c r="G154" s="250">
        <f t="shared" ref="G154:L154" si="68">IF(G$149&lt;=0,0,-MIN(G$149,F$155))</f>
        <v>0</v>
      </c>
      <c r="H154" s="250">
        <f t="shared" si="68"/>
        <v>0</v>
      </c>
      <c r="I154" s="250">
        <f t="shared" si="68"/>
        <v>0</v>
      </c>
      <c r="J154" s="250">
        <f t="shared" si="68"/>
        <v>-1006593.7754807808</v>
      </c>
      <c r="K154" s="250">
        <f t="shared" si="68"/>
        <v>-1037351.4815835785</v>
      </c>
      <c r="L154" s="250">
        <f t="shared" si="68"/>
        <v>-5819353.4353876235</v>
      </c>
      <c r="M154" s="250">
        <f>IF(M$149&lt;=0,0,-MIN(M$149,L$155))</f>
        <v>-10686355.959092777</v>
      </c>
      <c r="N154" s="250">
        <f t="shared" ref="N154:AJ154" si="69">IF(N$149&lt;=0,0,-MIN(N$149,M$155))</f>
        <v>-10794415.917795675</v>
      </c>
      <c r="O154" s="250">
        <f t="shared" si="69"/>
        <v>-10920632.960849537</v>
      </c>
      <c r="P154" s="250">
        <f t="shared" si="69"/>
        <v>-1682069.8136309572</v>
      </c>
      <c r="Q154" s="250">
        <f t="shared" si="69"/>
        <v>0</v>
      </c>
      <c r="R154" s="250">
        <f t="shared" si="69"/>
        <v>0</v>
      </c>
      <c r="S154" s="250">
        <f t="shared" si="69"/>
        <v>0</v>
      </c>
      <c r="T154" s="250">
        <f t="shared" si="69"/>
        <v>0</v>
      </c>
      <c r="U154" s="250">
        <f t="shared" si="69"/>
        <v>0</v>
      </c>
      <c r="V154" s="250">
        <f t="shared" si="69"/>
        <v>0</v>
      </c>
      <c r="W154" s="250">
        <f t="shared" si="69"/>
        <v>0</v>
      </c>
      <c r="X154" s="250">
        <f t="shared" si="69"/>
        <v>0</v>
      </c>
      <c r="Y154" s="250">
        <f t="shared" si="69"/>
        <v>0</v>
      </c>
      <c r="Z154" s="250">
        <f t="shared" si="69"/>
        <v>0</v>
      </c>
      <c r="AA154" s="250">
        <f t="shared" si="69"/>
        <v>0</v>
      </c>
      <c r="AB154" s="250">
        <f t="shared" si="69"/>
        <v>0</v>
      </c>
      <c r="AC154" s="250">
        <f t="shared" si="69"/>
        <v>0</v>
      </c>
      <c r="AD154" s="250">
        <f t="shared" si="69"/>
        <v>0</v>
      </c>
      <c r="AE154" s="250">
        <f t="shared" si="69"/>
        <v>0</v>
      </c>
      <c r="AF154" s="250">
        <f t="shared" si="69"/>
        <v>0</v>
      </c>
      <c r="AG154" s="250">
        <f t="shared" si="69"/>
        <v>0</v>
      </c>
      <c r="AH154" s="250">
        <f t="shared" si="69"/>
        <v>0</v>
      </c>
      <c r="AI154" s="250">
        <f t="shared" si="69"/>
        <v>0</v>
      </c>
      <c r="AJ154" s="250">
        <f t="shared" si="69"/>
        <v>0</v>
      </c>
    </row>
    <row r="155" spans="2:36" ht="16">
      <c r="B155" s="230" t="s">
        <v>204</v>
      </c>
      <c r="C155" s="230"/>
      <c r="D155" s="230"/>
      <c r="E155" s="274"/>
      <c r="F155" s="274"/>
      <c r="G155" s="250">
        <f>SUM(G152:G154)</f>
        <v>21566319.336704142</v>
      </c>
      <c r="H155" s="250">
        <f t="shared" ref="H155:AJ155" si="70">SUM(H152:H154)</f>
        <v>37078097.338473946</v>
      </c>
      <c r="I155" s="250">
        <f t="shared" si="70"/>
        <v>41946773.34382093</v>
      </c>
      <c r="J155" s="250">
        <f t="shared" si="70"/>
        <v>40940179.568340153</v>
      </c>
      <c r="K155" s="250">
        <f t="shared" si="70"/>
        <v>39902828.086756572</v>
      </c>
      <c r="L155" s="250">
        <f t="shared" si="70"/>
        <v>34083474.651368946</v>
      </c>
      <c r="M155" s="250">
        <f t="shared" si="70"/>
        <v>23397118.692276169</v>
      </c>
      <c r="N155" s="250">
        <f t="shared" si="70"/>
        <v>12602702.774480494</v>
      </c>
      <c r="O155" s="250">
        <f t="shared" si="70"/>
        <v>1682069.8136309572</v>
      </c>
      <c r="P155" s="250">
        <f t="shared" si="70"/>
        <v>0</v>
      </c>
      <c r="Q155" s="250">
        <f t="shared" si="70"/>
        <v>0</v>
      </c>
      <c r="R155" s="250">
        <f t="shared" si="70"/>
        <v>0</v>
      </c>
      <c r="S155" s="250">
        <f t="shared" si="70"/>
        <v>0</v>
      </c>
      <c r="T155" s="250">
        <f t="shared" si="70"/>
        <v>0</v>
      </c>
      <c r="U155" s="250">
        <f t="shared" si="70"/>
        <v>0</v>
      </c>
      <c r="V155" s="250">
        <f t="shared" si="70"/>
        <v>0</v>
      </c>
      <c r="W155" s="250">
        <f t="shared" si="70"/>
        <v>0</v>
      </c>
      <c r="X155" s="250">
        <f t="shared" si="70"/>
        <v>0</v>
      </c>
      <c r="Y155" s="250">
        <f t="shared" si="70"/>
        <v>0</v>
      </c>
      <c r="Z155" s="250">
        <f t="shared" si="70"/>
        <v>0</v>
      </c>
      <c r="AA155" s="250">
        <f t="shared" si="70"/>
        <v>0</v>
      </c>
      <c r="AB155" s="250">
        <f t="shared" si="70"/>
        <v>0</v>
      </c>
      <c r="AC155" s="250">
        <f t="shared" si="70"/>
        <v>0</v>
      </c>
      <c r="AD155" s="250">
        <f t="shared" si="70"/>
        <v>0</v>
      </c>
      <c r="AE155" s="250">
        <f t="shared" si="70"/>
        <v>0</v>
      </c>
      <c r="AF155" s="250">
        <f t="shared" si="70"/>
        <v>0</v>
      </c>
      <c r="AG155" s="250">
        <f t="shared" si="70"/>
        <v>0</v>
      </c>
      <c r="AH155" s="250">
        <f t="shared" si="70"/>
        <v>0</v>
      </c>
      <c r="AI155" s="250">
        <f t="shared" si="70"/>
        <v>0</v>
      </c>
      <c r="AJ155" s="250">
        <f t="shared" si="70"/>
        <v>0</v>
      </c>
    </row>
    <row r="156" spans="2:36" ht="16">
      <c r="B156" s="230"/>
      <c r="C156" s="230"/>
      <c r="D156" s="230"/>
      <c r="E156" s="274"/>
      <c r="F156" s="274"/>
      <c r="G156" s="274"/>
      <c r="H156" s="274"/>
      <c r="I156" s="274"/>
      <c r="J156" s="274"/>
      <c r="K156" s="274"/>
      <c r="L156" s="274"/>
      <c r="M156" s="274"/>
      <c r="N156" s="274"/>
      <c r="O156" s="274"/>
      <c r="P156" s="274"/>
      <c r="Q156" s="274"/>
      <c r="R156" s="274"/>
      <c r="S156" s="274"/>
      <c r="T156" s="274"/>
      <c r="U156" s="274"/>
      <c r="V156" s="274"/>
      <c r="W156" s="274"/>
      <c r="X156" s="274"/>
      <c r="Y156" s="274"/>
      <c r="Z156" s="274"/>
      <c r="AA156" s="274"/>
      <c r="AB156" s="274"/>
      <c r="AC156" s="274"/>
      <c r="AD156" s="274"/>
      <c r="AE156" s="274"/>
      <c r="AF156" s="274"/>
      <c r="AG156" s="274"/>
      <c r="AH156" s="274"/>
      <c r="AI156" s="274"/>
      <c r="AJ156" s="274"/>
    </row>
    <row r="157" spans="2:36" ht="16">
      <c r="B157" s="230" t="s">
        <v>205</v>
      </c>
      <c r="C157" s="230"/>
      <c r="D157" s="230"/>
      <c r="E157" s="274"/>
      <c r="F157" s="274"/>
      <c r="G157" s="250">
        <f>G149+G153+G154</f>
        <v>0</v>
      </c>
      <c r="H157" s="250">
        <f t="shared" ref="H157:AJ157" si="71">H149+H153+H154</f>
        <v>0</v>
      </c>
      <c r="I157" s="250">
        <f t="shared" si="71"/>
        <v>0</v>
      </c>
      <c r="J157" s="250">
        <f t="shared" si="71"/>
        <v>0</v>
      </c>
      <c r="K157" s="250">
        <f t="shared" si="71"/>
        <v>0</v>
      </c>
      <c r="L157" s="250">
        <f t="shared" si="71"/>
        <v>0</v>
      </c>
      <c r="M157" s="250">
        <f t="shared" si="71"/>
        <v>0</v>
      </c>
      <c r="N157" s="250">
        <f t="shared" si="71"/>
        <v>0</v>
      </c>
      <c r="O157" s="250">
        <f t="shared" si="71"/>
        <v>0</v>
      </c>
      <c r="P157" s="250">
        <f t="shared" si="71"/>
        <v>9384502.5291877873</v>
      </c>
      <c r="Q157" s="250">
        <f t="shared" si="71"/>
        <v>11233276.57921664</v>
      </c>
      <c r="R157" s="250">
        <f t="shared" si="71"/>
        <v>11306488.865989033</v>
      </c>
      <c r="S157" s="250">
        <f t="shared" si="71"/>
        <v>11173298.674121425</v>
      </c>
      <c r="T157" s="250">
        <f t="shared" si="71"/>
        <v>11082137.907035243</v>
      </c>
      <c r="U157" s="250">
        <f t="shared" si="71"/>
        <v>11034023.83008009</v>
      </c>
      <c r="V157" s="250">
        <f t="shared" si="71"/>
        <v>11029885.163739994</v>
      </c>
      <c r="W157" s="250">
        <f t="shared" si="71"/>
        <v>10576097.490618818</v>
      </c>
      <c r="X157" s="250">
        <f t="shared" si="71"/>
        <v>10136756.380222248</v>
      </c>
      <c r="Y157" s="250">
        <f t="shared" si="71"/>
        <v>9710495.7905676272</v>
      </c>
      <c r="Z157" s="250">
        <f t="shared" si="71"/>
        <v>10693331.315885209</v>
      </c>
      <c r="AA157" s="250">
        <f t="shared" si="71"/>
        <v>64158.032700897602</v>
      </c>
      <c r="AB157" s="250">
        <f t="shared" si="71"/>
        <v>92679.553053222597</v>
      </c>
      <c r="AC157" s="250">
        <f t="shared" si="71"/>
        <v>76879.222620633896</v>
      </c>
      <c r="AD157" s="250">
        <f t="shared" si="71"/>
        <v>60953.606266418006</v>
      </c>
      <c r="AE157" s="250">
        <f t="shared" si="71"/>
        <v>34613.080384750385</v>
      </c>
      <c r="AF157" s="250">
        <f t="shared" si="71"/>
        <v>0</v>
      </c>
      <c r="AG157" s="250">
        <f t="shared" si="71"/>
        <v>0</v>
      </c>
      <c r="AH157" s="250">
        <f t="shared" si="71"/>
        <v>0</v>
      </c>
      <c r="AI157" s="250">
        <f t="shared" si="71"/>
        <v>0</v>
      </c>
      <c r="AJ157" s="250">
        <f t="shared" si="71"/>
        <v>0</v>
      </c>
    </row>
    <row r="158" spans="2:36" ht="16">
      <c r="B158" s="230"/>
      <c r="C158" s="230"/>
      <c r="D158" s="230"/>
      <c r="E158" s="274"/>
      <c r="F158" s="274"/>
      <c r="G158" s="250"/>
      <c r="H158" s="250"/>
      <c r="I158" s="250"/>
      <c r="J158" s="250"/>
      <c r="K158" s="250"/>
      <c r="L158" s="250"/>
      <c r="M158" s="250"/>
      <c r="N158" s="250"/>
      <c r="O158" s="250"/>
      <c r="P158" s="250"/>
      <c r="Q158" s="250"/>
      <c r="R158" s="250"/>
      <c r="S158" s="250"/>
      <c r="T158" s="250"/>
      <c r="U158" s="250"/>
      <c r="V158" s="250"/>
      <c r="W158" s="250"/>
      <c r="X158" s="250"/>
      <c r="Y158" s="250"/>
      <c r="Z158" s="250"/>
      <c r="AA158" s="250"/>
      <c r="AB158" s="250"/>
      <c r="AC158" s="250"/>
      <c r="AD158" s="250"/>
      <c r="AE158" s="250"/>
      <c r="AF158" s="250"/>
      <c r="AG158" s="250"/>
      <c r="AH158" s="250"/>
      <c r="AI158" s="250"/>
      <c r="AJ158" s="250"/>
    </row>
    <row r="159" spans="2:36" ht="16">
      <c r="B159" s="312" t="s">
        <v>258</v>
      </c>
      <c r="C159" s="312"/>
      <c r="D159" s="312"/>
      <c r="E159" s="274"/>
      <c r="F159" s="274"/>
      <c r="G159" s="250"/>
      <c r="H159" s="250"/>
      <c r="I159" s="250"/>
      <c r="J159" s="250"/>
      <c r="K159" s="250"/>
      <c r="L159" s="250"/>
      <c r="M159" s="250"/>
      <c r="N159" s="250"/>
      <c r="O159" s="250"/>
      <c r="P159" s="250"/>
      <c r="Q159" s="250"/>
      <c r="R159" s="250"/>
      <c r="S159" s="250"/>
      <c r="T159" s="250"/>
      <c r="U159" s="250"/>
      <c r="V159" s="250"/>
      <c r="W159" s="250"/>
      <c r="X159" s="250"/>
      <c r="Y159" s="250"/>
      <c r="Z159" s="250"/>
      <c r="AA159" s="250"/>
      <c r="AB159" s="250"/>
      <c r="AC159" s="250"/>
      <c r="AD159" s="250"/>
      <c r="AE159" s="250"/>
      <c r="AF159" s="250"/>
      <c r="AG159" s="250"/>
      <c r="AH159" s="250"/>
      <c r="AI159" s="250"/>
      <c r="AJ159" s="250"/>
    </row>
    <row r="160" spans="2:36" ht="16">
      <c r="B160" s="230" t="s">
        <v>202</v>
      </c>
      <c r="C160" s="230"/>
      <c r="D160" s="230"/>
      <c r="E160" s="274"/>
      <c r="F160" s="274"/>
      <c r="G160" s="250">
        <v>0</v>
      </c>
      <c r="H160" s="250">
        <f>G163</f>
        <v>21566319.336704142</v>
      </c>
      <c r="I160" s="250">
        <f t="shared" ref="I160:AJ160" si="72">H163</f>
        <v>37078097.338473946</v>
      </c>
      <c r="J160" s="250">
        <f t="shared" si="72"/>
        <v>41946773.34382093</v>
      </c>
      <c r="K160" s="250">
        <f t="shared" si="72"/>
        <v>40940179.568340153</v>
      </c>
      <c r="L160" s="250">
        <f t="shared" si="72"/>
        <v>39902828.086756572</v>
      </c>
      <c r="M160" s="250">
        <f t="shared" si="72"/>
        <v>34083474.651368946</v>
      </c>
      <c r="N160" s="250">
        <f t="shared" si="72"/>
        <v>23397118.692276169</v>
      </c>
      <c r="O160" s="250">
        <f t="shared" si="72"/>
        <v>12602702.774480494</v>
      </c>
      <c r="P160" s="250">
        <f t="shared" si="72"/>
        <v>1682069.8136309572</v>
      </c>
      <c r="Q160" s="250">
        <f t="shared" si="72"/>
        <v>0</v>
      </c>
      <c r="R160" s="250">
        <f t="shared" si="72"/>
        <v>0</v>
      </c>
      <c r="S160" s="250">
        <f t="shared" si="72"/>
        <v>0</v>
      </c>
      <c r="T160" s="250">
        <f t="shared" si="72"/>
        <v>0</v>
      </c>
      <c r="U160" s="250">
        <f t="shared" si="72"/>
        <v>0</v>
      </c>
      <c r="V160" s="250">
        <f t="shared" si="72"/>
        <v>0</v>
      </c>
      <c r="W160" s="250">
        <f t="shared" si="72"/>
        <v>0</v>
      </c>
      <c r="X160" s="250">
        <f t="shared" si="72"/>
        <v>0</v>
      </c>
      <c r="Y160" s="250">
        <f t="shared" si="72"/>
        <v>0</v>
      </c>
      <c r="Z160" s="250">
        <f t="shared" si="72"/>
        <v>0</v>
      </c>
      <c r="AA160" s="250">
        <f t="shared" si="72"/>
        <v>0</v>
      </c>
      <c r="AB160" s="250">
        <f t="shared" si="72"/>
        <v>0</v>
      </c>
      <c r="AC160" s="250">
        <f t="shared" si="72"/>
        <v>0</v>
      </c>
      <c r="AD160" s="250">
        <f t="shared" si="72"/>
        <v>0</v>
      </c>
      <c r="AE160" s="250">
        <f t="shared" si="72"/>
        <v>0</v>
      </c>
      <c r="AF160" s="250">
        <f t="shared" si="72"/>
        <v>0</v>
      </c>
      <c r="AG160" s="250">
        <f t="shared" si="72"/>
        <v>0</v>
      </c>
      <c r="AH160" s="250">
        <f t="shared" si="72"/>
        <v>0</v>
      </c>
      <c r="AI160" s="250">
        <f t="shared" si="72"/>
        <v>0</v>
      </c>
      <c r="AJ160" s="250">
        <f t="shared" si="72"/>
        <v>0</v>
      </c>
    </row>
    <row r="161" spans="2:36" ht="16">
      <c r="B161" s="230" t="s">
        <v>203</v>
      </c>
      <c r="C161" s="230"/>
      <c r="D161" s="230"/>
      <c r="E161" s="274"/>
      <c r="F161" s="274"/>
      <c r="G161" s="250">
        <f>IF(G$149&gt;0,0,-G$149)</f>
        <v>21566319.336704142</v>
      </c>
      <c r="H161" s="250">
        <f t="shared" ref="H161:AJ161" si="73">IF(H$149&gt;0,0,-H$149)</f>
        <v>15511778.001769803</v>
      </c>
      <c r="I161" s="250">
        <f t="shared" si="73"/>
        <v>4868676.0053469799</v>
      </c>
      <c r="J161" s="250">
        <f t="shared" si="73"/>
        <v>0</v>
      </c>
      <c r="K161" s="250">
        <f t="shared" si="73"/>
        <v>0</v>
      </c>
      <c r="L161" s="250">
        <f t="shared" si="73"/>
        <v>0</v>
      </c>
      <c r="M161" s="250">
        <f t="shared" si="73"/>
        <v>0</v>
      </c>
      <c r="N161" s="250">
        <f t="shared" si="73"/>
        <v>0</v>
      </c>
      <c r="O161" s="250">
        <f t="shared" si="73"/>
        <v>0</v>
      </c>
      <c r="P161" s="250">
        <f t="shared" si="73"/>
        <v>0</v>
      </c>
      <c r="Q161" s="250">
        <f t="shared" si="73"/>
        <v>0</v>
      </c>
      <c r="R161" s="250">
        <f t="shared" si="73"/>
        <v>0</v>
      </c>
      <c r="S161" s="250">
        <f t="shared" si="73"/>
        <v>0</v>
      </c>
      <c r="T161" s="250">
        <f t="shared" si="73"/>
        <v>0</v>
      </c>
      <c r="U161" s="250">
        <f t="shared" si="73"/>
        <v>0</v>
      </c>
      <c r="V161" s="250">
        <f t="shared" si="73"/>
        <v>0</v>
      </c>
      <c r="W161" s="250">
        <f t="shared" si="73"/>
        <v>0</v>
      </c>
      <c r="X161" s="250">
        <f t="shared" si="73"/>
        <v>0</v>
      </c>
      <c r="Y161" s="250">
        <f t="shared" si="73"/>
        <v>0</v>
      </c>
      <c r="Z161" s="250">
        <f t="shared" si="73"/>
        <v>0</v>
      </c>
      <c r="AA161" s="250">
        <f t="shared" si="73"/>
        <v>0</v>
      </c>
      <c r="AB161" s="250">
        <f t="shared" si="73"/>
        <v>0</v>
      </c>
      <c r="AC161" s="250">
        <f t="shared" si="73"/>
        <v>0</v>
      </c>
      <c r="AD161" s="250">
        <f t="shared" si="73"/>
        <v>0</v>
      </c>
      <c r="AE161" s="250">
        <f t="shared" si="73"/>
        <v>0</v>
      </c>
      <c r="AF161" s="250">
        <f t="shared" si="73"/>
        <v>0</v>
      </c>
      <c r="AG161" s="250">
        <f t="shared" si="73"/>
        <v>0</v>
      </c>
      <c r="AH161" s="250">
        <f t="shared" si="73"/>
        <v>0</v>
      </c>
      <c r="AI161" s="250">
        <f t="shared" si="73"/>
        <v>0</v>
      </c>
      <c r="AJ161" s="250">
        <f t="shared" si="73"/>
        <v>0</v>
      </c>
    </row>
    <row r="162" spans="2:36" ht="16">
      <c r="B162" s="230" t="s">
        <v>201</v>
      </c>
      <c r="C162" s="230"/>
      <c r="D162" s="230"/>
      <c r="E162" s="274"/>
      <c r="F162" s="274"/>
      <c r="G162" s="250">
        <f t="shared" ref="G162" si="74">IF(G$149&lt;=0,0,-MIN(G$149,F$155))</f>
        <v>0</v>
      </c>
      <c r="H162" s="250">
        <f t="shared" ref="H162" si="75">IF(H$149&lt;=0,0,-MIN(H$149,G$155))</f>
        <v>0</v>
      </c>
      <c r="I162" s="250">
        <f t="shared" ref="I162" si="76">IF(I$149&lt;=0,0,-MIN(I$149,H$155))</f>
        <v>0</v>
      </c>
      <c r="J162" s="250">
        <f t="shared" ref="J162" si="77">IF(J$149&lt;=0,0,-MIN(J$149,I$155))</f>
        <v>-1006593.7754807808</v>
      </c>
      <c r="K162" s="250">
        <f t="shared" ref="K162" si="78">IF(K$149&lt;=0,0,-MIN(K$149,J$155))</f>
        <v>-1037351.4815835785</v>
      </c>
      <c r="L162" s="250">
        <f t="shared" ref="L162" si="79">IF(L$149&lt;=0,0,-MIN(L$149,K$155))</f>
        <v>-5819353.4353876235</v>
      </c>
      <c r="M162" s="250">
        <f t="shared" ref="M162" si="80">IF(M$149&lt;=0,0,-MIN(M$149,L$155))</f>
        <v>-10686355.959092777</v>
      </c>
      <c r="N162" s="250">
        <f t="shared" ref="N162" si="81">IF(N$149&lt;=0,0,-MIN(N$149,M$155))</f>
        <v>-10794415.917795675</v>
      </c>
      <c r="O162" s="250">
        <f t="shared" ref="O162" si="82">IF(O$149&lt;=0,0,-MIN(O$149,N$155))</f>
        <v>-10920632.960849537</v>
      </c>
      <c r="P162" s="250">
        <f t="shared" ref="P162" si="83">IF(P$149&lt;=0,0,-MIN(P$149,O$155))</f>
        <v>-1682069.8136309572</v>
      </c>
      <c r="Q162" s="250">
        <f t="shared" ref="Q162" si="84">IF(Q$149&lt;=0,0,-MIN(Q$149,P$155))</f>
        <v>0</v>
      </c>
      <c r="R162" s="250">
        <f t="shared" ref="R162" si="85">IF(R$149&lt;=0,0,-MIN(R$149,Q$155))</f>
        <v>0</v>
      </c>
      <c r="S162" s="250">
        <f t="shared" ref="S162" si="86">IF(S$149&lt;=0,0,-MIN(S$149,R$155))</f>
        <v>0</v>
      </c>
      <c r="T162" s="250">
        <f t="shared" ref="T162" si="87">IF(T$149&lt;=0,0,-MIN(T$149,S$155))</f>
        <v>0</v>
      </c>
      <c r="U162" s="250">
        <f t="shared" ref="U162" si="88">IF(U$149&lt;=0,0,-MIN(U$149,T$155))</f>
        <v>0</v>
      </c>
      <c r="V162" s="250">
        <f t="shared" ref="V162" si="89">IF(V$149&lt;=0,0,-MIN(V$149,U$155))</f>
        <v>0</v>
      </c>
      <c r="W162" s="250">
        <f t="shared" ref="W162" si="90">IF(W$149&lt;=0,0,-MIN(W$149,V$155))</f>
        <v>0</v>
      </c>
      <c r="X162" s="250">
        <f t="shared" ref="X162" si="91">IF(X$149&lt;=0,0,-MIN(X$149,W$155))</f>
        <v>0</v>
      </c>
      <c r="Y162" s="250">
        <f t="shared" ref="Y162" si="92">IF(Y$149&lt;=0,0,-MIN(Y$149,X$155))</f>
        <v>0</v>
      </c>
      <c r="Z162" s="250">
        <f t="shared" ref="Z162" si="93">IF(Z$149&lt;=0,0,-MIN(Z$149,Y$155))</f>
        <v>0</v>
      </c>
      <c r="AA162" s="250">
        <f t="shared" ref="AA162" si="94">IF(AA$149&lt;=0,0,-MIN(AA$149,Z$155))</f>
        <v>0</v>
      </c>
      <c r="AB162" s="250">
        <f t="shared" ref="AB162" si="95">IF(AB$149&lt;=0,0,-MIN(AB$149,AA$155))</f>
        <v>0</v>
      </c>
      <c r="AC162" s="250">
        <f t="shared" ref="AC162" si="96">IF(AC$149&lt;=0,0,-MIN(AC$149,AB$155))</f>
        <v>0</v>
      </c>
      <c r="AD162" s="250">
        <f t="shared" ref="AD162" si="97">IF(AD$149&lt;=0,0,-MIN(AD$149,AC$155))</f>
        <v>0</v>
      </c>
      <c r="AE162" s="250">
        <f t="shared" ref="AE162" si="98">IF(AE$149&lt;=0,0,-MIN(AE$149,AD$155))</f>
        <v>0</v>
      </c>
      <c r="AF162" s="250">
        <f t="shared" ref="AF162" si="99">IF(AF$149&lt;=0,0,-MIN(AF$149,AE$155))</f>
        <v>0</v>
      </c>
      <c r="AG162" s="250">
        <f t="shared" ref="AG162" si="100">IF(AG$149&lt;=0,0,-MIN(AG$149,AF$155))</f>
        <v>0</v>
      </c>
      <c r="AH162" s="250">
        <f t="shared" ref="AH162" si="101">IF(AH$149&lt;=0,0,-MIN(AH$149,AG$155))</f>
        <v>0</v>
      </c>
      <c r="AI162" s="250">
        <f t="shared" ref="AI162" si="102">IF(AI$149&lt;=0,0,-MIN(AI$149,AH$155))</f>
        <v>0</v>
      </c>
      <c r="AJ162" s="250">
        <f t="shared" ref="AJ162" si="103">IF(AJ$149&lt;=0,0,-MIN(AJ$149,AI$155))</f>
        <v>0</v>
      </c>
    </row>
    <row r="163" spans="2:36" ht="16">
      <c r="B163" s="230" t="s">
        <v>204</v>
      </c>
      <c r="C163" s="230"/>
      <c r="D163" s="230"/>
      <c r="E163" s="274"/>
      <c r="F163" s="274"/>
      <c r="G163" s="250">
        <f>SUM(G160:G162)</f>
        <v>21566319.336704142</v>
      </c>
      <c r="H163" s="250">
        <f t="shared" ref="H163:AJ163" si="104">SUM(H160:H162)</f>
        <v>37078097.338473946</v>
      </c>
      <c r="I163" s="250">
        <f t="shared" si="104"/>
        <v>41946773.34382093</v>
      </c>
      <c r="J163" s="250">
        <f t="shared" si="104"/>
        <v>40940179.568340153</v>
      </c>
      <c r="K163" s="250">
        <f t="shared" si="104"/>
        <v>39902828.086756572</v>
      </c>
      <c r="L163" s="250">
        <f t="shared" si="104"/>
        <v>34083474.651368946</v>
      </c>
      <c r="M163" s="250">
        <f t="shared" si="104"/>
        <v>23397118.692276169</v>
      </c>
      <c r="N163" s="250">
        <f t="shared" si="104"/>
        <v>12602702.774480494</v>
      </c>
      <c r="O163" s="250">
        <f t="shared" si="104"/>
        <v>1682069.8136309572</v>
      </c>
      <c r="P163" s="250">
        <f t="shared" si="104"/>
        <v>0</v>
      </c>
      <c r="Q163" s="250">
        <f t="shared" si="104"/>
        <v>0</v>
      </c>
      <c r="R163" s="250">
        <f t="shared" si="104"/>
        <v>0</v>
      </c>
      <c r="S163" s="250">
        <f t="shared" si="104"/>
        <v>0</v>
      </c>
      <c r="T163" s="250">
        <f t="shared" si="104"/>
        <v>0</v>
      </c>
      <c r="U163" s="250">
        <f t="shared" si="104"/>
        <v>0</v>
      </c>
      <c r="V163" s="250">
        <f t="shared" si="104"/>
        <v>0</v>
      </c>
      <c r="W163" s="250">
        <f t="shared" si="104"/>
        <v>0</v>
      </c>
      <c r="X163" s="250">
        <f t="shared" si="104"/>
        <v>0</v>
      </c>
      <c r="Y163" s="250">
        <f t="shared" si="104"/>
        <v>0</v>
      </c>
      <c r="Z163" s="250">
        <f t="shared" si="104"/>
        <v>0</v>
      </c>
      <c r="AA163" s="250">
        <f t="shared" si="104"/>
        <v>0</v>
      </c>
      <c r="AB163" s="250">
        <f t="shared" si="104"/>
        <v>0</v>
      </c>
      <c r="AC163" s="250">
        <f t="shared" si="104"/>
        <v>0</v>
      </c>
      <c r="AD163" s="250">
        <f t="shared" si="104"/>
        <v>0</v>
      </c>
      <c r="AE163" s="250">
        <f t="shared" si="104"/>
        <v>0</v>
      </c>
      <c r="AF163" s="250">
        <f t="shared" si="104"/>
        <v>0</v>
      </c>
      <c r="AG163" s="250">
        <f t="shared" si="104"/>
        <v>0</v>
      </c>
      <c r="AH163" s="250">
        <f t="shared" si="104"/>
        <v>0</v>
      </c>
      <c r="AI163" s="250">
        <f t="shared" si="104"/>
        <v>0</v>
      </c>
      <c r="AJ163" s="250">
        <f t="shared" si="104"/>
        <v>0</v>
      </c>
    </row>
    <row r="164" spans="2:36" ht="16">
      <c r="B164" s="230"/>
      <c r="C164" s="230"/>
      <c r="D164" s="230"/>
      <c r="E164" s="274"/>
      <c r="F164" s="274"/>
      <c r="G164" s="274"/>
      <c r="H164" s="274"/>
      <c r="I164" s="274"/>
      <c r="J164" s="274"/>
      <c r="K164" s="274"/>
      <c r="L164" s="274"/>
      <c r="M164" s="274"/>
      <c r="N164" s="274"/>
      <c r="O164" s="274"/>
      <c r="P164" s="274"/>
      <c r="Q164" s="274"/>
      <c r="R164" s="274"/>
      <c r="S164" s="274"/>
      <c r="T164" s="274"/>
      <c r="U164" s="274"/>
      <c r="V164" s="274"/>
      <c r="W164" s="274"/>
      <c r="X164" s="274"/>
      <c r="Y164" s="274"/>
      <c r="Z164" s="274"/>
      <c r="AA164" s="274"/>
      <c r="AB164" s="274"/>
      <c r="AC164" s="274"/>
      <c r="AD164" s="274"/>
      <c r="AE164" s="274"/>
      <c r="AF164" s="274"/>
      <c r="AG164" s="274"/>
      <c r="AH164" s="274"/>
      <c r="AI164" s="274"/>
      <c r="AJ164" s="274"/>
    </row>
    <row r="165" spans="2:36" ht="16">
      <c r="B165" s="230" t="s">
        <v>205</v>
      </c>
      <c r="C165" s="230"/>
      <c r="D165" s="230"/>
      <c r="E165" s="274"/>
      <c r="F165" s="274"/>
      <c r="G165" s="250">
        <f>G149+G161+G162</f>
        <v>0</v>
      </c>
      <c r="H165" s="250">
        <f t="shared" ref="H165:AJ165" si="105">H149+H161+H162</f>
        <v>0</v>
      </c>
      <c r="I165" s="250">
        <f t="shared" si="105"/>
        <v>0</v>
      </c>
      <c r="J165" s="250">
        <f t="shared" si="105"/>
        <v>0</v>
      </c>
      <c r="K165" s="250">
        <f t="shared" si="105"/>
        <v>0</v>
      </c>
      <c r="L165" s="250">
        <f t="shared" si="105"/>
        <v>0</v>
      </c>
      <c r="M165" s="250">
        <f t="shared" si="105"/>
        <v>0</v>
      </c>
      <c r="N165" s="250">
        <f t="shared" si="105"/>
        <v>0</v>
      </c>
      <c r="O165" s="250">
        <f t="shared" si="105"/>
        <v>0</v>
      </c>
      <c r="P165" s="250">
        <f t="shared" si="105"/>
        <v>9384502.5291877873</v>
      </c>
      <c r="Q165" s="250">
        <f t="shared" si="105"/>
        <v>11233276.57921664</v>
      </c>
      <c r="R165" s="250">
        <f t="shared" si="105"/>
        <v>11306488.865989033</v>
      </c>
      <c r="S165" s="250">
        <f t="shared" si="105"/>
        <v>11173298.674121425</v>
      </c>
      <c r="T165" s="250">
        <f t="shared" si="105"/>
        <v>11082137.907035243</v>
      </c>
      <c r="U165" s="250">
        <f t="shared" si="105"/>
        <v>11034023.83008009</v>
      </c>
      <c r="V165" s="250">
        <f t="shared" si="105"/>
        <v>11029885.163739994</v>
      </c>
      <c r="W165" s="250">
        <f t="shared" si="105"/>
        <v>10576097.490618818</v>
      </c>
      <c r="X165" s="250">
        <f t="shared" si="105"/>
        <v>10136756.380222248</v>
      </c>
      <c r="Y165" s="250">
        <f t="shared" si="105"/>
        <v>9710495.7905676272</v>
      </c>
      <c r="Z165" s="250">
        <f t="shared" si="105"/>
        <v>10693331.315885209</v>
      </c>
      <c r="AA165" s="250">
        <f t="shared" si="105"/>
        <v>64158.032700897602</v>
      </c>
      <c r="AB165" s="250">
        <f t="shared" si="105"/>
        <v>92679.553053222597</v>
      </c>
      <c r="AC165" s="250">
        <f t="shared" si="105"/>
        <v>76879.222620633896</v>
      </c>
      <c r="AD165" s="250">
        <f t="shared" si="105"/>
        <v>60953.606266418006</v>
      </c>
      <c r="AE165" s="250">
        <f t="shared" si="105"/>
        <v>34613.080384750385</v>
      </c>
      <c r="AF165" s="250">
        <f t="shared" si="105"/>
        <v>0</v>
      </c>
      <c r="AG165" s="250">
        <f t="shared" si="105"/>
        <v>0</v>
      </c>
      <c r="AH165" s="250">
        <f t="shared" si="105"/>
        <v>0</v>
      </c>
      <c r="AI165" s="250">
        <f t="shared" si="105"/>
        <v>0</v>
      </c>
      <c r="AJ165" s="250">
        <f t="shared" si="105"/>
        <v>0</v>
      </c>
    </row>
    <row r="166" spans="2:36" ht="16" thickBot="1">
      <c r="B166" s="276"/>
      <c r="C166" s="276"/>
      <c r="D166" s="276"/>
      <c r="E166" s="276"/>
      <c r="F166" s="276"/>
      <c r="G166" s="276"/>
      <c r="H166" s="276"/>
      <c r="I166" s="276"/>
      <c r="J166" s="276"/>
      <c r="K166" s="276"/>
      <c r="L166" s="276"/>
      <c r="M166" s="276"/>
      <c r="N166" s="276"/>
      <c r="O166" s="276"/>
      <c r="P166" s="276"/>
      <c r="Q166" s="276"/>
      <c r="R166" s="276"/>
      <c r="S166" s="276"/>
      <c r="T166" s="276"/>
      <c r="U166" s="276"/>
      <c r="V166" s="276"/>
      <c r="W166" s="276"/>
      <c r="X166" s="276"/>
      <c r="Y166" s="276"/>
      <c r="Z166" s="276"/>
      <c r="AA166" s="276"/>
      <c r="AB166" s="276"/>
      <c r="AC166" s="276"/>
      <c r="AD166" s="276"/>
      <c r="AE166" s="276"/>
      <c r="AF166" s="276"/>
      <c r="AG166" s="276"/>
      <c r="AH166" s="276"/>
      <c r="AI166" s="276"/>
      <c r="AJ166" s="276"/>
    </row>
    <row r="167" spans="2:36" s="11" customFormat="1" ht="16">
      <c r="B167" s="230"/>
      <c r="C167" s="230"/>
      <c r="D167" s="230"/>
      <c r="E167" s="230"/>
      <c r="F167" s="245"/>
      <c r="G167" s="255"/>
      <c r="H167" s="256"/>
      <c r="I167" s="230"/>
      <c r="J167" s="230"/>
      <c r="K167" s="230"/>
      <c r="L167" s="230"/>
      <c r="M167" s="230"/>
      <c r="N167" s="230"/>
      <c r="O167" s="230"/>
      <c r="P167" s="230"/>
      <c r="Q167" s="230"/>
      <c r="R167" s="230"/>
      <c r="S167" s="230"/>
      <c r="T167" s="230"/>
      <c r="U167" s="230"/>
      <c r="V167" s="230"/>
      <c r="W167" s="230"/>
      <c r="X167" s="230"/>
      <c r="Y167" s="230"/>
      <c r="Z167" s="230"/>
      <c r="AA167" s="230"/>
      <c r="AB167" s="230"/>
      <c r="AC167" s="230"/>
      <c r="AD167" s="230"/>
      <c r="AE167" s="230"/>
      <c r="AF167" s="230"/>
      <c r="AG167" s="230"/>
      <c r="AH167" s="230"/>
      <c r="AI167" s="230"/>
      <c r="AJ167" s="230"/>
    </row>
    <row r="168" spans="2:36" s="11" customFormat="1" ht="16">
      <c r="B168" s="229" t="s">
        <v>207</v>
      </c>
      <c r="C168" s="229"/>
      <c r="D168" s="229"/>
      <c r="E168" s="230"/>
      <c r="F168" s="245"/>
      <c r="G168" s="255"/>
      <c r="H168" s="256"/>
      <c r="I168" s="230"/>
      <c r="J168" s="230"/>
      <c r="K168" s="230"/>
      <c r="L168" s="230"/>
      <c r="M168" s="230"/>
      <c r="N168" s="230"/>
      <c r="O168" s="230"/>
      <c r="P168" s="230"/>
      <c r="Q168" s="230"/>
      <c r="R168" s="230"/>
      <c r="S168" s="230"/>
      <c r="T168" s="230"/>
      <c r="U168" s="230"/>
      <c r="V168" s="230"/>
      <c r="W168" s="230"/>
      <c r="X168" s="230"/>
      <c r="Y168" s="230"/>
      <c r="Z168" s="230"/>
      <c r="AA168" s="230"/>
      <c r="AB168" s="230"/>
      <c r="AC168" s="230"/>
      <c r="AD168" s="230"/>
      <c r="AE168" s="230"/>
      <c r="AF168" s="230"/>
      <c r="AG168" s="230"/>
      <c r="AH168" s="230"/>
      <c r="AI168" s="230"/>
      <c r="AJ168" s="230"/>
    </row>
    <row r="169" spans="2:36" s="11" customFormat="1" ht="16">
      <c r="B169" s="230" t="s">
        <v>208</v>
      </c>
      <c r="C169" s="230"/>
      <c r="D169" s="230"/>
      <c r="E169" s="230"/>
      <c r="F169" s="245"/>
      <c r="G169" s="311">
        <f>IF(OR(Inputs!$Q$104="No",Inputs!$Q$55="Performance-Based",Inputs!$Q$55="Neither"),0,IF(AND(Inputs!$Q$56="ITC",G$2=1),Inputs!$Q$59,IF(G$2&gt;1,0,IF(Inputs!$Q$56="Cash Grant",0,"ERROR"))))</f>
        <v>28296271.507218748</v>
      </c>
      <c r="H169" s="311">
        <f>IF(OR(Inputs!$Q$104="No",Inputs!$Q$55="Performance-Based",Inputs!$Q$55="Neither"),0,IF(AND(Inputs!$Q$56="ITC",H$2=1),Inputs!$Q$59,IF(H$2&gt;1,0,IF(Inputs!$Q$56="Cash Grant",0,"ERROR"))))</f>
        <v>0</v>
      </c>
      <c r="I169" s="311">
        <f>IF(OR(Inputs!$Q$104="No",Inputs!$Q$55="Performance-Based",Inputs!$Q$55="Neither"),0,IF(AND(Inputs!$Q$56="ITC",I$2=1),Inputs!$Q$59,IF(I$2&gt;1,0,IF(Inputs!$Q$56="Cash Grant",0,"ERROR"))))</f>
        <v>0</v>
      </c>
      <c r="J169" s="311">
        <f>IF(OR(Inputs!$Q$104="No",Inputs!$Q$55="Performance-Based",Inputs!$Q$55="Neither"),0,IF(AND(Inputs!$Q$56="ITC",J$2=1),Inputs!$Q$59,IF(J$2&gt;1,0,IF(Inputs!$Q$56="Cash Grant",0,"ERROR"))))</f>
        <v>0</v>
      </c>
      <c r="K169" s="311">
        <f>IF(OR(Inputs!$Q$104="No",Inputs!$Q$55="Performance-Based",Inputs!$Q$55="Neither"),0,IF(AND(Inputs!$Q$56="ITC",K$2=1),Inputs!$Q$59,IF(K$2&gt;1,0,IF(Inputs!$Q$56="Cash Grant",0,"ERROR"))))</f>
        <v>0</v>
      </c>
      <c r="L169" s="311">
        <f>IF(OR(Inputs!$Q$104="No",Inputs!$Q$55="Performance-Based",Inputs!$Q$55="Neither"),0,IF(AND(Inputs!$Q$56="ITC",L$2=1),Inputs!$Q$59,IF(L$2&gt;1,0,IF(Inputs!$Q$56="Cash Grant",0,"ERROR"))))</f>
        <v>0</v>
      </c>
      <c r="M169" s="311">
        <f>IF(OR(Inputs!$Q$104="No",Inputs!$Q$55="Performance-Based",Inputs!$Q$55="Neither"),0,IF(AND(Inputs!$Q$56="ITC",M$2=1),Inputs!$Q$59,IF(M$2&gt;1,0,IF(Inputs!$Q$56="Cash Grant",0,"ERROR"))))</f>
        <v>0</v>
      </c>
      <c r="N169" s="311">
        <f>IF(OR(Inputs!$Q$104="No",Inputs!$Q$55="Performance-Based",Inputs!$Q$55="Neither"),0,IF(AND(Inputs!$Q$56="ITC",N$2=1),Inputs!$Q$59,IF(N$2&gt;1,0,IF(Inputs!$Q$56="Cash Grant",0,"ERROR"))))</f>
        <v>0</v>
      </c>
      <c r="O169" s="311">
        <f>IF(OR(Inputs!$Q$104="No",Inputs!$Q$55="Performance-Based",Inputs!$Q$55="Neither"),0,IF(AND(Inputs!$Q$56="ITC",O$2=1),Inputs!$Q$59,IF(O$2&gt;1,0,IF(Inputs!$Q$56="Cash Grant",0,"ERROR"))))</f>
        <v>0</v>
      </c>
      <c r="P169" s="311">
        <f>IF(OR(Inputs!$Q$104="No",Inputs!$Q$55="Performance-Based",Inputs!$Q$55="Neither"),0,IF(AND(Inputs!$Q$56="ITC",P$2=1),Inputs!$Q$59,IF(P$2&gt;1,0,IF(Inputs!$Q$56="Cash Grant",0,"ERROR"))))</f>
        <v>0</v>
      </c>
      <c r="Q169" s="311">
        <f>IF(OR(Inputs!$Q$104="No",Inputs!$Q$55="Performance-Based",Inputs!$Q$55="Neither"),0,IF(AND(Inputs!$Q$56="ITC",Q$2=1),Inputs!$Q$59,IF(Q$2&gt;1,0,IF(Inputs!$Q$56="Cash Grant",0,"ERROR"))))</f>
        <v>0</v>
      </c>
      <c r="R169" s="311">
        <f>IF(OR(Inputs!$Q$104="No",Inputs!$Q$55="Performance-Based",Inputs!$Q$55="Neither"),0,IF(AND(Inputs!$Q$56="ITC",R$2=1),Inputs!$Q$59,IF(R$2&gt;1,0,IF(Inputs!$Q$56="Cash Grant",0,"ERROR"))))</f>
        <v>0</v>
      </c>
      <c r="S169" s="311">
        <f>IF(OR(Inputs!$Q$104="No",Inputs!$Q$55="Performance-Based",Inputs!$Q$55="Neither"),0,IF(AND(Inputs!$Q$56="ITC",S$2=1),Inputs!$Q$59,IF(S$2&gt;1,0,IF(Inputs!$Q$56="Cash Grant",0,"ERROR"))))</f>
        <v>0</v>
      </c>
      <c r="T169" s="311">
        <f>IF(OR(Inputs!$Q$104="No",Inputs!$Q$55="Performance-Based",Inputs!$Q$55="Neither"),0,IF(AND(Inputs!$Q$56="ITC",T$2=1),Inputs!$Q$59,IF(T$2&gt;1,0,IF(Inputs!$Q$56="Cash Grant",0,"ERROR"))))</f>
        <v>0</v>
      </c>
      <c r="U169" s="311">
        <f>IF(OR(Inputs!$Q$104="No",Inputs!$Q$55="Performance-Based",Inputs!$Q$55="Neither"),0,IF(AND(Inputs!$Q$56="ITC",U$2=1),Inputs!$Q$59,IF(U$2&gt;1,0,IF(Inputs!$Q$56="Cash Grant",0,"ERROR"))))</f>
        <v>0</v>
      </c>
      <c r="V169" s="311">
        <f>IF(OR(Inputs!$Q$104="No",Inputs!$Q$55="Performance-Based",Inputs!$Q$55="Neither"),0,IF(AND(Inputs!$Q$56="ITC",V$2=1),Inputs!$Q$59,IF(V$2&gt;1,0,IF(Inputs!$Q$56="Cash Grant",0,"ERROR"))))</f>
        <v>0</v>
      </c>
      <c r="W169" s="311">
        <f>IF(OR(Inputs!$Q$104="No",Inputs!$Q$55="Performance-Based",Inputs!$Q$55="Neither"),0,IF(AND(Inputs!$Q$56="ITC",W$2=1),Inputs!$Q$59,IF(W$2&gt;1,0,IF(Inputs!$Q$56="Cash Grant",0,"ERROR"))))</f>
        <v>0</v>
      </c>
      <c r="X169" s="311">
        <f>IF(OR(Inputs!$Q$104="No",Inputs!$Q$55="Performance-Based",Inputs!$Q$55="Neither"),0,IF(AND(Inputs!$Q$56="ITC",X$2=1),Inputs!$Q$59,IF(X$2&gt;1,0,IF(Inputs!$Q$56="Cash Grant",0,"ERROR"))))</f>
        <v>0</v>
      </c>
      <c r="Y169" s="311">
        <f>IF(OR(Inputs!$Q$104="No",Inputs!$Q$55="Performance-Based",Inputs!$Q$55="Neither"),0,IF(AND(Inputs!$Q$56="ITC",Y$2=1),Inputs!$Q$59,IF(Y$2&gt;1,0,IF(Inputs!$Q$56="Cash Grant",0,"ERROR"))))</f>
        <v>0</v>
      </c>
      <c r="Z169" s="311">
        <f>IF(OR(Inputs!$Q$104="No",Inputs!$Q$55="Performance-Based",Inputs!$Q$55="Neither"),0,IF(AND(Inputs!$Q$56="ITC",Z$2=1),Inputs!$Q$59,IF(Z$2&gt;1,0,IF(Inputs!$Q$56="Cash Grant",0,"ERROR"))))</f>
        <v>0</v>
      </c>
      <c r="AA169" s="311">
        <f>IF(OR(Inputs!$Q$104="No",Inputs!$Q$55="Performance-Based",Inputs!$Q$55="Neither"),0,IF(AND(Inputs!$Q$56="ITC",AA$2=1),Inputs!$Q$59,IF(AA$2&gt;1,0,IF(Inputs!$Q$56="Cash Grant",0,"ERROR"))))</f>
        <v>0</v>
      </c>
      <c r="AB169" s="311">
        <f>IF(OR(Inputs!$Q$104="No",Inputs!$Q$55="Performance-Based",Inputs!$Q$55="Neither"),0,IF(AND(Inputs!$Q$56="ITC",AB$2=1),Inputs!$Q$59,IF(AB$2&gt;1,0,IF(Inputs!$Q$56="Cash Grant",0,"ERROR"))))</f>
        <v>0</v>
      </c>
      <c r="AC169" s="311">
        <f>IF(OR(Inputs!$Q$104="No",Inputs!$Q$55="Performance-Based",Inputs!$Q$55="Neither"),0,IF(AND(Inputs!$Q$56="ITC",AC$2=1),Inputs!$Q$59,IF(AC$2&gt;1,0,IF(Inputs!$Q$56="Cash Grant",0,"ERROR"))))</f>
        <v>0</v>
      </c>
      <c r="AD169" s="311">
        <f>IF(OR(Inputs!$Q$104="No",Inputs!$Q$55="Performance-Based",Inputs!$Q$55="Neither"),0,IF(AND(Inputs!$Q$56="ITC",AD$2=1),Inputs!$Q$59,IF(AD$2&gt;1,0,IF(Inputs!$Q$56="Cash Grant",0,"ERROR"))))</f>
        <v>0</v>
      </c>
      <c r="AE169" s="311">
        <f>IF(OR(Inputs!$Q$104="No",Inputs!$Q$55="Performance-Based",Inputs!$Q$55="Neither"),0,IF(AND(Inputs!$Q$56="ITC",AE$2=1),Inputs!$Q$59,IF(AE$2&gt;1,0,IF(Inputs!$Q$56="Cash Grant",0,"ERROR"))))</f>
        <v>0</v>
      </c>
      <c r="AF169" s="311">
        <f>IF(OR(Inputs!$Q$104="No",Inputs!$Q$55="Performance-Based",Inputs!$Q$55="Neither"),0,IF(AND(Inputs!$Q$56="ITC",AF$2=1),Inputs!$Q$59,IF(AF$2&gt;1,0,IF(Inputs!$Q$56="Cash Grant",0,"ERROR"))))</f>
        <v>0</v>
      </c>
      <c r="AG169" s="311">
        <f>IF(OR(Inputs!$Q$104="No",Inputs!$Q$55="Performance-Based",Inputs!$Q$55="Neither"),0,IF(AND(Inputs!$Q$56="ITC",AG$2=1),Inputs!$Q$59,IF(AG$2&gt;1,0,IF(Inputs!$Q$56="Cash Grant",0,"ERROR"))))</f>
        <v>0</v>
      </c>
      <c r="AH169" s="311">
        <f>IF(OR(Inputs!$Q$104="No",Inputs!$Q$55="Performance-Based",Inputs!$Q$55="Neither"),0,IF(AND(Inputs!$Q$56="ITC",AH$2=1),Inputs!$Q$59,IF(AH$2&gt;1,0,IF(Inputs!$Q$56="Cash Grant",0,"ERROR"))))</f>
        <v>0</v>
      </c>
      <c r="AI169" s="311">
        <f>IF(OR(Inputs!$Q$104="No",Inputs!$Q$55="Performance-Based",Inputs!$Q$55="Neither"),0,IF(AND(Inputs!$Q$56="ITC",AI$2=1),Inputs!$Q$59,IF(AI$2&gt;1,0,IF(Inputs!$Q$56="Cash Grant",0,"ERROR"))))</f>
        <v>0</v>
      </c>
      <c r="AJ169" s="311">
        <f>IF(OR(Inputs!$Q$104="No",Inputs!$Q$55="Performance-Based",Inputs!$Q$55="Neither"),0,IF(AND(Inputs!$Q$56="ITC",AJ$2=1),Inputs!$Q$59,IF(AJ$2&gt;1,0,IF(Inputs!$Q$56="Cash Grant",0,"ERROR"))))</f>
        <v>0</v>
      </c>
    </row>
    <row r="170" spans="2:36" s="11" customFormat="1" ht="16">
      <c r="B170" s="230" t="s">
        <v>168</v>
      </c>
      <c r="C170" s="230"/>
      <c r="D170" s="230"/>
      <c r="E170" s="230"/>
      <c r="F170" s="245"/>
      <c r="G170" s="250">
        <f>IF(OR(Inputs!$Q$104="No",Inputs!$Q$55="Cost-Based",Inputs!$Q$55="Neither"),0,IF(Inputs!$Q$60="Tax Credit",IF(G$2&gt;Inputs!$Q$63,0,Inputs!$Q$61/100*G$9*Inputs!$Q$62*G$5*(1-MIN(Inputs!$Q$65/Inputs!$G$75,50%))),0))</f>
        <v>0</v>
      </c>
      <c r="H170" s="250">
        <f>IF(OR(Inputs!$Q$104="No",Inputs!$Q$55="Cost-Based",Inputs!$Q$55="Neither"),0,IF(Inputs!$Q$60="Tax Credit",IF(H$2&gt;Inputs!$Q$63,0,Inputs!$Q$61/100*H$9*Inputs!$Q$62*H$5*(1-MIN(Inputs!$Q$65/Inputs!$G$75,50%))),0))</f>
        <v>0</v>
      </c>
      <c r="I170" s="250">
        <f>IF(OR(Inputs!$Q$104="No",Inputs!$Q$55="Cost-Based",Inputs!$Q$55="Neither"),0,IF(Inputs!$Q$60="Tax Credit",IF(I$2&gt;Inputs!$Q$63,0,Inputs!$Q$61/100*I$9*Inputs!$Q$62*I$5*(1-MIN(Inputs!$Q$65/Inputs!$G$75,50%))),0))</f>
        <v>0</v>
      </c>
      <c r="J170" s="250">
        <f>IF(OR(Inputs!$Q$104="No",Inputs!$Q$55="Cost-Based",Inputs!$Q$55="Neither"),0,IF(Inputs!$Q$60="Tax Credit",IF(J$2&gt;Inputs!$Q$63,0,Inputs!$Q$61/100*J$9*Inputs!$Q$62*J$5*(1-MIN(Inputs!$Q$65/Inputs!$G$75,50%))),0))</f>
        <v>0</v>
      </c>
      <c r="K170" s="250">
        <f>IF(OR(Inputs!$Q$104="No",Inputs!$Q$55="Cost-Based",Inputs!$Q$55="Neither"),0,IF(Inputs!$Q$60="Tax Credit",IF(K$2&gt;Inputs!$Q$63,0,Inputs!$Q$61/100*K$9*Inputs!$Q$62*K$5*(1-MIN(Inputs!$Q$65/Inputs!$G$75,50%))),0))</f>
        <v>0</v>
      </c>
      <c r="L170" s="250">
        <f>IF(OR(Inputs!$Q$104="No",Inputs!$Q$55="Cost-Based",Inputs!$Q$55="Neither"),0,IF(Inputs!$Q$60="Tax Credit",IF(L$2&gt;Inputs!$Q$63,0,Inputs!$Q$61/100*L$9*Inputs!$Q$62*L$5*(1-MIN(Inputs!$Q$65/Inputs!$G$75,50%))),0))</f>
        <v>0</v>
      </c>
      <c r="M170" s="250">
        <f>IF(OR(Inputs!$Q$104="No",Inputs!$Q$55="Cost-Based",Inputs!$Q$55="Neither"),0,IF(Inputs!$Q$60="Tax Credit",IF(M$2&gt;Inputs!$Q$63,0,Inputs!$Q$61/100*M$9*Inputs!$Q$62*M$5*(1-MIN(Inputs!$Q$65/Inputs!$G$75,50%))),0))</f>
        <v>0</v>
      </c>
      <c r="N170" s="250">
        <f>IF(OR(Inputs!$Q$104="No",Inputs!$Q$55="Cost-Based",Inputs!$Q$55="Neither"),0,IF(Inputs!$Q$60="Tax Credit",IF(N$2&gt;Inputs!$Q$63,0,Inputs!$Q$61/100*N$9*Inputs!$Q$62*N$5*(1-MIN(Inputs!$Q$65/Inputs!$G$75,50%))),0))</f>
        <v>0</v>
      </c>
      <c r="O170" s="250">
        <f>IF(OR(Inputs!$Q$104="No",Inputs!$Q$55="Cost-Based",Inputs!$Q$55="Neither"),0,IF(Inputs!$Q$60="Tax Credit",IF(O$2&gt;Inputs!$Q$63,0,Inputs!$Q$61/100*O$9*Inputs!$Q$62*O$5*(1-MIN(Inputs!$Q$65/Inputs!$G$75,50%))),0))</f>
        <v>0</v>
      </c>
      <c r="P170" s="250">
        <f>IF(OR(Inputs!$Q$104="No",Inputs!$Q$55="Cost-Based",Inputs!$Q$55="Neither"),0,IF(Inputs!$Q$60="Tax Credit",IF(P$2&gt;Inputs!$Q$63,0,Inputs!$Q$61/100*P$9*Inputs!$Q$62*P$5*(1-MIN(Inputs!$Q$65/Inputs!$G$75,50%))),0))</f>
        <v>0</v>
      </c>
      <c r="Q170" s="250">
        <f>IF(OR(Inputs!$Q$104="No",Inputs!$Q$55="Cost-Based",Inputs!$Q$55="Neither"),0,IF(Inputs!$Q$60="Tax Credit",IF(Q$2&gt;Inputs!$Q$63,0,Inputs!$Q$61/100*Q$9*Inputs!$Q$62*Q$5*(1-MIN(Inputs!$Q$65/Inputs!$G$75,50%))),0))</f>
        <v>0</v>
      </c>
      <c r="R170" s="250">
        <f>IF(OR(Inputs!$Q$104="No",Inputs!$Q$55="Cost-Based",Inputs!$Q$55="Neither"),0,IF(Inputs!$Q$60="Tax Credit",IF(R$2&gt;Inputs!$Q$63,0,Inputs!$Q$61/100*R$9*Inputs!$Q$62*R$5*(1-MIN(Inputs!$Q$65/Inputs!$G$75,50%))),0))</f>
        <v>0</v>
      </c>
      <c r="S170" s="250">
        <f>IF(OR(Inputs!$Q$104="No",Inputs!$Q$55="Cost-Based",Inputs!$Q$55="Neither"),0,IF(Inputs!$Q$60="Tax Credit",IF(S$2&gt;Inputs!$Q$63,0,Inputs!$Q$61/100*S$9*Inputs!$Q$62*S$5*(1-MIN(Inputs!$Q$65/Inputs!$G$75,50%))),0))</f>
        <v>0</v>
      </c>
      <c r="T170" s="250">
        <f>IF(OR(Inputs!$Q$104="No",Inputs!$Q$55="Cost-Based",Inputs!$Q$55="Neither"),0,IF(Inputs!$Q$60="Tax Credit",IF(T$2&gt;Inputs!$Q$63,0,Inputs!$Q$61/100*T$9*Inputs!$Q$62*T$5*(1-MIN(Inputs!$Q$65/Inputs!$G$75,50%))),0))</f>
        <v>0</v>
      </c>
      <c r="U170" s="250">
        <f>IF(OR(Inputs!$Q$104="No",Inputs!$Q$55="Cost-Based",Inputs!$Q$55="Neither"),0,IF(Inputs!$Q$60="Tax Credit",IF(U$2&gt;Inputs!$Q$63,0,Inputs!$Q$61/100*U$9*Inputs!$Q$62*U$5*(1-MIN(Inputs!$Q$65/Inputs!$G$75,50%))),0))</f>
        <v>0</v>
      </c>
      <c r="V170" s="250">
        <f>IF(OR(Inputs!$Q$104="No",Inputs!$Q$55="Cost-Based",Inputs!$Q$55="Neither"),0,IF(Inputs!$Q$60="Tax Credit",IF(V$2&gt;Inputs!$Q$63,0,Inputs!$Q$61/100*V$9*Inputs!$Q$62*V$5*(1-MIN(Inputs!$Q$65/Inputs!$G$75,50%))),0))</f>
        <v>0</v>
      </c>
      <c r="W170" s="250">
        <f>IF(OR(Inputs!$Q$104="No",Inputs!$Q$55="Cost-Based",Inputs!$Q$55="Neither"),0,IF(Inputs!$Q$60="Tax Credit",IF(W$2&gt;Inputs!$Q$63,0,Inputs!$Q$61/100*W$9*Inputs!$Q$62*W$5*(1-MIN(Inputs!$Q$65/Inputs!$G$75,50%))),0))</f>
        <v>0</v>
      </c>
      <c r="X170" s="250">
        <f>IF(OR(Inputs!$Q$104="No",Inputs!$Q$55="Cost-Based",Inputs!$Q$55="Neither"),0,IF(Inputs!$Q$60="Tax Credit",IF(X$2&gt;Inputs!$Q$63,0,Inputs!$Q$61/100*X$9*Inputs!$Q$62*X$5*(1-MIN(Inputs!$Q$65/Inputs!$G$75,50%))),0))</f>
        <v>0</v>
      </c>
      <c r="Y170" s="250">
        <f>IF(OR(Inputs!$Q$104="No",Inputs!$Q$55="Cost-Based",Inputs!$Q$55="Neither"),0,IF(Inputs!$Q$60="Tax Credit",IF(Y$2&gt;Inputs!$Q$63,0,Inputs!$Q$61/100*Y$9*Inputs!$Q$62*Y$5*(1-MIN(Inputs!$Q$65/Inputs!$G$75,50%))),0))</f>
        <v>0</v>
      </c>
      <c r="Z170" s="250">
        <f>IF(OR(Inputs!$Q$104="No",Inputs!$Q$55="Cost-Based",Inputs!$Q$55="Neither"),0,IF(Inputs!$Q$60="Tax Credit",IF(Z$2&gt;Inputs!$Q$63,0,Inputs!$Q$61/100*Z$9*Inputs!$Q$62*Z$5*(1-MIN(Inputs!$Q$65/Inputs!$G$75,50%))),0))</f>
        <v>0</v>
      </c>
      <c r="AA170" s="250">
        <f>IF(OR(Inputs!$Q$104="No",Inputs!$Q$55="Cost-Based",Inputs!$Q$55="Neither"),0,IF(Inputs!$Q$60="Tax Credit",IF(AA$2&gt;Inputs!$Q$63,0,Inputs!$Q$61/100*AA$9*Inputs!$Q$62*AA$5*(1-MIN(Inputs!$Q$65/Inputs!$G$75,50%))),0))</f>
        <v>0</v>
      </c>
      <c r="AB170" s="250">
        <f>IF(OR(Inputs!$Q$104="No",Inputs!$Q$55="Cost-Based",Inputs!$Q$55="Neither"),0,IF(Inputs!$Q$60="Tax Credit",IF(AB$2&gt;Inputs!$Q$63,0,Inputs!$Q$61/100*AB$9*Inputs!$Q$62*AB$5*(1-MIN(Inputs!$Q$65/Inputs!$G$75,50%))),0))</f>
        <v>0</v>
      </c>
      <c r="AC170" s="250">
        <f>IF(OR(Inputs!$Q$104="No",Inputs!$Q$55="Cost-Based",Inputs!$Q$55="Neither"),0,IF(Inputs!$Q$60="Tax Credit",IF(AC$2&gt;Inputs!$Q$63,0,Inputs!$Q$61/100*AC$9*Inputs!$Q$62*AC$5*(1-MIN(Inputs!$Q$65/Inputs!$G$75,50%))),0))</f>
        <v>0</v>
      </c>
      <c r="AD170" s="250">
        <f>IF(OR(Inputs!$Q$104="No",Inputs!$Q$55="Cost-Based",Inputs!$Q$55="Neither"),0,IF(Inputs!$Q$60="Tax Credit",IF(AD$2&gt;Inputs!$Q$63,0,Inputs!$Q$61/100*AD$9*Inputs!$Q$62*AD$5*(1-MIN(Inputs!$Q$65/Inputs!$G$75,50%))),0))</f>
        <v>0</v>
      </c>
      <c r="AE170" s="250">
        <f>IF(OR(Inputs!$Q$104="No",Inputs!$Q$55="Cost-Based",Inputs!$Q$55="Neither"),0,IF(Inputs!$Q$60="Tax Credit",IF(AE$2&gt;Inputs!$Q$63,0,Inputs!$Q$61/100*AE$9*Inputs!$Q$62*AE$5*(1-MIN(Inputs!$Q$65/Inputs!$G$75,50%))),0))</f>
        <v>0</v>
      </c>
      <c r="AF170" s="250">
        <f>IF(OR(Inputs!$Q$104="No",Inputs!$Q$55="Cost-Based",Inputs!$Q$55="Neither"),0,IF(Inputs!$Q$60="Tax Credit",IF(AF$2&gt;Inputs!$Q$63,0,Inputs!$Q$61/100*AF$9*Inputs!$Q$62*AF$5*(1-MIN(Inputs!$Q$65/Inputs!$G$75,50%))),0))</f>
        <v>0</v>
      </c>
      <c r="AG170" s="250">
        <f>IF(OR(Inputs!$Q$104="No",Inputs!$Q$55="Cost-Based",Inputs!$Q$55="Neither"),0,IF(Inputs!$Q$60="Tax Credit",IF(AG$2&gt;Inputs!$Q$63,0,Inputs!$Q$61/100*AG$9*Inputs!$Q$62*AG$5*(1-MIN(Inputs!$Q$65/Inputs!$G$75,50%))),0))</f>
        <v>0</v>
      </c>
      <c r="AH170" s="250">
        <f>IF(OR(Inputs!$Q$104="No",Inputs!$Q$55="Cost-Based",Inputs!$Q$55="Neither"),0,IF(Inputs!$Q$60="Tax Credit",IF(AH$2&gt;Inputs!$Q$63,0,Inputs!$Q$61/100*AH$9*Inputs!$Q$62*AH$5*(1-MIN(Inputs!$Q$65/Inputs!$G$75,50%))),0))</f>
        <v>0</v>
      </c>
      <c r="AI170" s="250">
        <f>IF(OR(Inputs!$Q$104="No",Inputs!$Q$55="Cost-Based",Inputs!$Q$55="Neither"),0,IF(Inputs!$Q$60="Tax Credit",IF(AI$2&gt;Inputs!$Q$63,0,Inputs!$Q$61/100*AI$9*Inputs!$Q$62*AI$5*(1-MIN(Inputs!$Q$65/Inputs!$G$75,50%))),0))</f>
        <v>0</v>
      </c>
      <c r="AJ170" s="250">
        <f>IF(OR(Inputs!$Q$104="No",Inputs!$Q$55="Cost-Based",Inputs!$Q$55="Neither"),0,IF(Inputs!$Q$60="Tax Credit",IF(AJ$2&gt;Inputs!$Q$63,0,Inputs!$Q$61/100*AJ$9*Inputs!$Q$62*AJ$5*(1-MIN(Inputs!$Q$65/Inputs!$G$75,50%))),0))</f>
        <v>0</v>
      </c>
    </row>
    <row r="171" spans="2:36" s="11" customFormat="1" ht="16">
      <c r="B171" s="230"/>
      <c r="C171" s="230"/>
      <c r="D171" s="230"/>
      <c r="E171" s="230"/>
      <c r="F171" s="245"/>
      <c r="G171" s="250"/>
      <c r="H171" s="250"/>
      <c r="I171" s="250"/>
      <c r="J171" s="250"/>
      <c r="K171" s="250"/>
      <c r="L171" s="250"/>
      <c r="M171" s="250"/>
      <c r="N171" s="250"/>
      <c r="O171" s="250"/>
      <c r="P171" s="250"/>
      <c r="Q171" s="250"/>
      <c r="R171" s="250"/>
      <c r="S171" s="250"/>
      <c r="T171" s="250"/>
      <c r="U171" s="250"/>
      <c r="V171" s="250"/>
      <c r="W171" s="250"/>
      <c r="X171" s="250"/>
      <c r="Y171" s="250"/>
      <c r="Z171" s="250"/>
      <c r="AA171" s="250"/>
      <c r="AB171" s="250"/>
      <c r="AC171" s="250"/>
      <c r="AD171" s="250"/>
      <c r="AE171" s="250"/>
      <c r="AF171" s="250"/>
      <c r="AG171" s="250"/>
      <c r="AH171" s="250"/>
      <c r="AI171" s="250"/>
      <c r="AJ171" s="250"/>
    </row>
    <row r="172" spans="2:36" s="11" customFormat="1" ht="16">
      <c r="B172" s="230" t="s">
        <v>210</v>
      </c>
      <c r="C172" s="230"/>
      <c r="D172" s="230"/>
      <c r="E172" s="230"/>
      <c r="F172" s="245"/>
      <c r="G172" s="250">
        <f>SUM(G169:G170)</f>
        <v>28296271.507218748</v>
      </c>
      <c r="H172" s="250">
        <f t="shared" ref="H172:AJ172" si="106">SUM(H169:H170)</f>
        <v>0</v>
      </c>
      <c r="I172" s="250">
        <f t="shared" si="106"/>
        <v>0</v>
      </c>
      <c r="J172" s="250">
        <f t="shared" si="106"/>
        <v>0</v>
      </c>
      <c r="K172" s="250">
        <f t="shared" si="106"/>
        <v>0</v>
      </c>
      <c r="L172" s="250">
        <f t="shared" si="106"/>
        <v>0</v>
      </c>
      <c r="M172" s="250">
        <f t="shared" si="106"/>
        <v>0</v>
      </c>
      <c r="N172" s="250">
        <f t="shared" si="106"/>
        <v>0</v>
      </c>
      <c r="O172" s="250">
        <f t="shared" si="106"/>
        <v>0</v>
      </c>
      <c r="P172" s="250">
        <f t="shared" si="106"/>
        <v>0</v>
      </c>
      <c r="Q172" s="250">
        <f t="shared" si="106"/>
        <v>0</v>
      </c>
      <c r="R172" s="250">
        <f t="shared" si="106"/>
        <v>0</v>
      </c>
      <c r="S172" s="250">
        <f t="shared" si="106"/>
        <v>0</v>
      </c>
      <c r="T172" s="250">
        <f t="shared" si="106"/>
        <v>0</v>
      </c>
      <c r="U172" s="250">
        <f t="shared" si="106"/>
        <v>0</v>
      </c>
      <c r="V172" s="250">
        <f t="shared" si="106"/>
        <v>0</v>
      </c>
      <c r="W172" s="250">
        <f t="shared" si="106"/>
        <v>0</v>
      </c>
      <c r="X172" s="250">
        <f t="shared" si="106"/>
        <v>0</v>
      </c>
      <c r="Y172" s="250">
        <f t="shared" si="106"/>
        <v>0</v>
      </c>
      <c r="Z172" s="250">
        <f t="shared" si="106"/>
        <v>0</v>
      </c>
      <c r="AA172" s="250">
        <f t="shared" si="106"/>
        <v>0</v>
      </c>
      <c r="AB172" s="250">
        <f t="shared" si="106"/>
        <v>0</v>
      </c>
      <c r="AC172" s="250">
        <f t="shared" si="106"/>
        <v>0</v>
      </c>
      <c r="AD172" s="250">
        <f t="shared" si="106"/>
        <v>0</v>
      </c>
      <c r="AE172" s="250">
        <f t="shared" si="106"/>
        <v>0</v>
      </c>
      <c r="AF172" s="250">
        <f t="shared" si="106"/>
        <v>0</v>
      </c>
      <c r="AG172" s="250">
        <f t="shared" si="106"/>
        <v>0</v>
      </c>
      <c r="AH172" s="250">
        <f t="shared" si="106"/>
        <v>0</v>
      </c>
      <c r="AI172" s="250">
        <f t="shared" si="106"/>
        <v>0</v>
      </c>
      <c r="AJ172" s="250">
        <f t="shared" si="106"/>
        <v>0</v>
      </c>
    </row>
    <row r="173" spans="2:36" s="11" customFormat="1" ht="16">
      <c r="B173" s="230"/>
      <c r="C173" s="230"/>
      <c r="D173" s="230"/>
      <c r="E173" s="230"/>
      <c r="F173" s="245"/>
      <c r="G173" s="250"/>
      <c r="H173" s="250"/>
      <c r="I173" s="250"/>
      <c r="J173" s="250"/>
      <c r="K173" s="250"/>
      <c r="L173" s="250"/>
      <c r="M173" s="250"/>
      <c r="N173" s="250"/>
      <c r="O173" s="250"/>
      <c r="P173" s="250"/>
      <c r="Q173" s="250"/>
      <c r="R173" s="250"/>
      <c r="S173" s="250"/>
      <c r="T173" s="250"/>
      <c r="U173" s="250"/>
      <c r="V173" s="250"/>
      <c r="W173" s="250"/>
      <c r="X173" s="250"/>
      <c r="Y173" s="250"/>
      <c r="Z173" s="250"/>
      <c r="AA173" s="250"/>
      <c r="AB173" s="250"/>
      <c r="AC173" s="250"/>
      <c r="AD173" s="250"/>
      <c r="AE173" s="250"/>
      <c r="AF173" s="250"/>
      <c r="AG173" s="250"/>
      <c r="AH173" s="250"/>
      <c r="AI173" s="250"/>
      <c r="AJ173" s="250"/>
    </row>
    <row r="174" spans="2:36" s="11" customFormat="1" ht="16">
      <c r="B174" s="312" t="s">
        <v>211</v>
      </c>
      <c r="C174" s="312"/>
      <c r="D174" s="312"/>
      <c r="E174" s="230"/>
      <c r="F174" s="245"/>
      <c r="G174" s="250"/>
      <c r="H174" s="250"/>
      <c r="I174" s="250"/>
      <c r="J174" s="250"/>
      <c r="K174" s="250"/>
      <c r="L174" s="250"/>
      <c r="M174" s="250"/>
      <c r="N174" s="250"/>
      <c r="O174" s="250"/>
      <c r="P174" s="250"/>
      <c r="Q174" s="250"/>
      <c r="R174" s="250"/>
      <c r="S174" s="250"/>
      <c r="T174" s="250"/>
      <c r="U174" s="250"/>
      <c r="V174" s="250"/>
      <c r="W174" s="250"/>
      <c r="X174" s="250"/>
      <c r="Y174" s="250"/>
      <c r="Z174" s="250"/>
      <c r="AA174" s="250"/>
      <c r="AB174" s="250"/>
      <c r="AC174" s="250"/>
      <c r="AD174" s="250"/>
      <c r="AE174" s="250"/>
      <c r="AF174" s="250"/>
      <c r="AG174" s="250"/>
      <c r="AH174" s="250"/>
      <c r="AI174" s="250"/>
      <c r="AJ174" s="250"/>
    </row>
    <row r="175" spans="2:36" s="11" customFormat="1" ht="16">
      <c r="B175" s="230" t="str">
        <f>B66</f>
        <v>Federal Income Taxes Saved / (Paid), before ITC/PTC</v>
      </c>
      <c r="C175" s="230"/>
      <c r="D175" s="230"/>
      <c r="E175" s="230"/>
      <c r="F175" s="245"/>
      <c r="G175" s="250" t="str">
        <f>IF(Inputs!$Q$106="as generated","N/A",'Cash Flow'!G66)</f>
        <v>N/A</v>
      </c>
      <c r="H175" s="250" t="str">
        <f>IF(Inputs!$Q$106="as generated","N/A",'Cash Flow'!H66)</f>
        <v>N/A</v>
      </c>
      <c r="I175" s="250" t="str">
        <f>IF(Inputs!$Q$106="as generated","N/A",'Cash Flow'!I66)</f>
        <v>N/A</v>
      </c>
      <c r="J175" s="250" t="str">
        <f>IF(Inputs!$Q$106="as generated","N/A",'Cash Flow'!J66)</f>
        <v>N/A</v>
      </c>
      <c r="K175" s="250" t="str">
        <f>IF(Inputs!$Q$106="as generated","N/A",'Cash Flow'!K66)</f>
        <v>N/A</v>
      </c>
      <c r="L175" s="250" t="str">
        <f>IF(Inputs!$Q$106="as generated","N/A",'Cash Flow'!L66)</f>
        <v>N/A</v>
      </c>
      <c r="M175" s="250" t="str">
        <f>IF(Inputs!$Q$106="as generated","N/A",'Cash Flow'!M66)</f>
        <v>N/A</v>
      </c>
      <c r="N175" s="250" t="str">
        <f>IF(Inputs!$Q$106="as generated","N/A",'Cash Flow'!N66)</f>
        <v>N/A</v>
      </c>
      <c r="O175" s="250" t="str">
        <f>IF(Inputs!$Q$106="as generated","N/A",'Cash Flow'!O66)</f>
        <v>N/A</v>
      </c>
      <c r="P175" s="250" t="str">
        <f>IF(Inputs!$Q$106="as generated","N/A",'Cash Flow'!P66)</f>
        <v>N/A</v>
      </c>
      <c r="Q175" s="250" t="str">
        <f>IF(Inputs!$Q$106="as generated","N/A",'Cash Flow'!Q66)</f>
        <v>N/A</v>
      </c>
      <c r="R175" s="250" t="str">
        <f>IF(Inputs!$Q$106="as generated","N/A",'Cash Flow'!R66)</f>
        <v>N/A</v>
      </c>
      <c r="S175" s="250" t="str">
        <f>IF(Inputs!$Q$106="as generated","N/A",'Cash Flow'!S66)</f>
        <v>N/A</v>
      </c>
      <c r="T175" s="250" t="str">
        <f>IF(Inputs!$Q$106="as generated","N/A",'Cash Flow'!T66)</f>
        <v>N/A</v>
      </c>
      <c r="U175" s="250" t="str">
        <f>IF(Inputs!$Q$106="as generated","N/A",'Cash Flow'!U66)</f>
        <v>N/A</v>
      </c>
      <c r="V175" s="250" t="str">
        <f>IF(Inputs!$Q$106="as generated","N/A",'Cash Flow'!V66)</f>
        <v>N/A</v>
      </c>
      <c r="W175" s="250" t="str">
        <f>IF(Inputs!$Q$106="as generated","N/A",'Cash Flow'!W66)</f>
        <v>N/A</v>
      </c>
      <c r="X175" s="250" t="str">
        <f>IF(Inputs!$Q$106="as generated","N/A",'Cash Flow'!X66)</f>
        <v>N/A</v>
      </c>
      <c r="Y175" s="250" t="str">
        <f>IF(Inputs!$Q$106="as generated","N/A",'Cash Flow'!Y66)</f>
        <v>N/A</v>
      </c>
      <c r="Z175" s="250" t="str">
        <f>IF(Inputs!$Q$106="as generated","N/A",'Cash Flow'!Z66)</f>
        <v>N/A</v>
      </c>
      <c r="AA175" s="250" t="str">
        <f>IF(Inputs!$Q$106="as generated","N/A",'Cash Flow'!AA66)</f>
        <v>N/A</v>
      </c>
      <c r="AB175" s="250" t="str">
        <f>IF(Inputs!$Q$106="as generated","N/A",'Cash Flow'!AB66)</f>
        <v>N/A</v>
      </c>
      <c r="AC175" s="250" t="str">
        <f>IF(Inputs!$Q$106="as generated","N/A",'Cash Flow'!AC66)</f>
        <v>N/A</v>
      </c>
      <c r="AD175" s="250" t="str">
        <f>IF(Inputs!$Q$106="as generated","N/A",'Cash Flow'!AD66)</f>
        <v>N/A</v>
      </c>
      <c r="AE175" s="250" t="str">
        <f>IF(Inputs!$Q$106="as generated","N/A",'Cash Flow'!AE66)</f>
        <v>N/A</v>
      </c>
      <c r="AF175" s="250" t="str">
        <f>IF(Inputs!$Q$106="as generated","N/A",'Cash Flow'!AF66)</f>
        <v>N/A</v>
      </c>
      <c r="AG175" s="250" t="str">
        <f>IF(Inputs!$Q$106="as generated","N/A",'Cash Flow'!AG66)</f>
        <v>N/A</v>
      </c>
      <c r="AH175" s="250" t="str">
        <f>IF(Inputs!$Q$106="as generated","N/A",'Cash Flow'!AH66)</f>
        <v>N/A</v>
      </c>
      <c r="AI175" s="250" t="str">
        <f>IF(Inputs!$Q$106="as generated","N/A",'Cash Flow'!AI66)</f>
        <v>N/A</v>
      </c>
      <c r="AJ175" s="250" t="str">
        <f>IF(Inputs!$Q$106="as generated","N/A",'Cash Flow'!AJ66)</f>
        <v>N/A</v>
      </c>
    </row>
    <row r="176" spans="2:36" s="11" customFormat="1" ht="16">
      <c r="B176" s="230"/>
      <c r="C176" s="230"/>
      <c r="D176" s="230"/>
      <c r="E176" s="230"/>
      <c r="F176" s="245"/>
      <c r="G176" s="250"/>
      <c r="H176" s="250"/>
      <c r="I176" s="250"/>
      <c r="J176" s="250"/>
      <c r="K176" s="250"/>
      <c r="L176" s="250"/>
      <c r="M176" s="250"/>
      <c r="N176" s="250"/>
      <c r="O176" s="250"/>
      <c r="P176" s="250"/>
      <c r="Q176" s="250"/>
      <c r="R176" s="250"/>
      <c r="S176" s="250"/>
      <c r="T176" s="250"/>
      <c r="U176" s="250"/>
      <c r="V176" s="250"/>
      <c r="W176" s="250"/>
      <c r="X176" s="250"/>
      <c r="Y176" s="250"/>
      <c r="Z176" s="250"/>
      <c r="AA176" s="250"/>
      <c r="AB176" s="250"/>
      <c r="AC176" s="250"/>
      <c r="AD176" s="250"/>
      <c r="AE176" s="250"/>
      <c r="AF176" s="250"/>
      <c r="AG176" s="250"/>
      <c r="AH176" s="250"/>
      <c r="AI176" s="250"/>
      <c r="AJ176" s="250"/>
    </row>
    <row r="177" spans="2:36" s="11" customFormat="1" ht="16">
      <c r="B177" s="230" t="s">
        <v>248</v>
      </c>
      <c r="C177" s="230"/>
      <c r="D177" s="230"/>
      <c r="E177" s="230"/>
      <c r="F177" s="245"/>
      <c r="G177" s="250">
        <v>0</v>
      </c>
      <c r="H177" s="250">
        <f>IF(Inputs!$Q$106="as generated",0,G180)</f>
        <v>0</v>
      </c>
      <c r="I177" s="250">
        <f>IF(Inputs!$Q$106="as generated",0,H180)</f>
        <v>0</v>
      </c>
      <c r="J177" s="250">
        <f>IF(Inputs!$Q$106="as generated",0,I180)</f>
        <v>0</v>
      </c>
      <c r="K177" s="250">
        <f>IF(Inputs!$Q$106="as generated",0,J180)</f>
        <v>0</v>
      </c>
      <c r="L177" s="250">
        <f>IF(Inputs!$Q$106="as generated",0,K180)</f>
        <v>0</v>
      </c>
      <c r="M177" s="250">
        <f>IF(Inputs!$Q$106="as generated",0,L180)</f>
        <v>0</v>
      </c>
      <c r="N177" s="250">
        <f>IF(Inputs!$Q$106="as generated",0,M180)</f>
        <v>0</v>
      </c>
      <c r="O177" s="250">
        <f>IF(Inputs!$Q$106="as generated",0,N180)</f>
        <v>0</v>
      </c>
      <c r="P177" s="250">
        <f>IF(Inputs!$Q$106="as generated",0,O180)</f>
        <v>0</v>
      </c>
      <c r="Q177" s="250">
        <f>IF(Inputs!$Q$106="as generated",0,P180)</f>
        <v>0</v>
      </c>
      <c r="R177" s="250">
        <f>IF(Inputs!$Q$106="as generated",0,Q180)</f>
        <v>0</v>
      </c>
      <c r="S177" s="250">
        <f>IF(Inputs!$Q$106="as generated",0,R180)</f>
        <v>0</v>
      </c>
      <c r="T177" s="250">
        <f>IF(Inputs!$Q$106="as generated",0,S180)</f>
        <v>0</v>
      </c>
      <c r="U177" s="250">
        <f>IF(Inputs!$Q$106="as generated",0,T180)</f>
        <v>0</v>
      </c>
      <c r="V177" s="250">
        <f>IF(Inputs!$Q$106="as generated",0,U180)</f>
        <v>0</v>
      </c>
      <c r="W177" s="250">
        <f>IF(Inputs!$Q$106="as generated",0,V180)</f>
        <v>0</v>
      </c>
      <c r="X177" s="250">
        <f>IF(Inputs!$Q$106="as generated",0,W180)</f>
        <v>0</v>
      </c>
      <c r="Y177" s="250">
        <f>IF(Inputs!$Q$106="as generated",0,X180)</f>
        <v>0</v>
      </c>
      <c r="Z177" s="250">
        <f>IF(Inputs!$Q$106="as generated",0,Y180)</f>
        <v>0</v>
      </c>
      <c r="AA177" s="250">
        <f>IF(Inputs!$Q$106="as generated",0,Z180)</f>
        <v>0</v>
      </c>
      <c r="AB177" s="250">
        <f>IF(Inputs!$Q$106="as generated",0,AA180)</f>
        <v>0</v>
      </c>
      <c r="AC177" s="250">
        <f>IF(Inputs!$Q$106="as generated",0,AB180)</f>
        <v>0</v>
      </c>
      <c r="AD177" s="250">
        <f>IF(Inputs!$Q$106="as generated",0,AC180)</f>
        <v>0</v>
      </c>
      <c r="AE177" s="250">
        <f>IF(Inputs!$Q$106="as generated",0,AD180)</f>
        <v>0</v>
      </c>
      <c r="AF177" s="250">
        <f>IF(Inputs!$Q$106="as generated",0,AE180)</f>
        <v>0</v>
      </c>
      <c r="AG177" s="250">
        <f>IF(Inputs!$Q$106="as generated",0,AF180)</f>
        <v>0</v>
      </c>
      <c r="AH177" s="250">
        <f>IF(Inputs!$Q$106="as generated",0,AG180)</f>
        <v>0</v>
      </c>
      <c r="AI177" s="250">
        <f>IF(Inputs!$Q$106="as generated",0,AH180)</f>
        <v>0</v>
      </c>
      <c r="AJ177" s="250">
        <f>IF(Inputs!$Q$106="as generated",0,AI180)</f>
        <v>0</v>
      </c>
    </row>
    <row r="178" spans="2:36" s="11" customFormat="1" ht="16">
      <c r="B178" s="230" t="s">
        <v>249</v>
      </c>
      <c r="C178" s="230"/>
      <c r="D178" s="230"/>
      <c r="E178" s="230"/>
      <c r="F178" s="245"/>
      <c r="G178" s="250">
        <f>IF(Inputs!$Q$106="as generated",0,IF(G175&lt;=0,G172,0))</f>
        <v>0</v>
      </c>
      <c r="H178" s="250">
        <f>IF(Inputs!$Q$106="as generated",0,IF(H175&lt;=0,H172,0))</f>
        <v>0</v>
      </c>
      <c r="I178" s="250">
        <f>IF(Inputs!$Q$106="as generated",0,IF(I175&lt;=0,I172,0))</f>
        <v>0</v>
      </c>
      <c r="J178" s="250">
        <f>IF(Inputs!$Q$106="as generated",0,IF(J175&lt;=0,J172,0))</f>
        <v>0</v>
      </c>
      <c r="K178" s="250">
        <f>IF(Inputs!$Q$106="as generated",0,IF(K175&lt;=0,K172,0))</f>
        <v>0</v>
      </c>
      <c r="L178" s="250">
        <f>IF(Inputs!$Q$106="as generated",0,IF(L175&lt;=0,L172,0))</f>
        <v>0</v>
      </c>
      <c r="M178" s="250">
        <f>IF(Inputs!$Q$106="as generated",0,IF(M175&lt;=0,M172,0))</f>
        <v>0</v>
      </c>
      <c r="N178" s="250">
        <f>IF(Inputs!$Q$106="as generated",0,IF(N175&lt;=0,N172,0))</f>
        <v>0</v>
      </c>
      <c r="O178" s="250">
        <f>IF(Inputs!$Q$106="as generated",0,IF(O175&lt;=0,O172,0))</f>
        <v>0</v>
      </c>
      <c r="P178" s="250">
        <f>IF(Inputs!$Q$106="as generated",0,IF(P175&lt;=0,P172,0))</f>
        <v>0</v>
      </c>
      <c r="Q178" s="250">
        <f>IF(Inputs!$Q$106="as generated",0,IF(Q175&lt;=0,Q172,0))</f>
        <v>0</v>
      </c>
      <c r="R178" s="250">
        <f>IF(Inputs!$Q$106="as generated",0,IF(R175&lt;=0,R172,0))</f>
        <v>0</v>
      </c>
      <c r="S178" s="250">
        <f>IF(Inputs!$Q$106="as generated",0,IF(S175&lt;=0,S172,0))</f>
        <v>0</v>
      </c>
      <c r="T178" s="250">
        <f>IF(Inputs!$Q$106="as generated",0,IF(T175&lt;=0,T172,0))</f>
        <v>0</v>
      </c>
      <c r="U178" s="250">
        <f>IF(Inputs!$Q$106="as generated",0,IF(U175&lt;=0,U172,0))</f>
        <v>0</v>
      </c>
      <c r="V178" s="250">
        <f>IF(Inputs!$Q$106="as generated",0,IF(V175&lt;=0,V172,0))</f>
        <v>0</v>
      </c>
      <c r="W178" s="250">
        <f>IF(Inputs!$Q$106="as generated",0,IF(W175&lt;=0,W172,0))</f>
        <v>0</v>
      </c>
      <c r="X178" s="250">
        <f>IF(Inputs!$Q$106="as generated",0,IF(X175&lt;=0,X172,0))</f>
        <v>0</v>
      </c>
      <c r="Y178" s="250">
        <f>IF(Inputs!$Q$106="as generated",0,IF(Y175&lt;=0,Y172,0))</f>
        <v>0</v>
      </c>
      <c r="Z178" s="250">
        <f>IF(Inputs!$Q$106="as generated",0,IF(Z175&lt;=0,Z172,0))</f>
        <v>0</v>
      </c>
      <c r="AA178" s="250">
        <f>IF(Inputs!$Q$106="as generated",0,IF(AA175&lt;=0,AA172,0))</f>
        <v>0</v>
      </c>
      <c r="AB178" s="250">
        <f>IF(Inputs!$Q$106="as generated",0,IF(AB175&lt;=0,AB172,0))</f>
        <v>0</v>
      </c>
      <c r="AC178" s="250">
        <f>IF(Inputs!$Q$106="as generated",0,IF(AC175&lt;=0,AC172,0))</f>
        <v>0</v>
      </c>
      <c r="AD178" s="250">
        <f>IF(Inputs!$Q$106="as generated",0,IF(AD175&lt;=0,AD172,0))</f>
        <v>0</v>
      </c>
      <c r="AE178" s="250">
        <f>IF(Inputs!$Q$106="as generated",0,IF(AE175&lt;=0,AE172,0))</f>
        <v>0</v>
      </c>
      <c r="AF178" s="250">
        <f>IF(Inputs!$Q$106="as generated",0,IF(AF175&lt;=0,AF172,0))</f>
        <v>0</v>
      </c>
      <c r="AG178" s="250">
        <f>IF(Inputs!$Q$106="as generated",0,IF(AG175&lt;=0,AG172,0))</f>
        <v>0</v>
      </c>
      <c r="AH178" s="250">
        <f>IF(Inputs!$Q$106="as generated",0,IF(AH175&lt;=0,AH172,0))</f>
        <v>0</v>
      </c>
      <c r="AI178" s="250">
        <f>IF(Inputs!$Q$106="as generated",0,IF(AI175&lt;=0,AI172,0))</f>
        <v>0</v>
      </c>
      <c r="AJ178" s="250">
        <f>IF(Inputs!$Q$106="as generated",0,IF(AJ175&lt;=0,AJ172,0))</f>
        <v>0</v>
      </c>
    </row>
    <row r="179" spans="2:36" s="11" customFormat="1" ht="16">
      <c r="B179" s="230" t="s">
        <v>250</v>
      </c>
      <c r="C179" s="230"/>
      <c r="D179" s="230"/>
      <c r="E179" s="230"/>
      <c r="F179" s="245"/>
      <c r="G179" s="250">
        <f>IF(Inputs!$Q$106="as generated",0,IF(G$175&lt;0,MAX(G$175,-G$178),0))</f>
        <v>0</v>
      </c>
      <c r="H179" s="250">
        <f>IF(Inputs!$Q$106="as generated",0,IF(H$175&lt;0,MAX(H$175,-G$180),0))</f>
        <v>0</v>
      </c>
      <c r="I179" s="250">
        <f>IF(Inputs!$Q$106="as generated",0,IF(I$175&lt;0,MAX(I$175,-H$180),0))</f>
        <v>0</v>
      </c>
      <c r="J179" s="250">
        <f>IF(Inputs!$Q$106="as generated",0,IF(J$175&lt;0,MAX(J$175,-I$180),0))</f>
        <v>0</v>
      </c>
      <c r="K179" s="250">
        <f>IF(Inputs!$Q$106="as generated",0,IF(K$175&lt;0,MAX(K$175,-J$180),0))</f>
        <v>0</v>
      </c>
      <c r="L179" s="250">
        <f>IF(Inputs!$Q$106="as generated",0,IF(L$175&lt;0,MAX(L$175,-K$180),0))</f>
        <v>0</v>
      </c>
      <c r="M179" s="250">
        <f>IF(Inputs!$Q$106="as generated",0,IF(M$175&lt;0,MAX(M$175,-L$180),0))</f>
        <v>0</v>
      </c>
      <c r="N179" s="250">
        <f>IF(Inputs!$Q$106="as generated",0,IF(N$175&lt;0,MAX(N$175,-M$180),0))</f>
        <v>0</v>
      </c>
      <c r="O179" s="250">
        <f>IF(Inputs!$Q$106="as generated",0,IF(O$175&lt;0,MAX(O$175,-N$180),0))</f>
        <v>0</v>
      </c>
      <c r="P179" s="250">
        <f>IF(Inputs!$Q$106="as generated",0,IF(P$175&lt;0,MAX(P$175,-O$180),0))</f>
        <v>0</v>
      </c>
      <c r="Q179" s="250">
        <f>IF(Inputs!$Q$106="as generated",0,IF(Q$175&lt;0,MAX(Q$175,-P$180),0))</f>
        <v>0</v>
      </c>
      <c r="R179" s="250">
        <f>IF(Inputs!$Q$106="as generated",0,IF(R$175&lt;0,MAX(R$175,-Q$180),0))</f>
        <v>0</v>
      </c>
      <c r="S179" s="250">
        <f>IF(Inputs!$Q$106="as generated",0,IF(S$175&lt;0,MAX(S$175,-R$180),0))</f>
        <v>0</v>
      </c>
      <c r="T179" s="250">
        <f>IF(Inputs!$Q$106="as generated",0,IF(T$175&lt;0,MAX(T$175,-S$180),0))</f>
        <v>0</v>
      </c>
      <c r="U179" s="250">
        <f>IF(Inputs!$Q$106="as generated",0,IF(U$175&lt;0,MAX(U$175,-T$180),0))</f>
        <v>0</v>
      </c>
      <c r="V179" s="250">
        <f>IF(Inputs!$Q$106="as generated",0,IF(V$175&lt;0,MAX(V$175,-U$180),0))</f>
        <v>0</v>
      </c>
      <c r="W179" s="250">
        <f>IF(Inputs!$Q$106="as generated",0,IF(W$175&lt;0,MAX(W$175,-V$180),0))</f>
        <v>0</v>
      </c>
      <c r="X179" s="250">
        <f>IF(Inputs!$Q$106="as generated",0,IF(X$175&lt;0,MAX(X$175,-W$180),0))</f>
        <v>0</v>
      </c>
      <c r="Y179" s="250">
        <f>IF(Inputs!$Q$106="as generated",0,IF(Y$175&lt;0,MAX(Y$175,-X$180),0))</f>
        <v>0</v>
      </c>
      <c r="Z179" s="250">
        <f>IF(Inputs!$Q$106="as generated",0,IF(Z$175&lt;0,MAX(Z$175,-Y$180),0))</f>
        <v>0</v>
      </c>
      <c r="AA179" s="250">
        <f>IF(Inputs!$Q$106="as generated",0,IF(AA$175&lt;0,MAX(AA$175,-Z$180),0))</f>
        <v>0</v>
      </c>
      <c r="AB179" s="250">
        <f>IF(Inputs!$Q$106="as generated",0,IF(AB$175&lt;0,MAX(AB$175,-AA$180),0))</f>
        <v>0</v>
      </c>
      <c r="AC179" s="250">
        <f>IF(Inputs!$Q$106="as generated",0,IF(AC$175&lt;0,MAX(AC$175,-AB$180),0))</f>
        <v>0</v>
      </c>
      <c r="AD179" s="250">
        <f>IF(Inputs!$Q$106="as generated",0,IF(AD$175&lt;0,MAX(AD$175,-AC$180),0))</f>
        <v>0</v>
      </c>
      <c r="AE179" s="250">
        <f>IF(Inputs!$Q$106="as generated",0,IF(AE$175&lt;0,MAX(AE$175,-AD$180),0))</f>
        <v>0</v>
      </c>
      <c r="AF179" s="250">
        <f>IF(Inputs!$Q$106="as generated",0,IF(AF$175&lt;0,MAX(AF$175,-AE$180),0))</f>
        <v>0</v>
      </c>
      <c r="AG179" s="250">
        <f>IF(Inputs!$Q$106="as generated",0,IF(AG$175&lt;0,MAX(AG$175,-AF$180),0))</f>
        <v>0</v>
      </c>
      <c r="AH179" s="250">
        <f>IF(Inputs!$Q$106="as generated",0,IF(AH$175&lt;0,MAX(AH$175,-AG$180),0))</f>
        <v>0</v>
      </c>
      <c r="AI179" s="250">
        <f>IF(Inputs!$Q$106="as generated",0,IF(AI$175&lt;0,MAX(AI$175,-AH$180),0))</f>
        <v>0</v>
      </c>
      <c r="AJ179" s="250">
        <f>IF(Inputs!$Q$106="as generated",0,IF(AJ$175&lt;0,MAX(AJ$175,-AI$180),0))</f>
        <v>0</v>
      </c>
    </row>
    <row r="180" spans="2:36" s="11" customFormat="1" ht="16">
      <c r="B180" s="230" t="s">
        <v>251</v>
      </c>
      <c r="C180" s="230"/>
      <c r="D180" s="230"/>
      <c r="E180" s="230"/>
      <c r="F180" s="250">
        <v>0</v>
      </c>
      <c r="G180" s="250">
        <f>SUM(G177:G179)</f>
        <v>0</v>
      </c>
      <c r="H180" s="250">
        <f t="shared" ref="H180:AJ180" si="107">SUM(H177:H179)</f>
        <v>0</v>
      </c>
      <c r="I180" s="250">
        <f t="shared" si="107"/>
        <v>0</v>
      </c>
      <c r="J180" s="250">
        <f t="shared" si="107"/>
        <v>0</v>
      </c>
      <c r="K180" s="250">
        <f t="shared" si="107"/>
        <v>0</v>
      </c>
      <c r="L180" s="250">
        <f t="shared" si="107"/>
        <v>0</v>
      </c>
      <c r="M180" s="250">
        <f t="shared" si="107"/>
        <v>0</v>
      </c>
      <c r="N180" s="250">
        <f t="shared" si="107"/>
        <v>0</v>
      </c>
      <c r="O180" s="250">
        <f t="shared" si="107"/>
        <v>0</v>
      </c>
      <c r="P180" s="250">
        <f t="shared" si="107"/>
        <v>0</v>
      </c>
      <c r="Q180" s="250">
        <f t="shared" si="107"/>
        <v>0</v>
      </c>
      <c r="R180" s="250">
        <f t="shared" si="107"/>
        <v>0</v>
      </c>
      <c r="S180" s="250">
        <f t="shared" si="107"/>
        <v>0</v>
      </c>
      <c r="T180" s="250">
        <f t="shared" si="107"/>
        <v>0</v>
      </c>
      <c r="U180" s="250">
        <f t="shared" si="107"/>
        <v>0</v>
      </c>
      <c r="V180" s="250">
        <f t="shared" si="107"/>
        <v>0</v>
      </c>
      <c r="W180" s="250">
        <f t="shared" si="107"/>
        <v>0</v>
      </c>
      <c r="X180" s="250">
        <f t="shared" si="107"/>
        <v>0</v>
      </c>
      <c r="Y180" s="250">
        <f t="shared" si="107"/>
        <v>0</v>
      </c>
      <c r="Z180" s="250">
        <f t="shared" si="107"/>
        <v>0</v>
      </c>
      <c r="AA180" s="250">
        <f t="shared" si="107"/>
        <v>0</v>
      </c>
      <c r="AB180" s="250">
        <f t="shared" si="107"/>
        <v>0</v>
      </c>
      <c r="AC180" s="250">
        <f t="shared" si="107"/>
        <v>0</v>
      </c>
      <c r="AD180" s="250">
        <f t="shared" si="107"/>
        <v>0</v>
      </c>
      <c r="AE180" s="250">
        <f t="shared" si="107"/>
        <v>0</v>
      </c>
      <c r="AF180" s="250">
        <f t="shared" si="107"/>
        <v>0</v>
      </c>
      <c r="AG180" s="250">
        <f t="shared" si="107"/>
        <v>0</v>
      </c>
      <c r="AH180" s="250">
        <f t="shared" si="107"/>
        <v>0</v>
      </c>
      <c r="AI180" s="250">
        <f t="shared" si="107"/>
        <v>0</v>
      </c>
      <c r="AJ180" s="250">
        <f t="shared" si="107"/>
        <v>0</v>
      </c>
    </row>
    <row r="181" spans="2:36" s="11" customFormat="1" ht="16">
      <c r="B181" s="230"/>
      <c r="C181" s="230"/>
      <c r="D181" s="230"/>
      <c r="E181" s="230"/>
      <c r="F181" s="245"/>
      <c r="G181" s="245"/>
      <c r="H181" s="256"/>
      <c r="I181" s="230"/>
      <c r="J181" s="230"/>
      <c r="K181" s="230"/>
      <c r="L181" s="230"/>
      <c r="M181" s="230"/>
      <c r="N181" s="230"/>
      <c r="O181" s="230"/>
      <c r="P181" s="230"/>
      <c r="Q181" s="230"/>
      <c r="R181" s="230"/>
      <c r="S181" s="230"/>
      <c r="T181" s="230"/>
      <c r="U181" s="230"/>
      <c r="V181" s="230"/>
      <c r="W181" s="230"/>
      <c r="X181" s="230"/>
      <c r="Y181" s="230"/>
      <c r="Z181" s="230"/>
      <c r="AA181" s="230"/>
      <c r="AB181" s="230"/>
      <c r="AC181" s="230"/>
      <c r="AD181" s="230"/>
      <c r="AE181" s="230"/>
      <c r="AF181" s="230"/>
      <c r="AG181" s="230"/>
      <c r="AH181" s="230"/>
      <c r="AI181" s="230"/>
      <c r="AJ181" s="230"/>
    </row>
    <row r="182" spans="2:36" s="11" customFormat="1" ht="16">
      <c r="B182" s="229" t="s">
        <v>212</v>
      </c>
      <c r="C182" s="229"/>
      <c r="D182" s="229"/>
      <c r="E182" s="230"/>
      <c r="F182" s="245"/>
      <c r="G182" s="255"/>
      <c r="H182" s="256"/>
      <c r="I182" s="230"/>
      <c r="J182" s="230"/>
      <c r="K182" s="230"/>
      <c r="L182" s="230"/>
      <c r="M182" s="230"/>
      <c r="N182" s="230"/>
      <c r="O182" s="230"/>
      <c r="P182" s="230"/>
      <c r="Q182" s="230"/>
      <c r="R182" s="230"/>
      <c r="S182" s="230"/>
      <c r="T182" s="230"/>
      <c r="U182" s="230"/>
      <c r="V182" s="230"/>
      <c r="W182" s="230"/>
      <c r="X182" s="230"/>
      <c r="Y182" s="230"/>
      <c r="Z182" s="230"/>
      <c r="AA182" s="230"/>
      <c r="AB182" s="230"/>
      <c r="AC182" s="230"/>
      <c r="AD182" s="230"/>
      <c r="AE182" s="230"/>
      <c r="AF182" s="230"/>
      <c r="AG182" s="230"/>
      <c r="AH182" s="230"/>
      <c r="AI182" s="230"/>
      <c r="AJ182" s="230"/>
    </row>
    <row r="183" spans="2:36" s="11" customFormat="1" ht="16">
      <c r="B183" s="230" t="s">
        <v>209</v>
      </c>
      <c r="C183" s="230"/>
      <c r="D183" s="230"/>
      <c r="E183" s="230"/>
      <c r="F183" s="245"/>
      <c r="G183" s="311">
        <f>IF(OR(Inputs!$Q$104="No",Inputs!$Q$69="Performance-Based",Inputs!$Q$69="Neither"),0,IF(G$2&lt;=Inputs!$Q$72,($C$102*(Inputs!$Q$70*(1-Inputs!$Q$105))*Inputs!$Q$71)/Inputs!$Q$72,0))</f>
        <v>0</v>
      </c>
      <c r="H183" s="311">
        <f>IF(OR(Inputs!$Q$104="No",Inputs!$Q$69="Performance-Based",Inputs!$Q$69="Neither"),0,IF(H$2&lt;=Inputs!$Q$72,($C$102*(Inputs!$Q$70*(1-Inputs!$Q$105))*Inputs!$Q$71)/Inputs!$Q$72,0))</f>
        <v>0</v>
      </c>
      <c r="I183" s="311">
        <f>IF(OR(Inputs!$Q$104="No",Inputs!$Q$69="Performance-Based",Inputs!$Q$69="Neither"),0,IF(I$2&lt;=Inputs!$Q$72,($C$102*(Inputs!$Q$70*(1-Inputs!$Q$105))*Inputs!$Q$71)/Inputs!$Q$72,0))</f>
        <v>0</v>
      </c>
      <c r="J183" s="311">
        <f>IF(OR(Inputs!$Q$104="No",Inputs!$Q$69="Performance-Based",Inputs!$Q$69="Neither"),0,IF(J$2&lt;=Inputs!$Q$72,($C$102*(Inputs!$Q$70*(1-Inputs!$Q$105))*Inputs!$Q$71)/Inputs!$Q$72,0))</f>
        <v>0</v>
      </c>
      <c r="K183" s="311">
        <f>IF(OR(Inputs!$Q$104="No",Inputs!$Q$69="Performance-Based",Inputs!$Q$69="Neither"),0,IF(K$2&lt;=Inputs!$Q$72,($C$102*(Inputs!$Q$70*(1-Inputs!$Q$105))*Inputs!$Q$71)/Inputs!$Q$72,0))</f>
        <v>0</v>
      </c>
      <c r="L183" s="311">
        <f>IF(OR(Inputs!$Q$104="No",Inputs!$Q$69="Performance-Based",Inputs!$Q$69="Neither"),0,IF(L$2&lt;=Inputs!$Q$72,($C$102*(Inputs!$Q$70*(1-Inputs!$Q$105))*Inputs!$Q$71)/Inputs!$Q$72,0))</f>
        <v>0</v>
      </c>
      <c r="M183" s="311">
        <f>IF(OR(Inputs!$Q$104="No",Inputs!$Q$69="Performance-Based",Inputs!$Q$69="Neither"),0,IF(M$2&lt;=Inputs!$Q$72,($C$102*(Inputs!$Q$70*(1-Inputs!$Q$105))*Inputs!$Q$71)/Inputs!$Q$72,0))</f>
        <v>0</v>
      </c>
      <c r="N183" s="311">
        <f>IF(OR(Inputs!$Q$104="No",Inputs!$Q$69="Performance-Based",Inputs!$Q$69="Neither"),0,IF(N$2&lt;=Inputs!$Q$72,($C$102*(Inputs!$Q$70*(1-Inputs!$Q$105))*Inputs!$Q$71)/Inputs!$Q$72,0))</f>
        <v>0</v>
      </c>
      <c r="O183" s="311">
        <f>IF(OR(Inputs!$Q$104="No",Inputs!$Q$69="Performance-Based",Inputs!$Q$69="Neither"),0,IF(O$2&lt;=Inputs!$Q$72,($C$102*(Inputs!$Q$70*(1-Inputs!$Q$105))*Inputs!$Q$71)/Inputs!$Q$72,0))</f>
        <v>0</v>
      </c>
      <c r="P183" s="311">
        <f>IF(OR(Inputs!$Q$104="No",Inputs!$Q$69="Performance-Based",Inputs!$Q$69="Neither"),0,IF(P$2&lt;=Inputs!$Q$72,($C$102*(Inputs!$Q$70*(1-Inputs!$Q$105))*Inputs!$Q$71)/Inputs!$Q$72,0))</f>
        <v>0</v>
      </c>
      <c r="Q183" s="311">
        <f>IF(OR(Inputs!$Q$104="No",Inputs!$Q$69="Performance-Based",Inputs!$Q$69="Neither"),0,IF(Q$2&lt;=Inputs!$Q$72,($C$102*(Inputs!$Q$70*(1-Inputs!$Q$105))*Inputs!$Q$71)/Inputs!$Q$72,0))</f>
        <v>0</v>
      </c>
      <c r="R183" s="311">
        <f>IF(OR(Inputs!$Q$104="No",Inputs!$Q$69="Performance-Based",Inputs!$Q$69="Neither"),0,IF(R$2&lt;=Inputs!$Q$72,($C$102*(Inputs!$Q$70*(1-Inputs!$Q$105))*Inputs!$Q$71)/Inputs!$Q$72,0))</f>
        <v>0</v>
      </c>
      <c r="S183" s="311">
        <f>IF(OR(Inputs!$Q$104="No",Inputs!$Q$69="Performance-Based",Inputs!$Q$69="Neither"),0,IF(S$2&lt;=Inputs!$Q$72,($C$102*(Inputs!$Q$70*(1-Inputs!$Q$105))*Inputs!$Q$71)/Inputs!$Q$72,0))</f>
        <v>0</v>
      </c>
      <c r="T183" s="311">
        <f>IF(OR(Inputs!$Q$104="No",Inputs!$Q$69="Performance-Based",Inputs!$Q$69="Neither"),0,IF(T$2&lt;=Inputs!$Q$72,($C$102*(Inputs!$Q$70*(1-Inputs!$Q$105))*Inputs!$Q$71)/Inputs!$Q$72,0))</f>
        <v>0</v>
      </c>
      <c r="U183" s="311">
        <f>IF(OR(Inputs!$Q$104="No",Inputs!$Q$69="Performance-Based",Inputs!$Q$69="Neither"),0,IF(U$2&lt;=Inputs!$Q$72,($C$102*(Inputs!$Q$70*(1-Inputs!$Q$105))*Inputs!$Q$71)/Inputs!$Q$72,0))</f>
        <v>0</v>
      </c>
      <c r="V183" s="311">
        <f>IF(OR(Inputs!$Q$104="No",Inputs!$Q$69="Performance-Based",Inputs!$Q$69="Neither"),0,IF(V$2&lt;=Inputs!$Q$72,($C$102*(Inputs!$Q$70*(1-Inputs!$Q$105))*Inputs!$Q$71)/Inputs!$Q$72,0))</f>
        <v>0</v>
      </c>
      <c r="W183" s="311">
        <f>IF(OR(Inputs!$Q$104="No",Inputs!$Q$69="Performance-Based",Inputs!$Q$69="Neither"),0,IF(W$2&lt;=Inputs!$Q$72,($C$102*(Inputs!$Q$70*(1-Inputs!$Q$105))*Inputs!$Q$71)/Inputs!$Q$72,0))</f>
        <v>0</v>
      </c>
      <c r="X183" s="311">
        <f>IF(OR(Inputs!$Q$104="No",Inputs!$Q$69="Performance-Based",Inputs!$Q$69="Neither"),0,IF(X$2&lt;=Inputs!$Q$72,($C$102*(Inputs!$Q$70*(1-Inputs!$Q$105))*Inputs!$Q$71)/Inputs!$Q$72,0))</f>
        <v>0</v>
      </c>
      <c r="Y183" s="311">
        <f>IF(OR(Inputs!$Q$104="No",Inputs!$Q$69="Performance-Based",Inputs!$Q$69="Neither"),0,IF(Y$2&lt;=Inputs!$Q$72,($C$102*(Inputs!$Q$70*(1-Inputs!$Q$105))*Inputs!$Q$71)/Inputs!$Q$72,0))</f>
        <v>0</v>
      </c>
      <c r="Z183" s="311">
        <f>IF(OR(Inputs!$Q$104="No",Inputs!$Q$69="Performance-Based",Inputs!$Q$69="Neither"),0,IF(Z$2&lt;=Inputs!$Q$72,($C$102*(Inputs!$Q$70*(1-Inputs!$Q$105))*Inputs!$Q$71)/Inputs!$Q$72,0))</f>
        <v>0</v>
      </c>
      <c r="AA183" s="311">
        <f>IF(OR(Inputs!$Q$104="No",Inputs!$Q$69="Performance-Based",Inputs!$Q$69="Neither"),0,IF(AA$2&lt;=Inputs!$Q$72,($C$102*(Inputs!$Q$70*(1-Inputs!$Q$105))*Inputs!$Q$71)/Inputs!$Q$72,0))</f>
        <v>0</v>
      </c>
      <c r="AB183" s="311">
        <f>IF(OR(Inputs!$Q$104="No",Inputs!$Q$69="Performance-Based",Inputs!$Q$69="Neither"),0,IF(AB$2&lt;=Inputs!$Q$72,($C$102*(Inputs!$Q$70*(1-Inputs!$Q$105))*Inputs!$Q$71)/Inputs!$Q$72,0))</f>
        <v>0</v>
      </c>
      <c r="AC183" s="311">
        <f>IF(OR(Inputs!$Q$104="No",Inputs!$Q$69="Performance-Based",Inputs!$Q$69="Neither"),0,IF(AC$2&lt;=Inputs!$Q$72,($C$102*(Inputs!$Q$70*(1-Inputs!$Q$105))*Inputs!$Q$71)/Inputs!$Q$72,0))</f>
        <v>0</v>
      </c>
      <c r="AD183" s="311">
        <f>IF(OR(Inputs!$Q$104="No",Inputs!$Q$69="Performance-Based",Inputs!$Q$69="Neither"),0,IF(AD$2&lt;=Inputs!$Q$72,($C$102*(Inputs!$Q$70*(1-Inputs!$Q$105))*Inputs!$Q$71)/Inputs!$Q$72,0))</f>
        <v>0</v>
      </c>
      <c r="AE183" s="311">
        <f>IF(OR(Inputs!$Q$104="No",Inputs!$Q$69="Performance-Based",Inputs!$Q$69="Neither"),0,IF(AE$2&lt;=Inputs!$Q$72,($C$102*(Inputs!$Q$70*(1-Inputs!$Q$105))*Inputs!$Q$71)/Inputs!$Q$72,0))</f>
        <v>0</v>
      </c>
      <c r="AF183" s="311">
        <f>IF(OR(Inputs!$Q$104="No",Inputs!$Q$69="Performance-Based",Inputs!$Q$69="Neither"),0,IF(AF$2&lt;=Inputs!$Q$72,($C$102*(Inputs!$Q$70*(1-Inputs!$Q$105))*Inputs!$Q$71)/Inputs!$Q$72,0))</f>
        <v>0</v>
      </c>
      <c r="AG183" s="311">
        <f>IF(OR(Inputs!$Q$104="No",Inputs!$Q$69="Performance-Based",Inputs!$Q$69="Neither"),0,IF(AG$2&lt;=Inputs!$Q$72,($C$102*(Inputs!$Q$70*(1-Inputs!$Q$105))*Inputs!$Q$71)/Inputs!$Q$72,0))</f>
        <v>0</v>
      </c>
      <c r="AH183" s="311">
        <f>IF(OR(Inputs!$Q$104="No",Inputs!$Q$69="Performance-Based",Inputs!$Q$69="Neither"),0,IF(AH$2&lt;=Inputs!$Q$72,($C$102*(Inputs!$Q$70*(1-Inputs!$Q$105))*Inputs!$Q$71)/Inputs!$Q$72,0))</f>
        <v>0</v>
      </c>
      <c r="AI183" s="311">
        <f>IF(OR(Inputs!$Q$104="No",Inputs!$Q$69="Performance-Based",Inputs!$Q$69="Neither"),0,IF(AI$2&lt;=Inputs!$Q$72,($C$102*(Inputs!$Q$70*(1-Inputs!$Q$105))*Inputs!$Q$71)/Inputs!$Q$72,0))</f>
        <v>0</v>
      </c>
      <c r="AJ183" s="311">
        <f>IF(OR(Inputs!$Q$104="No",Inputs!$Q$69="Performance-Based",Inputs!$Q$69="Neither"),0,IF(AJ$2&lt;=Inputs!$Q$72,($C$102*(Inputs!$Q$70*(1-Inputs!$Q$105))*Inputs!$Q$71)/Inputs!$Q$72,0))</f>
        <v>0</v>
      </c>
    </row>
    <row r="184" spans="2:36" s="11" customFormat="1" ht="16">
      <c r="B184" s="230" t="s">
        <v>169</v>
      </c>
      <c r="C184" s="230"/>
      <c r="D184" s="230"/>
      <c r="E184" s="230"/>
      <c r="F184" s="245"/>
      <c r="G184" s="250">
        <f>IF(OR(Inputs!$Q$104="No",Inputs!$Q$69="Cost-Based",Inputs!$Q$69="Neither"),0,IF(Inputs!$Q$74="Tax Credit",IF(G$2&gt;Inputs!$Q$79,0,IF(Inputs!$Q$75=0,Inputs!$Q$77/100*G$10*Inputs!$Q$78*G$5,MIN(Inputs!$Q$75,Inputs!$Q$77/100*G$10*Inputs!$Q$78*G$5))),0))</f>
        <v>0</v>
      </c>
      <c r="H184" s="250">
        <f>IF(OR(Inputs!$Q$104="No",Inputs!$Q$69="Cost-Based",Inputs!$Q$69="Neither"),0,IF(Inputs!$Q$74="Tax Credit",IF(H$2&gt;Inputs!$Q$79,0,IF(Inputs!$Q$75=0,Inputs!$Q$77/100*H$10*Inputs!$Q$78*H$5,MIN(Inputs!$Q$75,Inputs!$Q$77/100*H$10*Inputs!$Q$78*H$5))),0))</f>
        <v>0</v>
      </c>
      <c r="I184" s="250">
        <f>IF(OR(Inputs!$Q$104="No",Inputs!$Q$69="Cost-Based",Inputs!$Q$69="Neither"),0,IF(Inputs!$Q$74="Tax Credit",IF(I$2&gt;Inputs!$Q$79,0,IF(Inputs!$Q$75=0,Inputs!$Q$77/100*I$10*Inputs!$Q$78*I$5,MIN(Inputs!$Q$75,Inputs!$Q$77/100*I$10*Inputs!$Q$78*I$5))),0))</f>
        <v>0</v>
      </c>
      <c r="J184" s="250">
        <f>IF(OR(Inputs!$Q$104="No",Inputs!$Q$69="Cost-Based",Inputs!$Q$69="Neither"),0,IF(Inputs!$Q$74="Tax Credit",IF(J$2&gt;Inputs!$Q$79,0,IF(Inputs!$Q$75=0,Inputs!$Q$77/100*J$10*Inputs!$Q$78*J$5,MIN(Inputs!$Q$75,Inputs!$Q$77/100*J$10*Inputs!$Q$78*J$5))),0))</f>
        <v>0</v>
      </c>
      <c r="K184" s="250">
        <f>IF(OR(Inputs!$Q$104="No",Inputs!$Q$69="Cost-Based",Inputs!$Q$69="Neither"),0,IF(Inputs!$Q$74="Tax Credit",IF(K$2&gt;Inputs!$Q$79,0,IF(Inputs!$Q$75=0,Inputs!$Q$77/100*K$10*Inputs!$Q$78*K$5,MIN(Inputs!$Q$75,Inputs!$Q$77/100*K$10*Inputs!$Q$78*K$5))),0))</f>
        <v>0</v>
      </c>
      <c r="L184" s="250">
        <f>IF(OR(Inputs!$Q$104="No",Inputs!$Q$69="Cost-Based",Inputs!$Q$69="Neither"),0,IF(Inputs!$Q$74="Tax Credit",IF(L$2&gt;Inputs!$Q$79,0,IF(Inputs!$Q$75=0,Inputs!$Q$77/100*L$10*Inputs!$Q$78*L$5,MIN(Inputs!$Q$75,Inputs!$Q$77/100*L$10*Inputs!$Q$78*L$5))),0))</f>
        <v>0</v>
      </c>
      <c r="M184" s="250">
        <f>IF(OR(Inputs!$Q$104="No",Inputs!$Q$69="Cost-Based",Inputs!$Q$69="Neither"),0,IF(Inputs!$Q$74="Tax Credit",IF(M$2&gt;Inputs!$Q$79,0,IF(Inputs!$Q$75=0,Inputs!$Q$77/100*M$10*Inputs!$Q$78*M$5,MIN(Inputs!$Q$75,Inputs!$Q$77/100*M$10*Inputs!$Q$78*M$5))),0))</f>
        <v>0</v>
      </c>
      <c r="N184" s="250">
        <f>IF(OR(Inputs!$Q$104="No",Inputs!$Q$69="Cost-Based",Inputs!$Q$69="Neither"),0,IF(Inputs!$Q$74="Tax Credit",IF(N$2&gt;Inputs!$Q$79,0,IF(Inputs!$Q$75=0,Inputs!$Q$77/100*N$10*Inputs!$Q$78*N$5,MIN(Inputs!$Q$75,Inputs!$Q$77/100*N$10*Inputs!$Q$78*N$5))),0))</f>
        <v>0</v>
      </c>
      <c r="O184" s="250">
        <f>IF(OR(Inputs!$Q$104="No",Inputs!$Q$69="Cost-Based",Inputs!$Q$69="Neither"),0,IF(Inputs!$Q$74="Tax Credit",IF(O$2&gt;Inputs!$Q$79,0,IF(Inputs!$Q$75=0,Inputs!$Q$77/100*O$10*Inputs!$Q$78*O$5,MIN(Inputs!$Q$75,Inputs!$Q$77/100*O$10*Inputs!$Q$78*O$5))),0))</f>
        <v>0</v>
      </c>
      <c r="P184" s="250">
        <f>IF(OR(Inputs!$Q$104="No",Inputs!$Q$69="Cost-Based",Inputs!$Q$69="Neither"),0,IF(Inputs!$Q$74="Tax Credit",IF(P$2&gt;Inputs!$Q$79,0,IF(Inputs!$Q$75=0,Inputs!$Q$77/100*P$10*Inputs!$Q$78*P$5,MIN(Inputs!$Q$75,Inputs!$Q$77/100*P$10*Inputs!$Q$78*P$5))),0))</f>
        <v>0</v>
      </c>
      <c r="Q184" s="250">
        <f>IF(OR(Inputs!$Q$104="No",Inputs!$Q$69="Cost-Based",Inputs!$Q$69="Neither"),0,IF(Inputs!$Q$74="Tax Credit",IF(Q$2&gt;Inputs!$Q$79,0,IF(Inputs!$Q$75=0,Inputs!$Q$77/100*Q$10*Inputs!$Q$78*Q$5,MIN(Inputs!$Q$75,Inputs!$Q$77/100*Q$10*Inputs!$Q$78*Q$5))),0))</f>
        <v>0</v>
      </c>
      <c r="R184" s="250">
        <f>IF(OR(Inputs!$Q$104="No",Inputs!$Q$69="Cost-Based",Inputs!$Q$69="Neither"),0,IF(Inputs!$Q$74="Tax Credit",IF(R$2&gt;Inputs!$Q$79,0,IF(Inputs!$Q$75=0,Inputs!$Q$77/100*R$10*Inputs!$Q$78*R$5,MIN(Inputs!$Q$75,Inputs!$Q$77/100*R$10*Inputs!$Q$78*R$5))),0))</f>
        <v>0</v>
      </c>
      <c r="S184" s="250">
        <f>IF(OR(Inputs!$Q$104="No",Inputs!$Q$69="Cost-Based",Inputs!$Q$69="Neither"),0,IF(Inputs!$Q$74="Tax Credit",IF(S$2&gt;Inputs!$Q$79,0,IF(Inputs!$Q$75=0,Inputs!$Q$77/100*S$10*Inputs!$Q$78*S$5,MIN(Inputs!$Q$75,Inputs!$Q$77/100*S$10*Inputs!$Q$78*S$5))),0))</f>
        <v>0</v>
      </c>
      <c r="T184" s="250">
        <f>IF(OR(Inputs!$Q$104="No",Inputs!$Q$69="Cost-Based",Inputs!$Q$69="Neither"),0,IF(Inputs!$Q$74="Tax Credit",IF(T$2&gt;Inputs!$Q$79,0,IF(Inputs!$Q$75=0,Inputs!$Q$77/100*T$10*Inputs!$Q$78*T$5,MIN(Inputs!$Q$75,Inputs!$Q$77/100*T$10*Inputs!$Q$78*T$5))),0))</f>
        <v>0</v>
      </c>
      <c r="U184" s="250">
        <f>IF(OR(Inputs!$Q$104="No",Inputs!$Q$69="Cost-Based",Inputs!$Q$69="Neither"),0,IF(Inputs!$Q$74="Tax Credit",IF(U$2&gt;Inputs!$Q$79,0,IF(Inputs!$Q$75=0,Inputs!$Q$77/100*U$10*Inputs!$Q$78*U$5,MIN(Inputs!$Q$75,Inputs!$Q$77/100*U$10*Inputs!$Q$78*U$5))),0))</f>
        <v>0</v>
      </c>
      <c r="V184" s="250">
        <f>IF(OR(Inputs!$Q$104="No",Inputs!$Q$69="Cost-Based",Inputs!$Q$69="Neither"),0,IF(Inputs!$Q$74="Tax Credit",IF(V$2&gt;Inputs!$Q$79,0,IF(Inputs!$Q$75=0,Inputs!$Q$77/100*V$10*Inputs!$Q$78*V$5,MIN(Inputs!$Q$75,Inputs!$Q$77/100*V$10*Inputs!$Q$78*V$5))),0))</f>
        <v>0</v>
      </c>
      <c r="W184" s="250">
        <f>IF(OR(Inputs!$Q$104="No",Inputs!$Q$69="Cost-Based",Inputs!$Q$69="Neither"),0,IF(Inputs!$Q$74="Tax Credit",IF(W$2&gt;Inputs!$Q$79,0,IF(Inputs!$Q$75=0,Inputs!$Q$77/100*W$10*Inputs!$Q$78*W$5,MIN(Inputs!$Q$75,Inputs!$Q$77/100*W$10*Inputs!$Q$78*W$5))),0))</f>
        <v>0</v>
      </c>
      <c r="X184" s="250">
        <f>IF(OR(Inputs!$Q$104="No",Inputs!$Q$69="Cost-Based",Inputs!$Q$69="Neither"),0,IF(Inputs!$Q$74="Tax Credit",IF(X$2&gt;Inputs!$Q$79,0,IF(Inputs!$Q$75=0,Inputs!$Q$77/100*X$10*Inputs!$Q$78*X$5,MIN(Inputs!$Q$75,Inputs!$Q$77/100*X$10*Inputs!$Q$78*X$5))),0))</f>
        <v>0</v>
      </c>
      <c r="Y184" s="250">
        <f>IF(OR(Inputs!$Q$104="No",Inputs!$Q$69="Cost-Based",Inputs!$Q$69="Neither"),0,IF(Inputs!$Q$74="Tax Credit",IF(Y$2&gt;Inputs!$Q$79,0,IF(Inputs!$Q$75=0,Inputs!$Q$77/100*Y$10*Inputs!$Q$78*Y$5,MIN(Inputs!$Q$75,Inputs!$Q$77/100*Y$10*Inputs!$Q$78*Y$5))),0))</f>
        <v>0</v>
      </c>
      <c r="Z184" s="250">
        <f>IF(OR(Inputs!$Q$104="No",Inputs!$Q$69="Cost-Based",Inputs!$Q$69="Neither"),0,IF(Inputs!$Q$74="Tax Credit",IF(Z$2&gt;Inputs!$Q$79,0,IF(Inputs!$Q$75=0,Inputs!$Q$77/100*Z$10*Inputs!$Q$78*Z$5,MIN(Inputs!$Q$75,Inputs!$Q$77/100*Z$10*Inputs!$Q$78*Z$5))),0))</f>
        <v>0</v>
      </c>
      <c r="AA184" s="250">
        <f>IF(OR(Inputs!$Q$104="No",Inputs!$Q$69="Cost-Based",Inputs!$Q$69="Neither"),0,IF(Inputs!$Q$74="Tax Credit",IF(AA$2&gt;Inputs!$Q$79,0,IF(Inputs!$Q$75=0,Inputs!$Q$77/100*AA$10*Inputs!$Q$78*AA$5,MIN(Inputs!$Q$75,Inputs!$Q$77/100*AA$10*Inputs!$Q$78*AA$5))),0))</f>
        <v>0</v>
      </c>
      <c r="AB184" s="250">
        <f>IF(OR(Inputs!$Q$104="No",Inputs!$Q$69="Cost-Based",Inputs!$Q$69="Neither"),0,IF(Inputs!$Q$74="Tax Credit",IF(AB$2&gt;Inputs!$Q$79,0,IF(Inputs!$Q$75=0,Inputs!$Q$77/100*AB$10*Inputs!$Q$78*AB$5,MIN(Inputs!$Q$75,Inputs!$Q$77/100*AB$10*Inputs!$Q$78*AB$5))),0))</f>
        <v>0</v>
      </c>
      <c r="AC184" s="250">
        <f>IF(OR(Inputs!$Q$104="No",Inputs!$Q$69="Cost-Based",Inputs!$Q$69="Neither"),0,IF(Inputs!$Q$74="Tax Credit",IF(AC$2&gt;Inputs!$Q$79,0,IF(Inputs!$Q$75=0,Inputs!$Q$77/100*AC$10*Inputs!$Q$78*AC$5,MIN(Inputs!$Q$75,Inputs!$Q$77/100*AC$10*Inputs!$Q$78*AC$5))),0))</f>
        <v>0</v>
      </c>
      <c r="AD184" s="250">
        <f>IF(OR(Inputs!$Q$104="No",Inputs!$Q$69="Cost-Based",Inputs!$Q$69="Neither"),0,IF(Inputs!$Q$74="Tax Credit",IF(AD$2&gt;Inputs!$Q$79,0,IF(Inputs!$Q$75=0,Inputs!$Q$77/100*AD$10*Inputs!$Q$78*AD$5,MIN(Inputs!$Q$75,Inputs!$Q$77/100*AD$10*Inputs!$Q$78*AD$5))),0))</f>
        <v>0</v>
      </c>
      <c r="AE184" s="250">
        <f>IF(OR(Inputs!$Q$104="No",Inputs!$Q$69="Cost-Based",Inputs!$Q$69="Neither"),0,IF(Inputs!$Q$74="Tax Credit",IF(AE$2&gt;Inputs!$Q$79,0,IF(Inputs!$Q$75=0,Inputs!$Q$77/100*AE$10*Inputs!$Q$78*AE$5,MIN(Inputs!$Q$75,Inputs!$Q$77/100*AE$10*Inputs!$Q$78*AE$5))),0))</f>
        <v>0</v>
      </c>
      <c r="AF184" s="250">
        <f>IF(OR(Inputs!$Q$104="No",Inputs!$Q$69="Cost-Based",Inputs!$Q$69="Neither"),0,IF(Inputs!$Q$74="Tax Credit",IF(AF$2&gt;Inputs!$Q$79,0,IF(Inputs!$Q$75=0,Inputs!$Q$77/100*AF$10*Inputs!$Q$78*AF$5,MIN(Inputs!$Q$75,Inputs!$Q$77/100*AF$10*Inputs!$Q$78*AF$5))),0))</f>
        <v>0</v>
      </c>
      <c r="AG184" s="250">
        <f>IF(OR(Inputs!$Q$104="No",Inputs!$Q$69="Cost-Based",Inputs!$Q$69="Neither"),0,IF(Inputs!$Q$74="Tax Credit",IF(AG$2&gt;Inputs!$Q$79,0,IF(Inputs!$Q$75=0,Inputs!$Q$77/100*AG$10*Inputs!$Q$78*AG$5,MIN(Inputs!$Q$75,Inputs!$Q$77/100*AG$10*Inputs!$Q$78*AG$5))),0))</f>
        <v>0</v>
      </c>
      <c r="AH184" s="250">
        <f>IF(OR(Inputs!$Q$104="No",Inputs!$Q$69="Cost-Based",Inputs!$Q$69="Neither"),0,IF(Inputs!$Q$74="Tax Credit",IF(AH$2&gt;Inputs!$Q$79,0,IF(Inputs!$Q$75=0,Inputs!$Q$77/100*AH$10*Inputs!$Q$78*AH$5,MIN(Inputs!$Q$75,Inputs!$Q$77/100*AH$10*Inputs!$Q$78*AH$5))),0))</f>
        <v>0</v>
      </c>
      <c r="AI184" s="250">
        <f>IF(OR(Inputs!$Q$104="No",Inputs!$Q$69="Cost-Based",Inputs!$Q$69="Neither"),0,IF(Inputs!$Q$74="Tax Credit",IF(AI$2&gt;Inputs!$Q$79,0,IF(Inputs!$Q$75=0,Inputs!$Q$77/100*AI$10*Inputs!$Q$78*AI$5,MIN(Inputs!$Q$75,Inputs!$Q$77/100*AI$10*Inputs!$Q$78*AI$5))),0))</f>
        <v>0</v>
      </c>
      <c r="AJ184" s="250">
        <f>IF(OR(Inputs!$Q$104="No",Inputs!$Q$69="Cost-Based",Inputs!$Q$69="Neither"),0,IF(Inputs!$Q$74="Tax Credit",IF(AJ$2&gt;Inputs!$Q$79,0,IF(Inputs!$Q$75=0,Inputs!$Q$77/100*AJ$10*Inputs!$Q$78*AJ$5,MIN(Inputs!$Q$75,Inputs!$Q$77/100*AJ$10*Inputs!$Q$78*AJ$5))),0))</f>
        <v>0</v>
      </c>
    </row>
    <row r="185" spans="2:36" s="11" customFormat="1" ht="16">
      <c r="B185" s="230"/>
      <c r="C185" s="230"/>
      <c r="D185" s="230"/>
      <c r="E185" s="230"/>
      <c r="F185" s="245"/>
      <c r="G185" s="255"/>
      <c r="H185" s="256"/>
      <c r="I185" s="230"/>
      <c r="J185" s="230"/>
      <c r="K185" s="230"/>
      <c r="L185" s="230"/>
      <c r="M185" s="230"/>
      <c r="N185" s="230"/>
      <c r="O185" s="230"/>
      <c r="P185" s="230"/>
      <c r="Q185" s="230"/>
      <c r="R185" s="230"/>
      <c r="S185" s="230"/>
      <c r="T185" s="230"/>
      <c r="U185" s="230"/>
      <c r="V185" s="230"/>
      <c r="W185" s="230"/>
      <c r="X185" s="230"/>
      <c r="Y185" s="230"/>
      <c r="Z185" s="230"/>
      <c r="AA185" s="230"/>
      <c r="AB185" s="230"/>
      <c r="AC185" s="230"/>
      <c r="AD185" s="230"/>
      <c r="AE185" s="230"/>
      <c r="AF185" s="230"/>
      <c r="AG185" s="230"/>
      <c r="AH185" s="230"/>
      <c r="AI185" s="230"/>
      <c r="AJ185" s="230"/>
    </row>
    <row r="186" spans="2:36" s="11" customFormat="1" ht="16">
      <c r="B186" s="230" t="s">
        <v>210</v>
      </c>
      <c r="C186" s="230"/>
      <c r="D186" s="230"/>
      <c r="E186" s="230"/>
      <c r="F186" s="245"/>
      <c r="G186" s="250">
        <f>SUM(G183:G184)</f>
        <v>0</v>
      </c>
      <c r="H186" s="250">
        <f t="shared" ref="H186:AJ186" si="108">SUM(H183:H184)</f>
        <v>0</v>
      </c>
      <c r="I186" s="250">
        <f t="shared" si="108"/>
        <v>0</v>
      </c>
      <c r="J186" s="250">
        <f t="shared" si="108"/>
        <v>0</v>
      </c>
      <c r="K186" s="250">
        <f t="shared" si="108"/>
        <v>0</v>
      </c>
      <c r="L186" s="250">
        <f t="shared" si="108"/>
        <v>0</v>
      </c>
      <c r="M186" s="250">
        <f t="shared" si="108"/>
        <v>0</v>
      </c>
      <c r="N186" s="250">
        <f t="shared" si="108"/>
        <v>0</v>
      </c>
      <c r="O186" s="250">
        <f t="shared" si="108"/>
        <v>0</v>
      </c>
      <c r="P186" s="250">
        <f t="shared" si="108"/>
        <v>0</v>
      </c>
      <c r="Q186" s="250">
        <f t="shared" si="108"/>
        <v>0</v>
      </c>
      <c r="R186" s="250">
        <f t="shared" si="108"/>
        <v>0</v>
      </c>
      <c r="S186" s="250">
        <f t="shared" si="108"/>
        <v>0</v>
      </c>
      <c r="T186" s="250">
        <f t="shared" si="108"/>
        <v>0</v>
      </c>
      <c r="U186" s="250">
        <f t="shared" si="108"/>
        <v>0</v>
      </c>
      <c r="V186" s="250">
        <f t="shared" si="108"/>
        <v>0</v>
      </c>
      <c r="W186" s="250">
        <f t="shared" si="108"/>
        <v>0</v>
      </c>
      <c r="X186" s="250">
        <f t="shared" si="108"/>
        <v>0</v>
      </c>
      <c r="Y186" s="250">
        <f t="shared" si="108"/>
        <v>0</v>
      </c>
      <c r="Z186" s="250">
        <f t="shared" si="108"/>
        <v>0</v>
      </c>
      <c r="AA186" s="250">
        <f t="shared" si="108"/>
        <v>0</v>
      </c>
      <c r="AB186" s="250">
        <f t="shared" si="108"/>
        <v>0</v>
      </c>
      <c r="AC186" s="250">
        <f t="shared" si="108"/>
        <v>0</v>
      </c>
      <c r="AD186" s="250">
        <f t="shared" si="108"/>
        <v>0</v>
      </c>
      <c r="AE186" s="250">
        <f t="shared" si="108"/>
        <v>0</v>
      </c>
      <c r="AF186" s="250">
        <f t="shared" si="108"/>
        <v>0</v>
      </c>
      <c r="AG186" s="250">
        <f t="shared" si="108"/>
        <v>0</v>
      </c>
      <c r="AH186" s="250">
        <f t="shared" si="108"/>
        <v>0</v>
      </c>
      <c r="AI186" s="250">
        <f t="shared" si="108"/>
        <v>0</v>
      </c>
      <c r="AJ186" s="250">
        <f t="shared" si="108"/>
        <v>0</v>
      </c>
    </row>
    <row r="187" spans="2:36" s="11" customFormat="1" ht="16">
      <c r="B187" s="230"/>
      <c r="C187" s="230"/>
      <c r="D187" s="230"/>
      <c r="E187" s="230"/>
      <c r="F187" s="245"/>
      <c r="G187" s="250"/>
      <c r="H187" s="250"/>
      <c r="I187" s="250"/>
      <c r="J187" s="250"/>
      <c r="K187" s="250"/>
      <c r="L187" s="250"/>
      <c r="M187" s="250"/>
      <c r="N187" s="250"/>
      <c r="O187" s="250"/>
      <c r="P187" s="250"/>
      <c r="Q187" s="250"/>
      <c r="R187" s="250"/>
      <c r="S187" s="250"/>
      <c r="T187" s="250"/>
      <c r="U187" s="250"/>
      <c r="V187" s="250"/>
      <c r="W187" s="250"/>
      <c r="X187" s="250"/>
      <c r="Y187" s="250"/>
      <c r="Z187" s="250"/>
      <c r="AA187" s="250"/>
      <c r="AB187" s="250"/>
      <c r="AC187" s="250"/>
      <c r="AD187" s="250"/>
      <c r="AE187" s="250"/>
      <c r="AF187" s="250"/>
      <c r="AG187" s="250"/>
      <c r="AH187" s="250"/>
      <c r="AI187" s="250"/>
      <c r="AJ187" s="250"/>
    </row>
    <row r="188" spans="2:36" s="11" customFormat="1" ht="16">
      <c r="B188" s="312" t="s">
        <v>211</v>
      </c>
      <c r="C188" s="312"/>
      <c r="D188" s="312"/>
      <c r="E188" s="230"/>
      <c r="F188" s="245"/>
      <c r="G188" s="250"/>
      <c r="H188" s="250"/>
      <c r="I188" s="250"/>
      <c r="J188" s="250"/>
      <c r="K188" s="250"/>
      <c r="L188" s="250"/>
      <c r="M188" s="250"/>
      <c r="N188" s="250"/>
      <c r="O188" s="250"/>
      <c r="P188" s="250"/>
      <c r="Q188" s="250"/>
      <c r="R188" s="250"/>
      <c r="S188" s="250"/>
      <c r="T188" s="250"/>
      <c r="U188" s="250"/>
      <c r="V188" s="250"/>
      <c r="W188" s="250"/>
      <c r="X188" s="250"/>
      <c r="Y188" s="250"/>
      <c r="Z188" s="250"/>
      <c r="AA188" s="250"/>
      <c r="AB188" s="250"/>
      <c r="AC188" s="250"/>
      <c r="AD188" s="250"/>
      <c r="AE188" s="250"/>
      <c r="AF188" s="250"/>
      <c r="AG188" s="250"/>
      <c r="AH188" s="250"/>
      <c r="AI188" s="250"/>
      <c r="AJ188" s="250"/>
    </row>
    <row r="189" spans="2:36" s="11" customFormat="1" ht="16">
      <c r="B189" s="230" t="str">
        <f>B67</f>
        <v>State Income Taxes Saved / (Paid), before ITC/PTC</v>
      </c>
      <c r="C189" s="230"/>
      <c r="D189" s="230"/>
      <c r="E189" s="230"/>
      <c r="F189" s="245"/>
      <c r="G189" s="250" t="str">
        <f>IF(Inputs!$Q$108="as generated","N/A",'Cash Flow'!G67)</f>
        <v>N/A</v>
      </c>
      <c r="H189" s="250" t="str">
        <f>IF(Inputs!$Q$108="as generated","N/A",'Cash Flow'!H67)</f>
        <v>N/A</v>
      </c>
      <c r="I189" s="250" t="str">
        <f>IF(Inputs!$Q$108="as generated","N/A",'Cash Flow'!I67)</f>
        <v>N/A</v>
      </c>
      <c r="J189" s="250" t="str">
        <f>IF(Inputs!$Q$108="as generated","N/A",'Cash Flow'!J67)</f>
        <v>N/A</v>
      </c>
      <c r="K189" s="250" t="str">
        <f>IF(Inputs!$Q$108="as generated","N/A",'Cash Flow'!K67)</f>
        <v>N/A</v>
      </c>
      <c r="L189" s="250" t="str">
        <f>IF(Inputs!$Q$108="as generated","N/A",'Cash Flow'!L67)</f>
        <v>N/A</v>
      </c>
      <c r="M189" s="250" t="str">
        <f>IF(Inputs!$Q$108="as generated","N/A",'Cash Flow'!M67)</f>
        <v>N/A</v>
      </c>
      <c r="N189" s="250" t="str">
        <f>IF(Inputs!$Q$108="as generated","N/A",'Cash Flow'!N67)</f>
        <v>N/A</v>
      </c>
      <c r="O189" s="250" t="str">
        <f>IF(Inputs!$Q$108="as generated","N/A",'Cash Flow'!O67)</f>
        <v>N/A</v>
      </c>
      <c r="P189" s="250" t="str">
        <f>IF(Inputs!$Q$108="as generated","N/A",'Cash Flow'!P67)</f>
        <v>N/A</v>
      </c>
      <c r="Q189" s="250" t="str">
        <f>IF(Inputs!$Q$108="as generated","N/A",'Cash Flow'!Q67)</f>
        <v>N/A</v>
      </c>
      <c r="R189" s="250" t="str">
        <f>IF(Inputs!$Q$108="as generated","N/A",'Cash Flow'!R67)</f>
        <v>N/A</v>
      </c>
      <c r="S189" s="250" t="str">
        <f>IF(Inputs!$Q$108="as generated","N/A",'Cash Flow'!S67)</f>
        <v>N/A</v>
      </c>
      <c r="T189" s="250" t="str">
        <f>IF(Inputs!$Q$108="as generated","N/A",'Cash Flow'!T67)</f>
        <v>N/A</v>
      </c>
      <c r="U189" s="250" t="str">
        <f>IF(Inputs!$Q$108="as generated","N/A",'Cash Flow'!U67)</f>
        <v>N/A</v>
      </c>
      <c r="V189" s="250" t="str">
        <f>IF(Inputs!$Q$108="as generated","N/A",'Cash Flow'!V67)</f>
        <v>N/A</v>
      </c>
      <c r="W189" s="250" t="str">
        <f>IF(Inputs!$Q$108="as generated","N/A",'Cash Flow'!W67)</f>
        <v>N/A</v>
      </c>
      <c r="X189" s="250" t="str">
        <f>IF(Inputs!$Q$108="as generated","N/A",'Cash Flow'!X67)</f>
        <v>N/A</v>
      </c>
      <c r="Y189" s="250" t="str">
        <f>IF(Inputs!$Q$108="as generated","N/A",'Cash Flow'!Y67)</f>
        <v>N/A</v>
      </c>
      <c r="Z189" s="250" t="str">
        <f>IF(Inputs!$Q$108="as generated","N/A",'Cash Flow'!Z67)</f>
        <v>N/A</v>
      </c>
      <c r="AA189" s="250" t="str">
        <f>IF(Inputs!$Q$108="as generated","N/A",'Cash Flow'!AA67)</f>
        <v>N/A</v>
      </c>
      <c r="AB189" s="250" t="str">
        <f>IF(Inputs!$Q$108="as generated","N/A",'Cash Flow'!AB67)</f>
        <v>N/A</v>
      </c>
      <c r="AC189" s="250" t="str">
        <f>IF(Inputs!$Q$108="as generated","N/A",'Cash Flow'!AC67)</f>
        <v>N/A</v>
      </c>
      <c r="AD189" s="250" t="str">
        <f>IF(Inputs!$Q$108="as generated","N/A",'Cash Flow'!AD67)</f>
        <v>N/A</v>
      </c>
      <c r="AE189" s="250" t="str">
        <f>IF(Inputs!$Q$108="as generated","N/A",'Cash Flow'!AE67)</f>
        <v>N/A</v>
      </c>
      <c r="AF189" s="250" t="str">
        <f>IF(Inputs!$Q$108="as generated","N/A",'Cash Flow'!AF67)</f>
        <v>N/A</v>
      </c>
      <c r="AG189" s="250" t="str">
        <f>IF(Inputs!$Q$108="as generated","N/A",'Cash Flow'!AG67)</f>
        <v>N/A</v>
      </c>
      <c r="AH189" s="250" t="str">
        <f>IF(Inputs!$Q$108="as generated","N/A",'Cash Flow'!AH67)</f>
        <v>N/A</v>
      </c>
      <c r="AI189" s="250" t="str">
        <f>IF(Inputs!$Q$108="as generated","N/A",'Cash Flow'!AI67)</f>
        <v>N/A</v>
      </c>
      <c r="AJ189" s="250" t="str">
        <f>IF(Inputs!$Q$108="as generated","N/A",'Cash Flow'!AJ67)</f>
        <v>N/A</v>
      </c>
    </row>
    <row r="190" spans="2:36" s="11" customFormat="1" ht="16">
      <c r="B190" s="230"/>
      <c r="C190" s="230"/>
      <c r="D190" s="230"/>
      <c r="E190" s="230"/>
      <c r="F190" s="245"/>
      <c r="G190" s="250"/>
      <c r="H190" s="250"/>
      <c r="I190" s="250"/>
      <c r="J190" s="250"/>
      <c r="K190" s="250"/>
      <c r="L190" s="250"/>
      <c r="M190" s="250"/>
      <c r="N190" s="250"/>
      <c r="O190" s="250"/>
      <c r="P190" s="250"/>
      <c r="Q190" s="250"/>
      <c r="R190" s="250"/>
      <c r="S190" s="250"/>
      <c r="T190" s="250"/>
      <c r="U190" s="250"/>
      <c r="V190" s="250"/>
      <c r="W190" s="250"/>
      <c r="X190" s="250"/>
      <c r="Y190" s="250"/>
      <c r="Z190" s="250"/>
      <c r="AA190" s="250"/>
      <c r="AB190" s="250"/>
      <c r="AC190" s="250"/>
      <c r="AD190" s="250"/>
      <c r="AE190" s="250"/>
      <c r="AF190" s="250"/>
      <c r="AG190" s="250"/>
      <c r="AH190" s="250"/>
      <c r="AI190" s="250"/>
      <c r="AJ190" s="250"/>
    </row>
    <row r="191" spans="2:36" s="11" customFormat="1" ht="16">
      <c r="B191" s="230" t="s">
        <v>248</v>
      </c>
      <c r="C191" s="230"/>
      <c r="D191" s="230"/>
      <c r="E191" s="230"/>
      <c r="F191" s="245"/>
      <c r="G191" s="250">
        <v>0</v>
      </c>
      <c r="H191" s="250">
        <f>IF(Inputs!$Q$108="as generated",0,G194)</f>
        <v>0</v>
      </c>
      <c r="I191" s="250">
        <f>IF(Inputs!$Q$108="as generated",0,H194)</f>
        <v>0</v>
      </c>
      <c r="J191" s="250">
        <f>IF(Inputs!$Q$108="as generated",0,I194)</f>
        <v>0</v>
      </c>
      <c r="K191" s="250">
        <f>IF(Inputs!$Q$108="as generated",0,J194)</f>
        <v>0</v>
      </c>
      <c r="L191" s="250">
        <f>IF(Inputs!$Q$108="as generated",0,K194)</f>
        <v>0</v>
      </c>
      <c r="M191" s="250">
        <f>IF(Inputs!$Q$108="as generated",0,L194)</f>
        <v>0</v>
      </c>
      <c r="N191" s="250">
        <f>IF(Inputs!$Q$108="as generated",0,M194)</f>
        <v>0</v>
      </c>
      <c r="O191" s="250">
        <f>IF(Inputs!$Q$108="as generated",0,N194)</f>
        <v>0</v>
      </c>
      <c r="P191" s="250">
        <f>IF(Inputs!$Q$108="as generated",0,O194)</f>
        <v>0</v>
      </c>
      <c r="Q191" s="250">
        <f>IF(Inputs!$Q$108="as generated",0,P194)</f>
        <v>0</v>
      </c>
      <c r="R191" s="250">
        <f>IF(Inputs!$Q$108="as generated",0,Q194)</f>
        <v>0</v>
      </c>
      <c r="S191" s="250">
        <f>IF(Inputs!$Q$108="as generated",0,R194)</f>
        <v>0</v>
      </c>
      <c r="T191" s="250">
        <f>IF(Inputs!$Q$108="as generated",0,S194)</f>
        <v>0</v>
      </c>
      <c r="U191" s="250">
        <f>IF(Inputs!$Q$108="as generated",0,T194)</f>
        <v>0</v>
      </c>
      <c r="V191" s="250">
        <f>IF(Inputs!$Q$108="as generated",0,U194)</f>
        <v>0</v>
      </c>
      <c r="W191" s="250">
        <f>IF(Inputs!$Q$108="as generated",0,V194)</f>
        <v>0</v>
      </c>
      <c r="X191" s="250">
        <f>IF(Inputs!$Q$108="as generated",0,W194)</f>
        <v>0</v>
      </c>
      <c r="Y191" s="250">
        <f>IF(Inputs!$Q$108="as generated",0,X194)</f>
        <v>0</v>
      </c>
      <c r="Z191" s="250">
        <f>IF(Inputs!$Q$108="as generated",0,Y194)</f>
        <v>0</v>
      </c>
      <c r="AA191" s="250">
        <f>IF(Inputs!$Q$108="as generated",0,Z194)</f>
        <v>0</v>
      </c>
      <c r="AB191" s="250">
        <f>IF(Inputs!$Q$108="as generated",0,AA194)</f>
        <v>0</v>
      </c>
      <c r="AC191" s="250">
        <f>IF(Inputs!$Q$108="as generated",0,AB194)</f>
        <v>0</v>
      </c>
      <c r="AD191" s="250">
        <f>IF(Inputs!$Q$108="as generated",0,AC194)</f>
        <v>0</v>
      </c>
      <c r="AE191" s="250">
        <f>IF(Inputs!$Q$108="as generated",0,AD194)</f>
        <v>0</v>
      </c>
      <c r="AF191" s="250">
        <f>IF(Inputs!$Q$108="as generated",0,AE194)</f>
        <v>0</v>
      </c>
      <c r="AG191" s="250">
        <f>IF(Inputs!$Q$108="as generated",0,AF194)</f>
        <v>0</v>
      </c>
      <c r="AH191" s="250">
        <f>IF(Inputs!$Q$108="as generated",0,AG194)</f>
        <v>0</v>
      </c>
      <c r="AI191" s="250">
        <f>IF(Inputs!$Q$108="as generated",0,AH194)</f>
        <v>0</v>
      </c>
      <c r="AJ191" s="250">
        <f>IF(Inputs!$Q$108="as generated",0,AI194)</f>
        <v>0</v>
      </c>
    </row>
    <row r="192" spans="2:36" s="11" customFormat="1" ht="16">
      <c r="B192" s="230" t="s">
        <v>249</v>
      </c>
      <c r="C192" s="230"/>
      <c r="D192" s="230"/>
      <c r="E192" s="230"/>
      <c r="F192" s="245"/>
      <c r="G192" s="250">
        <f>IF(Inputs!$Q$108="as generated",0,IF(G189&lt;=0,G186,0))</f>
        <v>0</v>
      </c>
      <c r="H192" s="250">
        <f>IF(Inputs!$Q$108="as generated",0,IF(H189&lt;=0,H186,0))</f>
        <v>0</v>
      </c>
      <c r="I192" s="250">
        <f>IF(Inputs!$Q$108="as generated",0,IF(I189&lt;=0,I186,0))</f>
        <v>0</v>
      </c>
      <c r="J192" s="250">
        <f>IF(Inputs!$Q$108="as generated",0,IF(J189&lt;=0,J186,0))</f>
        <v>0</v>
      </c>
      <c r="K192" s="250">
        <f>IF(Inputs!$Q$108="as generated",0,IF(K189&lt;=0,K186,0))</f>
        <v>0</v>
      </c>
      <c r="L192" s="250">
        <f>IF(Inputs!$Q$108="as generated",0,IF(L189&lt;=0,L186,0))</f>
        <v>0</v>
      </c>
      <c r="M192" s="250">
        <f>IF(Inputs!$Q$108="as generated",0,IF(M189&lt;=0,M186,0))</f>
        <v>0</v>
      </c>
      <c r="N192" s="250">
        <f>IF(Inputs!$Q$108="as generated",0,IF(N189&lt;=0,N186,0))</f>
        <v>0</v>
      </c>
      <c r="O192" s="250">
        <f>IF(Inputs!$Q$108="as generated",0,IF(O189&lt;=0,O186,0))</f>
        <v>0</v>
      </c>
      <c r="P192" s="250">
        <f>IF(Inputs!$Q$108="as generated",0,IF(P189&lt;=0,P186,0))</f>
        <v>0</v>
      </c>
      <c r="Q192" s="250">
        <f>IF(Inputs!$Q$108="as generated",0,IF(Q189&lt;=0,Q186,0))</f>
        <v>0</v>
      </c>
      <c r="R192" s="250">
        <f>IF(Inputs!$Q$108="as generated",0,IF(R189&lt;=0,R186,0))</f>
        <v>0</v>
      </c>
      <c r="S192" s="250">
        <f>IF(Inputs!$Q$108="as generated",0,IF(S189&lt;=0,S186,0))</f>
        <v>0</v>
      </c>
      <c r="T192" s="250">
        <f>IF(Inputs!$Q$108="as generated",0,IF(T189&lt;=0,T186,0))</f>
        <v>0</v>
      </c>
      <c r="U192" s="250">
        <f>IF(Inputs!$Q$108="as generated",0,IF(U189&lt;=0,U186,0))</f>
        <v>0</v>
      </c>
      <c r="V192" s="250">
        <f>IF(Inputs!$Q$108="as generated",0,IF(V189&lt;=0,V186,0))</f>
        <v>0</v>
      </c>
      <c r="W192" s="250">
        <f>IF(Inputs!$Q$108="as generated",0,IF(W189&lt;=0,W186,0))</f>
        <v>0</v>
      </c>
      <c r="X192" s="250">
        <f>IF(Inputs!$Q$108="as generated",0,IF(X189&lt;=0,X186,0))</f>
        <v>0</v>
      </c>
      <c r="Y192" s="250">
        <f>IF(Inputs!$Q$108="as generated",0,IF(Y189&lt;=0,Y186,0))</f>
        <v>0</v>
      </c>
      <c r="Z192" s="250">
        <f>IF(Inputs!$Q$108="as generated",0,IF(Z189&lt;=0,Z186,0))</f>
        <v>0</v>
      </c>
      <c r="AA192" s="250">
        <f>IF(Inputs!$Q$108="as generated",0,IF(AA189&lt;=0,AA186,0))</f>
        <v>0</v>
      </c>
      <c r="AB192" s="250">
        <f>IF(Inputs!$Q$108="as generated",0,IF(AB189&lt;=0,AB186,0))</f>
        <v>0</v>
      </c>
      <c r="AC192" s="250">
        <f>IF(Inputs!$Q$108="as generated",0,IF(AC189&lt;=0,AC186,0))</f>
        <v>0</v>
      </c>
      <c r="AD192" s="250">
        <f>IF(Inputs!$Q$108="as generated",0,IF(AD189&lt;=0,AD186,0))</f>
        <v>0</v>
      </c>
      <c r="AE192" s="250">
        <f>IF(Inputs!$Q$108="as generated",0,IF(AE189&lt;=0,AE186,0))</f>
        <v>0</v>
      </c>
      <c r="AF192" s="250">
        <f>IF(Inputs!$Q$108="as generated",0,IF(AF189&lt;=0,AF186,0))</f>
        <v>0</v>
      </c>
      <c r="AG192" s="250">
        <f>IF(Inputs!$Q$108="as generated",0,IF(AG189&lt;=0,AG186,0))</f>
        <v>0</v>
      </c>
      <c r="AH192" s="250">
        <f>IF(Inputs!$Q$108="as generated",0,IF(AH189&lt;=0,AH186,0))</f>
        <v>0</v>
      </c>
      <c r="AI192" s="250">
        <f>IF(Inputs!$Q$108="as generated",0,IF(AI189&lt;=0,AI186,0))</f>
        <v>0</v>
      </c>
      <c r="AJ192" s="250">
        <f>IF(Inputs!$Q$108="as generated",0,IF(AJ189&lt;=0,AJ186,0))</f>
        <v>0</v>
      </c>
    </row>
    <row r="193" spans="2:36" s="11" customFormat="1" ht="16">
      <c r="B193" s="230" t="s">
        <v>250</v>
      </c>
      <c r="C193" s="230"/>
      <c r="D193" s="230"/>
      <c r="E193" s="230"/>
      <c r="F193" s="245"/>
      <c r="G193" s="250">
        <f>IF(Inputs!$Q$108="as generated",0,IF(G$189&lt;0,MAX(G$189,-F$194),0))</f>
        <v>0</v>
      </c>
      <c r="H193" s="250">
        <f>IF(Inputs!$Q$108="as generated",0,IF(H$189&lt;0,MAX(H$189,-G$194),0))</f>
        <v>0</v>
      </c>
      <c r="I193" s="250">
        <f>IF(Inputs!$Q$108="as generated",0,IF(I$189&lt;0,MAX(I$189,-H$194),0))</f>
        <v>0</v>
      </c>
      <c r="J193" s="250">
        <f>IF(Inputs!$Q$108="as generated",0,IF(J$189&lt;0,MAX(J$189,-I$194),0))</f>
        <v>0</v>
      </c>
      <c r="K193" s="250">
        <f>IF(Inputs!$Q$108="as generated",0,IF(K$189&lt;0,MAX(K$189,-J$194),0))</f>
        <v>0</v>
      </c>
      <c r="L193" s="250">
        <f>IF(Inputs!$Q$108="as generated",0,IF(L$189&lt;0,MAX(L$189,-K$194),0))</f>
        <v>0</v>
      </c>
      <c r="M193" s="250">
        <f>IF(Inputs!$Q$108="as generated",0,IF(M$189&lt;0,MAX(M$189,-L$194),0))</f>
        <v>0</v>
      </c>
      <c r="N193" s="250">
        <f>IF(Inputs!$Q$108="as generated",0,IF(N$189&lt;0,MAX(N$189,-M$194),0))</f>
        <v>0</v>
      </c>
      <c r="O193" s="250">
        <f>IF(Inputs!$Q$108="as generated",0,IF(O$189&lt;0,MAX(O$189,-N$194),0))</f>
        <v>0</v>
      </c>
      <c r="P193" s="250">
        <f>IF(Inputs!$Q$108="as generated",0,IF(P$189&lt;0,MAX(P$189,-O$194),0))</f>
        <v>0</v>
      </c>
      <c r="Q193" s="250">
        <f>IF(Inputs!$Q$108="as generated",0,IF(Q$189&lt;0,MAX(Q$189,-P$194),0))</f>
        <v>0</v>
      </c>
      <c r="R193" s="250">
        <f>IF(Inputs!$Q$108="as generated",0,IF(R$189&lt;0,MAX(R$189,-Q$194),0))</f>
        <v>0</v>
      </c>
      <c r="S193" s="250">
        <f>IF(Inputs!$Q$108="as generated",0,IF(S$189&lt;0,MAX(S$189,-R$194),0))</f>
        <v>0</v>
      </c>
      <c r="T193" s="250">
        <f>IF(Inputs!$Q$108="as generated",0,IF(T$189&lt;0,MAX(T$189,-S$194),0))</f>
        <v>0</v>
      </c>
      <c r="U193" s="250">
        <f>IF(Inputs!$Q$108="as generated",0,IF(U$189&lt;0,MAX(U$189,-T$194),0))</f>
        <v>0</v>
      </c>
      <c r="V193" s="250">
        <f>IF(Inputs!$Q$108="as generated",0,IF(V$189&lt;0,MAX(V$189,-U$194),0))</f>
        <v>0</v>
      </c>
      <c r="W193" s="250">
        <f>IF(Inputs!$Q$108="as generated",0,IF(W$189&lt;0,MAX(W$189,-V$194),0))</f>
        <v>0</v>
      </c>
      <c r="X193" s="250">
        <f>IF(Inputs!$Q$108="as generated",0,IF(X$189&lt;0,MAX(X$189,-W$194),0))</f>
        <v>0</v>
      </c>
      <c r="Y193" s="250">
        <f>IF(Inputs!$Q$108="as generated",0,IF(Y$189&lt;0,MAX(Y$189,-X$194),0))</f>
        <v>0</v>
      </c>
      <c r="Z193" s="250">
        <f>IF(Inputs!$Q$108="as generated",0,IF(Z$189&lt;0,MAX(Z$189,-Y$194),0))</f>
        <v>0</v>
      </c>
      <c r="AA193" s="250">
        <f>IF(Inputs!$Q$108="as generated",0,IF(AA$189&lt;0,MAX(AA$189,-Z$194),0))</f>
        <v>0</v>
      </c>
      <c r="AB193" s="250">
        <f>IF(Inputs!$Q$108="as generated",0,IF(AB$189&lt;0,MAX(AB$189,-AA$194),0))</f>
        <v>0</v>
      </c>
      <c r="AC193" s="250">
        <f>IF(Inputs!$Q$108="as generated",0,IF(AC$189&lt;0,MAX(AC$189,-AB$194),0))</f>
        <v>0</v>
      </c>
      <c r="AD193" s="250">
        <f>IF(Inputs!$Q$108="as generated",0,IF(AD$189&lt;0,MAX(AD$189,-AC$194),0))</f>
        <v>0</v>
      </c>
      <c r="AE193" s="250">
        <f>IF(Inputs!$Q$108="as generated",0,IF(AE$189&lt;0,MAX(AE$189,-AD$194),0))</f>
        <v>0</v>
      </c>
      <c r="AF193" s="250">
        <f>IF(Inputs!$Q$108="as generated",0,IF(AF$189&lt;0,MAX(AF$189,-AE$194),0))</f>
        <v>0</v>
      </c>
      <c r="AG193" s="250">
        <f>IF(Inputs!$Q$108="as generated",0,IF(AG$189&lt;0,MAX(AG$189,-AF$194),0))</f>
        <v>0</v>
      </c>
      <c r="AH193" s="250">
        <f>IF(Inputs!$Q$108="as generated",0,IF(AH$189&lt;0,MAX(AH$189,-AG$194),0))</f>
        <v>0</v>
      </c>
      <c r="AI193" s="250">
        <f>IF(Inputs!$Q$108="as generated",0,IF(AI$189&lt;0,MAX(AI$189,-AH$194),0))</f>
        <v>0</v>
      </c>
      <c r="AJ193" s="250">
        <f>IF(Inputs!$Q$108="as generated",0,IF(AJ$189&lt;0,MAX(AJ$189,-AI$194),0))</f>
        <v>0</v>
      </c>
    </row>
    <row r="194" spans="2:36" s="11" customFormat="1" ht="16">
      <c r="B194" s="230" t="s">
        <v>251</v>
      </c>
      <c r="C194" s="230"/>
      <c r="D194" s="230"/>
      <c r="E194" s="230"/>
      <c r="F194" s="250">
        <v>0</v>
      </c>
      <c r="G194" s="250">
        <f>SUM(G191:G193)</f>
        <v>0</v>
      </c>
      <c r="H194" s="250">
        <f t="shared" ref="H194:AJ194" si="109">SUM(H191:H193)</f>
        <v>0</v>
      </c>
      <c r="I194" s="250">
        <f t="shared" si="109"/>
        <v>0</v>
      </c>
      <c r="J194" s="250">
        <f t="shared" si="109"/>
        <v>0</v>
      </c>
      <c r="K194" s="250">
        <f t="shared" si="109"/>
        <v>0</v>
      </c>
      <c r="L194" s="250">
        <f t="shared" si="109"/>
        <v>0</v>
      </c>
      <c r="M194" s="250">
        <f t="shared" si="109"/>
        <v>0</v>
      </c>
      <c r="N194" s="250">
        <f t="shared" si="109"/>
        <v>0</v>
      </c>
      <c r="O194" s="250">
        <f t="shared" si="109"/>
        <v>0</v>
      </c>
      <c r="P194" s="250">
        <f t="shared" si="109"/>
        <v>0</v>
      </c>
      <c r="Q194" s="250">
        <f t="shared" si="109"/>
        <v>0</v>
      </c>
      <c r="R194" s="250">
        <f t="shared" si="109"/>
        <v>0</v>
      </c>
      <c r="S194" s="250">
        <f t="shared" si="109"/>
        <v>0</v>
      </c>
      <c r="T194" s="250">
        <f t="shared" si="109"/>
        <v>0</v>
      </c>
      <c r="U194" s="250">
        <f t="shared" si="109"/>
        <v>0</v>
      </c>
      <c r="V194" s="250">
        <f t="shared" si="109"/>
        <v>0</v>
      </c>
      <c r="W194" s="250">
        <f t="shared" si="109"/>
        <v>0</v>
      </c>
      <c r="X194" s="250">
        <f t="shared" si="109"/>
        <v>0</v>
      </c>
      <c r="Y194" s="250">
        <f t="shared" si="109"/>
        <v>0</v>
      </c>
      <c r="Z194" s="250">
        <f t="shared" si="109"/>
        <v>0</v>
      </c>
      <c r="AA194" s="250">
        <f t="shared" si="109"/>
        <v>0</v>
      </c>
      <c r="AB194" s="250">
        <f t="shared" si="109"/>
        <v>0</v>
      </c>
      <c r="AC194" s="250">
        <f t="shared" si="109"/>
        <v>0</v>
      </c>
      <c r="AD194" s="250">
        <f t="shared" si="109"/>
        <v>0</v>
      </c>
      <c r="AE194" s="250">
        <f t="shared" si="109"/>
        <v>0</v>
      </c>
      <c r="AF194" s="250">
        <f t="shared" si="109"/>
        <v>0</v>
      </c>
      <c r="AG194" s="250">
        <f t="shared" si="109"/>
        <v>0</v>
      </c>
      <c r="AH194" s="250">
        <f t="shared" si="109"/>
        <v>0</v>
      </c>
      <c r="AI194" s="250">
        <f t="shared" si="109"/>
        <v>0</v>
      </c>
      <c r="AJ194" s="250">
        <f t="shared" si="109"/>
        <v>0</v>
      </c>
    </row>
    <row r="195" spans="2:36" s="11" customFormat="1" ht="17" thickBot="1">
      <c r="B195" s="252"/>
      <c r="C195" s="252"/>
      <c r="D195" s="252"/>
      <c r="E195" s="252"/>
      <c r="F195" s="252"/>
      <c r="G195" s="253"/>
      <c r="H195" s="254"/>
      <c r="I195" s="252"/>
      <c r="J195" s="252"/>
      <c r="K195" s="252"/>
      <c r="L195" s="252"/>
      <c r="M195" s="252"/>
      <c r="N195" s="252"/>
      <c r="O195" s="252"/>
      <c r="P195" s="252"/>
      <c r="Q195" s="252"/>
      <c r="R195" s="252"/>
      <c r="S195" s="252"/>
      <c r="T195" s="252"/>
      <c r="U195" s="252"/>
      <c r="V195" s="252"/>
      <c r="W195" s="252"/>
      <c r="X195" s="252"/>
      <c r="Y195" s="252"/>
      <c r="Z195" s="252"/>
      <c r="AA195" s="252"/>
      <c r="AB195" s="252"/>
      <c r="AC195" s="252"/>
      <c r="AD195" s="252"/>
      <c r="AE195" s="252"/>
      <c r="AF195" s="252"/>
      <c r="AG195" s="252"/>
      <c r="AH195" s="252"/>
      <c r="AI195" s="252"/>
      <c r="AJ195" s="252"/>
    </row>
    <row r="196" spans="2:36">
      <c r="B196" s="274"/>
      <c r="C196" s="274"/>
      <c r="D196" s="274"/>
      <c r="E196" s="274"/>
      <c r="F196" s="274"/>
      <c r="G196" s="274"/>
      <c r="H196" s="274"/>
      <c r="I196" s="274"/>
      <c r="J196" s="274"/>
      <c r="K196" s="274"/>
      <c r="L196" s="274"/>
      <c r="M196" s="274"/>
      <c r="N196" s="274"/>
      <c r="O196" s="274"/>
      <c r="P196" s="274"/>
      <c r="Q196" s="274"/>
      <c r="R196" s="274"/>
      <c r="S196" s="274"/>
      <c r="T196" s="274"/>
      <c r="U196" s="274"/>
      <c r="V196" s="274"/>
      <c r="W196" s="274"/>
      <c r="X196" s="274"/>
      <c r="Y196" s="274"/>
      <c r="Z196" s="274"/>
      <c r="AA196" s="274"/>
      <c r="AB196" s="274"/>
      <c r="AC196" s="274"/>
      <c r="AD196" s="274"/>
      <c r="AE196" s="274"/>
      <c r="AF196" s="274"/>
      <c r="AG196" s="274"/>
      <c r="AH196" s="274"/>
      <c r="AI196" s="274"/>
      <c r="AJ196" s="274"/>
    </row>
    <row r="197" spans="2:36" ht="16">
      <c r="B197" s="229" t="s">
        <v>129</v>
      </c>
      <c r="C197" s="229"/>
      <c r="D197" s="229"/>
      <c r="E197" s="274"/>
      <c r="F197" s="274"/>
      <c r="G197" s="274"/>
      <c r="H197" s="274"/>
      <c r="I197" s="274"/>
      <c r="J197" s="274"/>
      <c r="K197" s="274"/>
      <c r="L197" s="274"/>
      <c r="M197" s="274"/>
      <c r="N197" s="274"/>
      <c r="O197" s="274"/>
      <c r="P197" s="274"/>
      <c r="Q197" s="274"/>
      <c r="R197" s="274"/>
      <c r="S197" s="274"/>
      <c r="T197" s="274"/>
      <c r="U197" s="274"/>
      <c r="V197" s="274"/>
      <c r="W197" s="274"/>
      <c r="X197" s="274"/>
      <c r="Y197" s="274"/>
      <c r="Z197" s="274"/>
      <c r="AA197" s="274"/>
      <c r="AB197" s="274"/>
      <c r="AC197" s="274"/>
      <c r="AD197" s="274"/>
      <c r="AE197" s="274"/>
      <c r="AF197" s="274"/>
      <c r="AG197" s="274"/>
      <c r="AH197" s="274"/>
      <c r="AI197" s="274"/>
      <c r="AJ197" s="274"/>
    </row>
    <row r="198" spans="2:36" ht="16">
      <c r="B198" s="249" t="s">
        <v>80</v>
      </c>
      <c r="C198" s="249"/>
      <c r="D198" s="249"/>
      <c r="E198" s="274"/>
      <c r="F198" s="291">
        <v>0</v>
      </c>
      <c r="G198" s="267">
        <f>F203</f>
        <v>6113859.20777852</v>
      </c>
      <c r="H198" s="267">
        <f t="shared" ref="H198:AJ198" si="110">G203</f>
        <v>6113859.20777852</v>
      </c>
      <c r="I198" s="267">
        <f t="shared" si="110"/>
        <v>6113859.20777852</v>
      </c>
      <c r="J198" s="267">
        <f t="shared" si="110"/>
        <v>6113859.20777852</v>
      </c>
      <c r="K198" s="267">
        <f t="shared" si="110"/>
        <v>6113859.20777852</v>
      </c>
      <c r="L198" s="267">
        <f t="shared" si="110"/>
        <v>6113859.20777852</v>
      </c>
      <c r="M198" s="267">
        <f t="shared" si="110"/>
        <v>6113859.20777852</v>
      </c>
      <c r="N198" s="267">
        <f t="shared" si="110"/>
        <v>6113859.20777852</v>
      </c>
      <c r="O198" s="267">
        <f t="shared" si="110"/>
        <v>6113859.20777852</v>
      </c>
      <c r="P198" s="267">
        <f t="shared" si="110"/>
        <v>6113859.20777852</v>
      </c>
      <c r="Q198" s="267">
        <f t="shared" si="110"/>
        <v>6113859.20777852</v>
      </c>
      <c r="R198" s="267">
        <f t="shared" si="110"/>
        <v>6113859.20777852</v>
      </c>
      <c r="S198" s="267">
        <f t="shared" si="110"/>
        <v>6113859.20777852</v>
      </c>
      <c r="T198" s="267">
        <f t="shared" si="110"/>
        <v>6113859.20777852</v>
      </c>
      <c r="U198" s="267">
        <f t="shared" si="110"/>
        <v>6113859.20777852</v>
      </c>
      <c r="V198" s="267">
        <f t="shared" si="110"/>
        <v>6113859.20777852</v>
      </c>
      <c r="W198" s="267">
        <f t="shared" si="110"/>
        <v>2571274.0620270707</v>
      </c>
      <c r="X198" s="267">
        <f t="shared" si="110"/>
        <v>2571274.0620270707</v>
      </c>
      <c r="Y198" s="267">
        <f t="shared" si="110"/>
        <v>2571274.0620270707</v>
      </c>
      <c r="Z198" s="267">
        <f t="shared" si="110"/>
        <v>2571274.0620270707</v>
      </c>
      <c r="AA198" s="267">
        <f t="shared" si="110"/>
        <v>2571274.0620270707</v>
      </c>
      <c r="AB198" s="267">
        <f t="shared" si="110"/>
        <v>2571274.0620270707</v>
      </c>
      <c r="AC198" s="267">
        <f t="shared" si="110"/>
        <v>2571274.0620270707</v>
      </c>
      <c r="AD198" s="267">
        <f t="shared" si="110"/>
        <v>2571274.0620270707</v>
      </c>
      <c r="AE198" s="267">
        <f t="shared" si="110"/>
        <v>2571274.0620270707</v>
      </c>
      <c r="AF198" s="267">
        <f t="shared" si="110"/>
        <v>0</v>
      </c>
      <c r="AG198" s="267">
        <f t="shared" si="110"/>
        <v>0</v>
      </c>
      <c r="AH198" s="267">
        <f t="shared" si="110"/>
        <v>0</v>
      </c>
      <c r="AI198" s="267">
        <f t="shared" si="110"/>
        <v>0</v>
      </c>
      <c r="AJ198" s="267">
        <f t="shared" si="110"/>
        <v>0</v>
      </c>
    </row>
    <row r="199" spans="2:36" ht="16">
      <c r="B199" s="249" t="s">
        <v>35</v>
      </c>
      <c r="C199" s="249"/>
      <c r="D199" s="249"/>
      <c r="E199" s="274"/>
      <c r="F199" s="267">
        <f>Inputs!$G$97</f>
        <v>3542585.1457514493</v>
      </c>
      <c r="G199" s="267">
        <f>IF(G$2=Inputs!$G$80+1,-$F$199,0)</f>
        <v>0</v>
      </c>
      <c r="H199" s="267">
        <f>IF(H$2=Inputs!$G$80+1,-$F$199,0)</f>
        <v>0</v>
      </c>
      <c r="I199" s="267">
        <f>IF(I$2=Inputs!$G$80+1,-$F$199,0)</f>
        <v>0</v>
      </c>
      <c r="J199" s="267">
        <f>IF(J$2=Inputs!$G$80+1,-$F$199,0)</f>
        <v>0</v>
      </c>
      <c r="K199" s="267">
        <f>IF(K$2=Inputs!$G$80+1,-$F$199,0)</f>
        <v>0</v>
      </c>
      <c r="L199" s="267">
        <f>IF(L$2=Inputs!$G$80+1,-$F$199,0)</f>
        <v>0</v>
      </c>
      <c r="M199" s="267">
        <f>IF(M$2=Inputs!$G$80+1,-$F$199,0)</f>
        <v>0</v>
      </c>
      <c r="N199" s="267">
        <f>IF(N$2=Inputs!$G$80+1,-$F$199,0)</f>
        <v>0</v>
      </c>
      <c r="O199" s="267">
        <f>IF(O$2=Inputs!$G$80+1,-$F$199,0)</f>
        <v>0</v>
      </c>
      <c r="P199" s="267">
        <f>IF(P$2=Inputs!$G$80+1,-$F$199,0)</f>
        <v>0</v>
      </c>
      <c r="Q199" s="267">
        <f>IF(Q$2=Inputs!$G$80+1,-$F$199,0)</f>
        <v>0</v>
      </c>
      <c r="R199" s="267">
        <f>IF(R$2=Inputs!$G$80+1,-$F$199,0)</f>
        <v>0</v>
      </c>
      <c r="S199" s="267">
        <f>IF(S$2=Inputs!$G$80+1,-$F$199,0)</f>
        <v>0</v>
      </c>
      <c r="T199" s="267">
        <f>IF(T$2=Inputs!$G$80+1,-$F$199,0)</f>
        <v>0</v>
      </c>
      <c r="U199" s="267">
        <f>IF(U$2=Inputs!$G$80+1,-$F$199,0)</f>
        <v>0</v>
      </c>
      <c r="V199" s="267">
        <f>IF(V$2=Inputs!$G$80+1,-$F$199,0)</f>
        <v>-3542585.1457514493</v>
      </c>
      <c r="W199" s="267">
        <f>IF(W$2=Inputs!$G$80+1,-$F$199,0)</f>
        <v>0</v>
      </c>
      <c r="X199" s="267">
        <f>IF(X$2=Inputs!$G$80+1,-$F$199,0)</f>
        <v>0</v>
      </c>
      <c r="Y199" s="267">
        <f>IF(Y$2=Inputs!$G$80+1,-$F$199,0)</f>
        <v>0</v>
      </c>
      <c r="Z199" s="267">
        <f>IF(Z$2=Inputs!$G$80+1,-$F$199,0)</f>
        <v>0</v>
      </c>
      <c r="AA199" s="267">
        <f>IF(AA$2=Inputs!$G$80+1,-$F$199,0)</f>
        <v>0</v>
      </c>
      <c r="AB199" s="267">
        <f>IF(AB$2=Inputs!$G$80+1,-$F$199,0)</f>
        <v>0</v>
      </c>
      <c r="AC199" s="267">
        <f>IF(AC$2=Inputs!$G$80+1,-$F$199,0)</f>
        <v>0</v>
      </c>
      <c r="AD199" s="267">
        <f>IF(AD$2=Inputs!$G$80+1,-$F$199,0)</f>
        <v>0</v>
      </c>
      <c r="AE199" s="267">
        <f>IF(AE$2=Inputs!$G$80+1,-$F$199,0)</f>
        <v>0</v>
      </c>
      <c r="AF199" s="267">
        <f>IF(AF$2=Inputs!$G$80+1,-$F$199,0)</f>
        <v>0</v>
      </c>
      <c r="AG199" s="267">
        <f>IF(AG$2=Inputs!$G$80+1,-$F$199,0)</f>
        <v>0</v>
      </c>
      <c r="AH199" s="267">
        <f>IF(AH$2=Inputs!$G$80+1,-$F$199,0)</f>
        <v>0</v>
      </c>
      <c r="AI199" s="267">
        <f>IF(AI$2=Inputs!$G$80+1,-$F$199,0)</f>
        <v>0</v>
      </c>
      <c r="AJ199" s="267">
        <f>IF(AJ$2=Inputs!$G$80+1,-$F$199,0)</f>
        <v>0</v>
      </c>
    </row>
    <row r="200" spans="2:36" ht="16">
      <c r="B200" s="249" t="s">
        <v>156</v>
      </c>
      <c r="C200" s="249"/>
      <c r="D200" s="249"/>
      <c r="E200" s="274"/>
      <c r="F200" s="267">
        <f>Inputs!$G$100</f>
        <v>2571274.0620270707</v>
      </c>
      <c r="G200" s="267">
        <f>IF(G$2=Inputs!$G$17,-$F$200,0)</f>
        <v>0</v>
      </c>
      <c r="H200" s="267">
        <f>IF(H$2=Inputs!$G$17,-$F$200,0)</f>
        <v>0</v>
      </c>
      <c r="I200" s="267">
        <f>IF(I$2=Inputs!$G$17,-$F$200,0)</f>
        <v>0</v>
      </c>
      <c r="J200" s="267">
        <f>IF(J$2=Inputs!$G$17,-$F$200,0)</f>
        <v>0</v>
      </c>
      <c r="K200" s="267">
        <f>IF(K$2=Inputs!$G$17,-$F$200,0)</f>
        <v>0</v>
      </c>
      <c r="L200" s="267">
        <f>IF(L$2=Inputs!$G$17,-$F$200,0)</f>
        <v>0</v>
      </c>
      <c r="M200" s="267">
        <f>IF(M$2=Inputs!$G$17,-$F$200,0)</f>
        <v>0</v>
      </c>
      <c r="N200" s="267">
        <f>IF(N$2=Inputs!$G$17,-$F$200,0)</f>
        <v>0</v>
      </c>
      <c r="O200" s="267">
        <f>IF(O$2=Inputs!$G$17,-$F$200,0)</f>
        <v>0</v>
      </c>
      <c r="P200" s="267">
        <f>IF(P$2=Inputs!$G$17,-$F$200,0)</f>
        <v>0</v>
      </c>
      <c r="Q200" s="267">
        <f>IF(Q$2=Inputs!$G$17,-$F$200,0)</f>
        <v>0</v>
      </c>
      <c r="R200" s="267">
        <f>IF(R$2=Inputs!$G$17,-$F$200,0)</f>
        <v>0</v>
      </c>
      <c r="S200" s="267">
        <f>IF(S$2=Inputs!$G$17,-$F$200,0)</f>
        <v>0</v>
      </c>
      <c r="T200" s="267">
        <f>IF(T$2=Inputs!$G$17,-$F$200,0)</f>
        <v>0</v>
      </c>
      <c r="U200" s="267">
        <f>IF(U$2=Inputs!$G$17,-$F$200,0)</f>
        <v>0</v>
      </c>
      <c r="V200" s="267">
        <f>IF(V$2=Inputs!$G$17,-$F$200,0)</f>
        <v>0</v>
      </c>
      <c r="W200" s="267">
        <f>IF(W$2=Inputs!$G$17,-$F$200,0)</f>
        <v>0</v>
      </c>
      <c r="X200" s="267">
        <f>IF(X$2=Inputs!$G$17,-$F$200,0)</f>
        <v>0</v>
      </c>
      <c r="Y200" s="267">
        <f>IF(Y$2=Inputs!$G$17,-$F$200,0)</f>
        <v>0</v>
      </c>
      <c r="Z200" s="267">
        <f>IF(Z$2=Inputs!$G$17,-$F$200,0)</f>
        <v>0</v>
      </c>
      <c r="AA200" s="267">
        <f>IF(AA$2=Inputs!$G$17,-$F$200,0)</f>
        <v>0</v>
      </c>
      <c r="AB200" s="267">
        <f>IF(AB$2=Inputs!$G$17,-$F$200,0)</f>
        <v>0</v>
      </c>
      <c r="AC200" s="267">
        <f>IF(AC$2=Inputs!$G$17,-$F$200,0)</f>
        <v>0</v>
      </c>
      <c r="AD200" s="267">
        <f>IF(AD$2=Inputs!$G$17,-$F$200,0)</f>
        <v>0</v>
      </c>
      <c r="AE200" s="267">
        <f>IF(AE$2=Inputs!$G$17,-$F$200,0)</f>
        <v>-2571274.0620270707</v>
      </c>
      <c r="AF200" s="267">
        <f>IF(AF$2=Inputs!$G$17,-$F$200,0)</f>
        <v>0</v>
      </c>
      <c r="AG200" s="267">
        <f>IF(AG$2=Inputs!$G$17,-$F$200,0)</f>
        <v>0</v>
      </c>
      <c r="AH200" s="267">
        <f>IF(AH$2=Inputs!$G$17,-$F$200,0)</f>
        <v>0</v>
      </c>
      <c r="AI200" s="267">
        <f>IF(AI$2=Inputs!$G$17,-$F$200,0)</f>
        <v>0</v>
      </c>
      <c r="AJ200" s="267">
        <f>IF(AJ$2=Inputs!$G$17,-$F$200,0)</f>
        <v>0</v>
      </c>
    </row>
    <row r="201" spans="2:36" ht="16">
      <c r="B201" s="249" t="s">
        <v>161</v>
      </c>
      <c r="C201" s="249"/>
      <c r="D201" s="249"/>
      <c r="E201" s="274"/>
      <c r="F201" s="291">
        <v>0</v>
      </c>
      <c r="G201" s="267">
        <f>IF(G$2&lt;Inputs!$Q$40,$E$122/(Inputs!$Q$40-1),IF(G$2=Inputs!$Q$40,-($E$122),IF(AND(G$2&gt;Inputs!$Q$40,G$2&lt;Inputs!$Q$44),($E$125)/(Inputs!$Q$44-Inputs!$Q$40-1),IF(G$2=Inputs!$Q$44,-($E$125),0))))</f>
        <v>0</v>
      </c>
      <c r="H201" s="267">
        <f>IF(H$2&lt;Inputs!$Q$40,$E$122/(Inputs!$Q$40-1),IF(H$2=Inputs!$Q$40,-($E$122),IF(AND(H$2&gt;Inputs!$Q$40,H$2&lt;Inputs!$Q$44),($E$125)/(Inputs!$Q$44-Inputs!$Q$40-1),IF(H$2=Inputs!$Q$44,-($E$125),0))))</f>
        <v>0</v>
      </c>
      <c r="I201" s="267">
        <f>IF(I$2&lt;Inputs!$Q$40,$E$122/(Inputs!$Q$40-1),IF(I$2=Inputs!$Q$40,-($E$122),IF(AND(I$2&gt;Inputs!$Q$40,I$2&lt;Inputs!$Q$44),($E$125)/(Inputs!$Q$44-Inputs!$Q$40-1),IF(I$2=Inputs!$Q$44,-($E$125),0))))</f>
        <v>0</v>
      </c>
      <c r="J201" s="267">
        <f>IF(J$2&lt;Inputs!$Q$40,$E$122/(Inputs!$Q$40-1),IF(J$2=Inputs!$Q$40,-($E$122),IF(AND(J$2&gt;Inputs!$Q$40,J$2&lt;Inputs!$Q$44),($E$125)/(Inputs!$Q$44-Inputs!$Q$40-1),IF(J$2=Inputs!$Q$44,-($E$125),0))))</f>
        <v>0</v>
      </c>
      <c r="K201" s="267">
        <f>IF(K$2&lt;Inputs!$Q$40,$E$122/(Inputs!$Q$40-1),IF(K$2=Inputs!$Q$40,-($E$122),IF(AND(K$2&gt;Inputs!$Q$40,K$2&lt;Inputs!$Q$44),($E$125)/(Inputs!$Q$44-Inputs!$Q$40-1),IF(K$2=Inputs!$Q$44,-($E$125),0))))</f>
        <v>0</v>
      </c>
      <c r="L201" s="267">
        <f>IF(L$2&lt;Inputs!$Q$40,$E$122/(Inputs!$Q$40-1),IF(L$2=Inputs!$Q$40,-($E$122),IF(AND(L$2&gt;Inputs!$Q$40,L$2&lt;Inputs!$Q$44),($E$125)/(Inputs!$Q$44-Inputs!$Q$40-1),IF(L$2=Inputs!$Q$44,-($E$125),0))))</f>
        <v>0</v>
      </c>
      <c r="M201" s="267">
        <f>IF(M$2&lt;Inputs!$Q$40,$E$122/(Inputs!$Q$40-1),IF(M$2=Inputs!$Q$40,-($E$122),IF(AND(M$2&gt;Inputs!$Q$40,M$2&lt;Inputs!$Q$44),($E$125)/(Inputs!$Q$44-Inputs!$Q$40-1),IF(M$2=Inputs!$Q$44,-($E$125),0))))</f>
        <v>0</v>
      </c>
      <c r="N201" s="267">
        <f>IF(N$2&lt;Inputs!$Q$40,$E$122/(Inputs!$Q$40-1),IF(N$2=Inputs!$Q$40,-($E$122),IF(AND(N$2&gt;Inputs!$Q$40,N$2&lt;Inputs!$Q$44),($E$125)/(Inputs!$Q$44-Inputs!$Q$40-1),IF(N$2=Inputs!$Q$44,-($E$125),0))))</f>
        <v>0</v>
      </c>
      <c r="O201" s="267">
        <f>IF(O$2&lt;Inputs!$Q$40,$E$122/(Inputs!$Q$40-1),IF(O$2=Inputs!$Q$40,-($E$122),IF(AND(O$2&gt;Inputs!$Q$40,O$2&lt;Inputs!$Q$44),($E$125)/(Inputs!$Q$44-Inputs!$Q$40-1),IF(O$2=Inputs!$Q$44,-($E$125),0))))</f>
        <v>0</v>
      </c>
      <c r="P201" s="267">
        <f>IF(P$2&lt;Inputs!$Q$40,$E$122/(Inputs!$Q$40-1),IF(P$2=Inputs!$Q$40,-($E$122),IF(AND(P$2&gt;Inputs!$Q$40,P$2&lt;Inputs!$Q$44),($E$125)/(Inputs!$Q$44-Inputs!$Q$40-1),IF(P$2=Inputs!$Q$44,-($E$125),0))))</f>
        <v>0</v>
      </c>
      <c r="Q201" s="267">
        <f>IF(Q$2&lt;Inputs!$Q$40,$E$122/(Inputs!$Q$40-1),IF(Q$2=Inputs!$Q$40,-($E$122),IF(AND(Q$2&gt;Inputs!$Q$40,Q$2&lt;Inputs!$Q$44),($E$125)/(Inputs!$Q$44-Inputs!$Q$40-1),IF(Q$2=Inputs!$Q$44,-($E$125),0))))</f>
        <v>0</v>
      </c>
      <c r="R201" s="267">
        <f>IF(R$2&lt;Inputs!$Q$40,$E$122/(Inputs!$Q$40-1),IF(R$2=Inputs!$Q$40,-($E$122),IF(AND(R$2&gt;Inputs!$Q$40,R$2&lt;Inputs!$Q$44),($E$125)/(Inputs!$Q$44-Inputs!$Q$40-1),IF(R$2=Inputs!$Q$44,-($E$125),0))))</f>
        <v>0</v>
      </c>
      <c r="S201" s="267">
        <f>IF(S$2&lt;Inputs!$Q$40,$E$122/(Inputs!$Q$40-1),IF(S$2=Inputs!$Q$40,-($E$122),IF(AND(S$2&gt;Inputs!$Q$40,S$2&lt;Inputs!$Q$44),($E$125)/(Inputs!$Q$44-Inputs!$Q$40-1),IF(S$2=Inputs!$Q$44,-($E$125),0))))</f>
        <v>0</v>
      </c>
      <c r="T201" s="267">
        <f>IF(T$2&lt;Inputs!$Q$40,$E$122/(Inputs!$Q$40-1),IF(T$2=Inputs!$Q$40,-($E$122),IF(AND(T$2&gt;Inputs!$Q$40,T$2&lt;Inputs!$Q$44),($E$125)/(Inputs!$Q$44-Inputs!$Q$40-1),IF(T$2=Inputs!$Q$44,-($E$125),0))))</f>
        <v>0</v>
      </c>
      <c r="U201" s="267">
        <f>IF(U$2&lt;Inputs!$Q$40,$E$122/(Inputs!$Q$40-1),IF(U$2=Inputs!$Q$40,-($E$122),IF(AND(U$2&gt;Inputs!$Q$40,U$2&lt;Inputs!$Q$44),($E$125)/(Inputs!$Q$44-Inputs!$Q$40-1),IF(U$2=Inputs!$Q$44,-($E$125),0))))</f>
        <v>0</v>
      </c>
      <c r="V201" s="267">
        <f>IF(V$2&lt;Inputs!$Q$40,$E$122/(Inputs!$Q$40-1),IF(V$2=Inputs!$Q$40,-($E$122),IF(AND(V$2&gt;Inputs!$Q$40,V$2&lt;Inputs!$Q$44),($E$125)/(Inputs!$Q$44-Inputs!$Q$40-1),IF(V$2=Inputs!$Q$44,-($E$125),0))))</f>
        <v>0</v>
      </c>
      <c r="W201" s="267">
        <f>IF(W$2&lt;Inputs!$Q$40,$E$122/(Inputs!$Q$40-1),IF(W$2=Inputs!$Q$40,-($E$122),IF(AND(W$2&gt;Inputs!$Q$40,W$2&lt;Inputs!$Q$44),($E$125)/(Inputs!$Q$44-Inputs!$Q$40-1),IF(W$2=Inputs!$Q$44,-($E$125),0))))</f>
        <v>0</v>
      </c>
      <c r="X201" s="267">
        <f>IF(X$2&lt;Inputs!$Q$40,$E$122/(Inputs!$Q$40-1),IF(X$2=Inputs!$Q$40,-($E$122),IF(AND(X$2&gt;Inputs!$Q$40,X$2&lt;Inputs!$Q$44),($E$125)/(Inputs!$Q$44-Inputs!$Q$40-1),IF(X$2=Inputs!$Q$44,-($E$125),0))))</f>
        <v>0</v>
      </c>
      <c r="Y201" s="267">
        <f>IF(Y$2&lt;Inputs!$Q$40,$E$122/(Inputs!$Q$40-1),IF(Y$2=Inputs!$Q$40,-($E$122),IF(AND(Y$2&gt;Inputs!$Q$40,Y$2&lt;Inputs!$Q$44),($E$125)/(Inputs!$Q$44-Inputs!$Q$40-1),IF(Y$2=Inputs!$Q$44,-($E$125),0))))</f>
        <v>0</v>
      </c>
      <c r="Z201" s="267">
        <f>IF(Z$2&lt;Inputs!$Q$40,$E$122/(Inputs!$Q$40-1),IF(Z$2=Inputs!$Q$40,-($E$122),IF(AND(Z$2&gt;Inputs!$Q$40,Z$2&lt;Inputs!$Q$44),($E$125)/(Inputs!$Q$44-Inputs!$Q$40-1),IF(Z$2=Inputs!$Q$44,-($E$125),0))))</f>
        <v>0</v>
      </c>
      <c r="AA201" s="267">
        <f>IF(AA$2&lt;Inputs!$Q$40,$E$122/(Inputs!$Q$40-1),IF(AA$2=Inputs!$Q$40,-($E$122),IF(AND(AA$2&gt;Inputs!$Q$40,AA$2&lt;Inputs!$Q$44),($E$125)/(Inputs!$Q$44-Inputs!$Q$40-1),IF(AA$2=Inputs!$Q$44,-($E$125),0))))</f>
        <v>0</v>
      </c>
      <c r="AB201" s="267">
        <f>IF(AB$2&lt;Inputs!$Q$40,$E$122/(Inputs!$Q$40-1),IF(AB$2=Inputs!$Q$40,-($E$122),IF(AND(AB$2&gt;Inputs!$Q$40,AB$2&lt;Inputs!$Q$44),($E$125)/(Inputs!$Q$44-Inputs!$Q$40-1),IF(AB$2=Inputs!$Q$44,-($E$125),0))))</f>
        <v>0</v>
      </c>
      <c r="AC201" s="267">
        <f>IF(AC$2&lt;Inputs!$Q$40,$E$122/(Inputs!$Q$40-1),IF(AC$2=Inputs!$Q$40,-($E$122),IF(AND(AC$2&gt;Inputs!$Q$40,AC$2&lt;Inputs!$Q$44),($E$125)/(Inputs!$Q$44-Inputs!$Q$40-1),IF(AC$2=Inputs!$Q$44,-($E$125),0))))</f>
        <v>0</v>
      </c>
      <c r="AD201" s="267">
        <f>IF(AD$2&lt;Inputs!$Q$40,$E$122/(Inputs!$Q$40-1),IF(AD$2=Inputs!$Q$40,-($E$122),IF(AND(AD$2&gt;Inputs!$Q$40,AD$2&lt;Inputs!$Q$44),($E$125)/(Inputs!$Q$44-Inputs!$Q$40-1),IF(AD$2=Inputs!$Q$44,-($E$125),0))))</f>
        <v>0</v>
      </c>
      <c r="AE201" s="267">
        <f>IF(AE$2&lt;Inputs!$Q$40,$E$122/(Inputs!$Q$40-1),IF(AE$2=Inputs!$Q$40,-($E$122),IF(AND(AE$2&gt;Inputs!$Q$40,AE$2&lt;Inputs!$Q$44),($E$125)/(Inputs!$Q$44-Inputs!$Q$40-1),IF(AE$2=Inputs!$Q$44,-($E$125),0))))</f>
        <v>0</v>
      </c>
      <c r="AF201" s="267">
        <f>IF(AF$2&lt;Inputs!$Q$40,$E$122/(Inputs!$Q$40-1),IF(AF$2=Inputs!$Q$40,-($E$122),IF(AND(AF$2&gt;Inputs!$Q$40,AF$2&lt;Inputs!$Q$44),($E$125)/(Inputs!$Q$44-Inputs!$Q$40-1),IF(AF$2=Inputs!$Q$44,-($E$125),0))))</f>
        <v>0</v>
      </c>
      <c r="AG201" s="267">
        <f>IF(AG$2&lt;Inputs!$Q$40,$E$122/(Inputs!$Q$40-1),IF(AG$2=Inputs!$Q$40,-($E$122),IF(AND(AG$2&gt;Inputs!$Q$40,AG$2&lt;Inputs!$Q$44),($E$125)/(Inputs!$Q$44-Inputs!$Q$40-1),IF(AG$2=Inputs!$Q$44,-($E$125),0))))</f>
        <v>0</v>
      </c>
      <c r="AH201" s="267">
        <f>IF(AH$2&lt;Inputs!$Q$40,$E$122/(Inputs!$Q$40-1),IF(AH$2=Inputs!$Q$40,-($E$122),IF(AND(AH$2&gt;Inputs!$Q$40,AH$2&lt;Inputs!$Q$44),($E$125)/(Inputs!$Q$44-Inputs!$Q$40-1),IF(AH$2=Inputs!$Q$44,-($E$125),0))))</f>
        <v>0</v>
      </c>
      <c r="AI201" s="267">
        <f>IF(AI$2&lt;Inputs!$Q$40,$E$122/(Inputs!$Q$40-1),IF(AI$2=Inputs!$Q$40,-($E$122),IF(AND(AI$2&gt;Inputs!$Q$40,AI$2&lt;Inputs!$Q$44),($E$125)/(Inputs!$Q$44-Inputs!$Q$40-1),IF(AI$2=Inputs!$Q$44,-($E$125),0))))</f>
        <v>0</v>
      </c>
      <c r="AJ201" s="267">
        <f>IF(AJ$2&lt;Inputs!$Q$40,$E$122/(Inputs!$Q$40-1),IF(AJ$2=Inputs!$Q$40,-($E$122),IF(AND(AJ$2&gt;Inputs!$Q$40,AJ$2&lt;Inputs!$Q$44),($E$125)/(Inputs!$Q$44-Inputs!$Q$40-1),IF(AJ$2=Inputs!$Q$44,-($E$125),0))))</f>
        <v>0</v>
      </c>
    </row>
    <row r="202" spans="2:36" ht="16">
      <c r="B202" s="249" t="s">
        <v>40</v>
      </c>
      <c r="C202" s="249"/>
      <c r="D202" s="249"/>
      <c r="E202" s="274"/>
      <c r="F202" s="291">
        <v>0</v>
      </c>
      <c r="G202" s="267">
        <f>IF(OR(G$2&gt;Inputs!$G$17,Inputs!$Q$51="salvage"),0,Inputs!$Q$52/Inputs!$Q$6)</f>
        <v>0</v>
      </c>
      <c r="H202" s="267">
        <f>IF(OR(H$2&gt;Inputs!$G$17,Inputs!$Q$51="salvage"),0,Inputs!$Q$52/Inputs!$Q$6)</f>
        <v>0</v>
      </c>
      <c r="I202" s="267">
        <f>IF(OR(I$2&gt;Inputs!$G$17,Inputs!$Q$51="salvage"),0,Inputs!$Q$52/Inputs!$Q$6)</f>
        <v>0</v>
      </c>
      <c r="J202" s="267">
        <f>IF(OR(J$2&gt;Inputs!$G$17,Inputs!$Q$51="salvage"),0,Inputs!$Q$52/Inputs!$Q$6)</f>
        <v>0</v>
      </c>
      <c r="K202" s="267">
        <f>IF(OR(K$2&gt;Inputs!$G$17,Inputs!$Q$51="salvage"),0,Inputs!$Q$52/Inputs!$Q$6)</f>
        <v>0</v>
      </c>
      <c r="L202" s="267">
        <f>IF(OR(L$2&gt;Inputs!$G$17,Inputs!$Q$51="salvage"),0,Inputs!$Q$52/Inputs!$Q$6)</f>
        <v>0</v>
      </c>
      <c r="M202" s="267">
        <f>IF(OR(M$2&gt;Inputs!$G$17,Inputs!$Q$51="salvage"),0,Inputs!$Q$52/Inputs!$Q$6)</f>
        <v>0</v>
      </c>
      <c r="N202" s="267">
        <f>IF(OR(N$2&gt;Inputs!$G$17,Inputs!$Q$51="salvage"),0,Inputs!$Q$52/Inputs!$Q$6)</f>
        <v>0</v>
      </c>
      <c r="O202" s="267">
        <f>IF(OR(O$2&gt;Inputs!$G$17,Inputs!$Q$51="salvage"),0,Inputs!$Q$52/Inputs!$Q$6)</f>
        <v>0</v>
      </c>
      <c r="P202" s="267">
        <f>IF(OR(P$2&gt;Inputs!$G$17,Inputs!$Q$51="salvage"),0,Inputs!$Q$52/Inputs!$Q$6)</f>
        <v>0</v>
      </c>
      <c r="Q202" s="267">
        <f>IF(OR(Q$2&gt;Inputs!$G$17,Inputs!$Q$51="salvage"),0,Inputs!$Q$52/Inputs!$Q$6)</f>
        <v>0</v>
      </c>
      <c r="R202" s="267">
        <f>IF(OR(R$2&gt;Inputs!$G$17,Inputs!$Q$51="salvage"),0,Inputs!$Q$52/Inputs!$Q$6)</f>
        <v>0</v>
      </c>
      <c r="S202" s="267">
        <f>IF(OR(S$2&gt;Inputs!$G$17,Inputs!$Q$51="salvage"),0,Inputs!$Q$52/Inputs!$Q$6)</f>
        <v>0</v>
      </c>
      <c r="T202" s="267">
        <f>IF(OR(T$2&gt;Inputs!$G$17,Inputs!$Q$51="salvage"),0,Inputs!$Q$52/Inputs!$Q$6)</f>
        <v>0</v>
      </c>
      <c r="U202" s="267">
        <f>IF(OR(U$2&gt;Inputs!$G$17,Inputs!$Q$51="salvage"),0,Inputs!$Q$52/Inputs!$Q$6)</f>
        <v>0</v>
      </c>
      <c r="V202" s="267">
        <f>IF(OR(V$2&gt;Inputs!$G$17,Inputs!$Q$51="salvage"),0,Inputs!$Q$52/Inputs!$Q$6)</f>
        <v>0</v>
      </c>
      <c r="W202" s="267">
        <f>IF(OR(W$2&gt;Inputs!$G$17,Inputs!$Q$51="salvage"),0,Inputs!$Q$52/Inputs!$Q$6)</f>
        <v>0</v>
      </c>
      <c r="X202" s="267">
        <f>IF(OR(X$2&gt;Inputs!$G$17,Inputs!$Q$51="salvage"),0,Inputs!$Q$52/Inputs!$Q$6)</f>
        <v>0</v>
      </c>
      <c r="Y202" s="267">
        <f>IF(OR(Y$2&gt;Inputs!$G$17,Inputs!$Q$51="salvage"),0,Inputs!$Q$52/Inputs!$Q$6)</f>
        <v>0</v>
      </c>
      <c r="Z202" s="267">
        <f>IF(OR(Z$2&gt;Inputs!$G$17,Inputs!$Q$51="salvage"),0,Inputs!$Q$52/Inputs!$Q$6)</f>
        <v>0</v>
      </c>
      <c r="AA202" s="267">
        <f>IF(OR(AA$2&gt;Inputs!$G$17,Inputs!$Q$51="salvage"),0,Inputs!$Q$52/Inputs!$Q$6)</f>
        <v>0</v>
      </c>
      <c r="AB202" s="267">
        <f>IF(OR(AB$2&gt;Inputs!$G$17,Inputs!$Q$51="salvage"),0,Inputs!$Q$52/Inputs!$Q$6)</f>
        <v>0</v>
      </c>
      <c r="AC202" s="267">
        <f>IF(OR(AC$2&gt;Inputs!$G$17,Inputs!$Q$51="salvage"),0,Inputs!$Q$52/Inputs!$Q$6)</f>
        <v>0</v>
      </c>
      <c r="AD202" s="267">
        <f>IF(OR(AD$2&gt;Inputs!$G$17,Inputs!$Q$51="salvage"),0,Inputs!$Q$52/Inputs!$Q$6)</f>
        <v>0</v>
      </c>
      <c r="AE202" s="267">
        <f>IF(OR(AE$2&gt;Inputs!$G$17,Inputs!$Q$51="salvage"),0,Inputs!$Q$52/Inputs!$Q$6)</f>
        <v>0</v>
      </c>
      <c r="AF202" s="267">
        <f>IF(OR(AF$2&gt;Inputs!$G$17,Inputs!$Q$51="salvage"),0,Inputs!$Q$52/Inputs!$Q$6)</f>
        <v>0</v>
      </c>
      <c r="AG202" s="267">
        <f>IF(OR(AG$2&gt;Inputs!$G$17,Inputs!$Q$51="salvage"),0,Inputs!$Q$52/Inputs!$Q$6)</f>
        <v>0</v>
      </c>
      <c r="AH202" s="267">
        <f>IF(OR(AH$2&gt;Inputs!$G$17,Inputs!$Q$51="salvage"),0,Inputs!$Q$52/Inputs!$Q$6)</f>
        <v>0</v>
      </c>
      <c r="AI202" s="267">
        <f>IF(OR(AI$2&gt;Inputs!$G$17,Inputs!$Q$51="salvage"),0,Inputs!$Q$52/Inputs!$Q$6)</f>
        <v>0</v>
      </c>
      <c r="AJ202" s="267">
        <f>IF(OR(AJ$2&gt;Inputs!$G$17,Inputs!$Q$51="salvage"),0,Inputs!$Q$52/Inputs!$Q$6)</f>
        <v>0</v>
      </c>
    </row>
    <row r="203" spans="2:36" ht="16">
      <c r="B203" s="230" t="s">
        <v>82</v>
      </c>
      <c r="C203" s="230"/>
      <c r="D203" s="230"/>
      <c r="E203" s="274"/>
      <c r="F203" s="267">
        <f>IF(F$2&gt;Inputs!$G$17,0,SUM(F198:F202))</f>
        <v>6113859.20777852</v>
      </c>
      <c r="G203" s="267">
        <f>IF(G$2&gt;Inputs!$G$17,0,SUM(G198:G202))</f>
        <v>6113859.20777852</v>
      </c>
      <c r="H203" s="267">
        <f>IF(H$2&gt;Inputs!$G$17,0,SUM(H198:H202))</f>
        <v>6113859.20777852</v>
      </c>
      <c r="I203" s="267">
        <f>IF(I$2&gt;Inputs!$G$17,0,SUM(I198:I202))</f>
        <v>6113859.20777852</v>
      </c>
      <c r="J203" s="267">
        <f>IF(J$2&gt;Inputs!$G$17,0,SUM(J198:J202))</f>
        <v>6113859.20777852</v>
      </c>
      <c r="K203" s="267">
        <f>IF(K$2&gt;Inputs!$G$17,0,SUM(K198:K202))</f>
        <v>6113859.20777852</v>
      </c>
      <c r="L203" s="267">
        <f>IF(L$2&gt;Inputs!$G$17,0,SUM(L198:L202))</f>
        <v>6113859.20777852</v>
      </c>
      <c r="M203" s="267">
        <f>IF(M$2&gt;Inputs!$G$17,0,SUM(M198:M202))</f>
        <v>6113859.20777852</v>
      </c>
      <c r="N203" s="267">
        <f>IF(N$2&gt;Inputs!$G$17,0,SUM(N198:N202))</f>
        <v>6113859.20777852</v>
      </c>
      <c r="O203" s="267">
        <f>IF(O$2&gt;Inputs!$G$17,0,SUM(O198:O202))</f>
        <v>6113859.20777852</v>
      </c>
      <c r="P203" s="267">
        <f>IF(P$2&gt;Inputs!$G$17,0,SUM(P198:P202))</f>
        <v>6113859.20777852</v>
      </c>
      <c r="Q203" s="267">
        <f>IF(Q$2&gt;Inputs!$G$17,0,SUM(Q198:Q202))</f>
        <v>6113859.20777852</v>
      </c>
      <c r="R203" s="267">
        <f>IF(R$2&gt;Inputs!$G$17,0,SUM(R198:R202))</f>
        <v>6113859.20777852</v>
      </c>
      <c r="S203" s="267">
        <f>IF(S$2&gt;Inputs!$G$17,0,SUM(S198:S202))</f>
        <v>6113859.20777852</v>
      </c>
      <c r="T203" s="267">
        <f>IF(T$2&gt;Inputs!$G$17,0,SUM(T198:T202))</f>
        <v>6113859.20777852</v>
      </c>
      <c r="U203" s="267">
        <f>IF(U$2&gt;Inputs!$G$17,0,SUM(U198:U202))</f>
        <v>6113859.20777852</v>
      </c>
      <c r="V203" s="267">
        <f>IF(V$2&gt;Inputs!$G$17,0,SUM(V198:V202))</f>
        <v>2571274.0620270707</v>
      </c>
      <c r="W203" s="267">
        <f>IF(W$2&gt;Inputs!$G$17,0,SUM(W198:W202))</f>
        <v>2571274.0620270707</v>
      </c>
      <c r="X203" s="267">
        <f>IF(X$2&gt;Inputs!$G$17,0,SUM(X198:X202))</f>
        <v>2571274.0620270707</v>
      </c>
      <c r="Y203" s="267">
        <f>IF(Y$2&gt;Inputs!$G$17,0,SUM(Y198:Y202))</f>
        <v>2571274.0620270707</v>
      </c>
      <c r="Z203" s="267">
        <f>IF(Z$2&gt;Inputs!$G$17,0,SUM(Z198:Z202))</f>
        <v>2571274.0620270707</v>
      </c>
      <c r="AA203" s="267">
        <f>IF(AA$2&gt;Inputs!$G$17,0,SUM(AA198:AA202))</f>
        <v>2571274.0620270707</v>
      </c>
      <c r="AB203" s="267">
        <f>IF(AB$2&gt;Inputs!$G$17,0,SUM(AB198:AB202))</f>
        <v>2571274.0620270707</v>
      </c>
      <c r="AC203" s="267">
        <f>IF(AC$2&gt;Inputs!$G$17,0,SUM(AC198:AC202))</f>
        <v>2571274.0620270707</v>
      </c>
      <c r="AD203" s="267">
        <f>IF(AD$2&gt;Inputs!$G$17,0,SUM(AD198:AD202))</f>
        <v>2571274.0620270707</v>
      </c>
      <c r="AE203" s="267">
        <f>IF(AE$2&gt;Inputs!$G$17,0,SUM(AE198:AE202))</f>
        <v>0</v>
      </c>
      <c r="AF203" s="267">
        <f>IF(AF$2&gt;Inputs!$G$17,0,SUM(AF198:AF202))</f>
        <v>0</v>
      </c>
      <c r="AG203" s="267">
        <f>IF(AG$2&gt;Inputs!$G$17,0,SUM(AG198:AG202))</f>
        <v>0</v>
      </c>
      <c r="AH203" s="267">
        <f>IF(AH$2&gt;Inputs!$G$17,0,SUM(AH198:AH202))</f>
        <v>0</v>
      </c>
      <c r="AI203" s="267">
        <f>IF(AI$2&gt;Inputs!$G$17,0,SUM(AI198:AI202))</f>
        <v>0</v>
      </c>
      <c r="AJ203" s="267">
        <f>IF(AJ$2&gt;Inputs!$G$17,0,SUM(AJ198:AJ202))</f>
        <v>0</v>
      </c>
    </row>
    <row r="204" spans="2:36" ht="16">
      <c r="B204" s="229"/>
      <c r="C204" s="229"/>
      <c r="D204" s="229"/>
      <c r="E204" s="274"/>
      <c r="F204" s="267"/>
      <c r="G204" s="267"/>
      <c r="H204" s="267"/>
      <c r="I204" s="267"/>
      <c r="J204" s="267"/>
      <c r="K204" s="267"/>
      <c r="L204" s="267"/>
      <c r="M204" s="267"/>
      <c r="N204" s="274"/>
      <c r="O204" s="274"/>
      <c r="P204" s="274"/>
      <c r="Q204" s="274"/>
      <c r="R204" s="274"/>
      <c r="S204" s="274"/>
      <c r="T204" s="274"/>
      <c r="U204" s="274"/>
      <c r="V204" s="274"/>
      <c r="W204" s="274"/>
      <c r="X204" s="274"/>
      <c r="Y204" s="274"/>
      <c r="Z204" s="274"/>
      <c r="AA204" s="274"/>
      <c r="AB204" s="274"/>
      <c r="AC204" s="274"/>
      <c r="AD204" s="274"/>
      <c r="AE204" s="274"/>
      <c r="AF204" s="274"/>
      <c r="AG204" s="274"/>
      <c r="AH204" s="274"/>
      <c r="AI204" s="274"/>
      <c r="AJ204" s="274"/>
    </row>
    <row r="205" spans="2:36" ht="16">
      <c r="B205" s="230" t="s">
        <v>157</v>
      </c>
      <c r="C205" s="230"/>
      <c r="D205" s="230"/>
      <c r="E205" s="274"/>
      <c r="F205" s="267"/>
      <c r="G205" s="267">
        <f>AVERAGE(G198,G203)*Inputs!$G$101</f>
        <v>97821.747324456315</v>
      </c>
      <c r="H205" s="267">
        <f>AVERAGE(H198,H203)*Inputs!$G$101</f>
        <v>97821.747324456315</v>
      </c>
      <c r="I205" s="267">
        <f>AVERAGE(I198,I203)*Inputs!$G$101</f>
        <v>97821.747324456315</v>
      </c>
      <c r="J205" s="267">
        <f>AVERAGE(J198,J203)*Inputs!$G$101</f>
        <v>97821.747324456315</v>
      </c>
      <c r="K205" s="267">
        <f>AVERAGE(K198,K203)*Inputs!$G$101</f>
        <v>97821.747324456315</v>
      </c>
      <c r="L205" s="267">
        <f>AVERAGE(L198,L203)*Inputs!$G$101</f>
        <v>97821.747324456315</v>
      </c>
      <c r="M205" s="267">
        <f>AVERAGE(M198,M203)*Inputs!$G$101</f>
        <v>97821.747324456315</v>
      </c>
      <c r="N205" s="267">
        <f>AVERAGE(N198,N203)*Inputs!$G$101</f>
        <v>97821.747324456315</v>
      </c>
      <c r="O205" s="267">
        <f>AVERAGE(O198,O203)*Inputs!$G$101</f>
        <v>97821.747324456315</v>
      </c>
      <c r="P205" s="267">
        <f>AVERAGE(P198,P203)*Inputs!$G$101</f>
        <v>97821.747324456315</v>
      </c>
      <c r="Q205" s="267">
        <f>AVERAGE(Q198,Q203)*Inputs!$G$101</f>
        <v>97821.747324456315</v>
      </c>
      <c r="R205" s="267">
        <f>AVERAGE(R198,R203)*Inputs!$G$101</f>
        <v>97821.747324456315</v>
      </c>
      <c r="S205" s="267">
        <f>AVERAGE(S198,S203)*Inputs!$G$101</f>
        <v>97821.747324456315</v>
      </c>
      <c r="T205" s="267">
        <f>AVERAGE(T198,T203)*Inputs!$G$101</f>
        <v>97821.747324456315</v>
      </c>
      <c r="U205" s="267">
        <f>AVERAGE(U198,U203)*Inputs!$G$101</f>
        <v>97821.747324456315</v>
      </c>
      <c r="V205" s="267">
        <f>AVERAGE(V198,V203)*Inputs!$G$101</f>
        <v>69481.066158444737</v>
      </c>
      <c r="W205" s="267">
        <f>AVERAGE(W198,W203)*Inputs!$G$101</f>
        <v>41140.38499243313</v>
      </c>
      <c r="X205" s="267">
        <f>AVERAGE(X198,X203)*Inputs!$G$101</f>
        <v>41140.38499243313</v>
      </c>
      <c r="Y205" s="267">
        <f>AVERAGE(Y198,Y203)*Inputs!$G$101</f>
        <v>41140.38499243313</v>
      </c>
      <c r="Z205" s="267">
        <f>AVERAGE(Z198,Z203)*Inputs!$G$101</f>
        <v>41140.38499243313</v>
      </c>
      <c r="AA205" s="267">
        <f>AVERAGE(AA198,AA203)*Inputs!$G$101</f>
        <v>41140.38499243313</v>
      </c>
      <c r="AB205" s="267">
        <f>AVERAGE(AB198,AB203)*Inputs!$G$101</f>
        <v>41140.38499243313</v>
      </c>
      <c r="AC205" s="267">
        <f>AVERAGE(AC198,AC203)*Inputs!$G$101</f>
        <v>41140.38499243313</v>
      </c>
      <c r="AD205" s="267">
        <f>AVERAGE(AD198,AD203)*Inputs!$G$101</f>
        <v>41140.38499243313</v>
      </c>
      <c r="AE205" s="267">
        <f>AVERAGE(AE198,AE203)*Inputs!$G$101</f>
        <v>20570.192496216565</v>
      </c>
      <c r="AF205" s="267">
        <f>AVERAGE(AF198,AF203)*Inputs!$G$101</f>
        <v>0</v>
      </c>
      <c r="AG205" s="267">
        <f>AVERAGE(AG198,AG203)*Inputs!$G$101</f>
        <v>0</v>
      </c>
      <c r="AH205" s="267">
        <f>AVERAGE(AH198,AH203)*Inputs!$G$101</f>
        <v>0</v>
      </c>
      <c r="AI205" s="267">
        <f>AVERAGE(AI198,AI203)*Inputs!$G$101</f>
        <v>0</v>
      </c>
      <c r="AJ205" s="267">
        <f>AVERAGE(AJ198,AJ203)*Inputs!$G$101</f>
        <v>0</v>
      </c>
    </row>
    <row r="206" spans="2:36" ht="16">
      <c r="B206" s="230" t="s">
        <v>158</v>
      </c>
      <c r="C206" s="230"/>
      <c r="D206" s="230"/>
      <c r="E206" s="274"/>
      <c r="F206" s="274"/>
      <c r="G206" s="267">
        <f>SUM(G199:G202)</f>
        <v>0</v>
      </c>
      <c r="H206" s="267">
        <f t="shared" ref="H206:AJ206" si="111">SUM(H199:H202)</f>
        <v>0</v>
      </c>
      <c r="I206" s="267">
        <f t="shared" si="111"/>
        <v>0</v>
      </c>
      <c r="J206" s="267">
        <f t="shared" si="111"/>
        <v>0</v>
      </c>
      <c r="K206" s="267">
        <f t="shared" si="111"/>
        <v>0</v>
      </c>
      <c r="L206" s="267">
        <f t="shared" si="111"/>
        <v>0</v>
      </c>
      <c r="M206" s="267">
        <f t="shared" si="111"/>
        <v>0</v>
      </c>
      <c r="N206" s="267">
        <f t="shared" si="111"/>
        <v>0</v>
      </c>
      <c r="O206" s="267">
        <f t="shared" si="111"/>
        <v>0</v>
      </c>
      <c r="P206" s="267">
        <f t="shared" si="111"/>
        <v>0</v>
      </c>
      <c r="Q206" s="267">
        <f t="shared" si="111"/>
        <v>0</v>
      </c>
      <c r="R206" s="267">
        <f t="shared" si="111"/>
        <v>0</v>
      </c>
      <c r="S206" s="267">
        <f t="shared" si="111"/>
        <v>0</v>
      </c>
      <c r="T206" s="267">
        <f t="shared" si="111"/>
        <v>0</v>
      </c>
      <c r="U206" s="267">
        <f t="shared" si="111"/>
        <v>0</v>
      </c>
      <c r="V206" s="267">
        <f t="shared" si="111"/>
        <v>-3542585.1457514493</v>
      </c>
      <c r="W206" s="267">
        <f t="shared" si="111"/>
        <v>0</v>
      </c>
      <c r="X206" s="267">
        <f t="shared" si="111"/>
        <v>0</v>
      </c>
      <c r="Y206" s="267">
        <f t="shared" si="111"/>
        <v>0</v>
      </c>
      <c r="Z206" s="267">
        <f t="shared" si="111"/>
        <v>0</v>
      </c>
      <c r="AA206" s="267">
        <f t="shared" si="111"/>
        <v>0</v>
      </c>
      <c r="AB206" s="267">
        <f t="shared" si="111"/>
        <v>0</v>
      </c>
      <c r="AC206" s="267">
        <f t="shared" si="111"/>
        <v>0</v>
      </c>
      <c r="AD206" s="267">
        <f t="shared" si="111"/>
        <v>0</v>
      </c>
      <c r="AE206" s="267">
        <f t="shared" si="111"/>
        <v>-2571274.0620270707</v>
      </c>
      <c r="AF206" s="267">
        <f t="shared" si="111"/>
        <v>0</v>
      </c>
      <c r="AG206" s="267">
        <f t="shared" si="111"/>
        <v>0</v>
      </c>
      <c r="AH206" s="267">
        <f t="shared" si="111"/>
        <v>0</v>
      </c>
      <c r="AI206" s="267">
        <f t="shared" si="111"/>
        <v>0</v>
      </c>
      <c r="AJ206" s="267">
        <f t="shared" si="111"/>
        <v>0</v>
      </c>
    </row>
    <row r="207" spans="2:36" ht="17" thickBot="1">
      <c r="B207" s="275"/>
      <c r="C207" s="275"/>
      <c r="D207" s="275"/>
      <c r="E207" s="276"/>
      <c r="F207" s="277"/>
      <c r="G207" s="277"/>
      <c r="H207" s="277"/>
      <c r="I207" s="277"/>
      <c r="J207" s="277"/>
      <c r="K207" s="277"/>
      <c r="L207" s="277"/>
      <c r="M207" s="277"/>
      <c r="N207" s="277"/>
      <c r="O207" s="277"/>
      <c r="P207" s="277"/>
      <c r="Q207" s="277"/>
      <c r="R207" s="277"/>
      <c r="S207" s="277"/>
      <c r="T207" s="277"/>
      <c r="U207" s="277"/>
      <c r="V207" s="277"/>
      <c r="W207" s="277"/>
      <c r="X207" s="277"/>
      <c r="Y207" s="277"/>
      <c r="Z207" s="277"/>
      <c r="AA207" s="277"/>
      <c r="AB207" s="277"/>
      <c r="AC207" s="277"/>
      <c r="AD207" s="277"/>
      <c r="AE207" s="277"/>
      <c r="AF207" s="277"/>
      <c r="AG207" s="277"/>
      <c r="AH207" s="277"/>
      <c r="AI207" s="277"/>
      <c r="AJ207" s="277"/>
    </row>
    <row r="208" spans="2:36" ht="16">
      <c r="B208" s="268"/>
      <c r="C208" s="268"/>
      <c r="D208" s="268"/>
      <c r="E208" s="503"/>
      <c r="F208" s="504"/>
      <c r="G208" s="504"/>
      <c r="H208" s="504"/>
      <c r="I208" s="504"/>
      <c r="J208" s="504"/>
      <c r="K208" s="504"/>
      <c r="L208" s="504"/>
      <c r="M208" s="504"/>
      <c r="N208" s="504"/>
      <c r="O208" s="504"/>
      <c r="P208" s="504"/>
      <c r="Q208" s="504"/>
      <c r="R208" s="504"/>
      <c r="S208" s="504"/>
      <c r="T208" s="504"/>
      <c r="U208" s="504"/>
      <c r="V208" s="504"/>
      <c r="W208" s="504"/>
      <c r="X208" s="504"/>
      <c r="Y208" s="504"/>
      <c r="Z208" s="504"/>
      <c r="AA208" s="504"/>
      <c r="AB208" s="504"/>
      <c r="AC208" s="504"/>
      <c r="AD208" s="504"/>
      <c r="AE208" s="504"/>
      <c r="AF208" s="504"/>
      <c r="AG208" s="504"/>
      <c r="AH208" s="504"/>
      <c r="AI208" s="504"/>
      <c r="AJ208" s="504"/>
    </row>
    <row r="209" spans="1:36" ht="16">
      <c r="B209" s="229" t="s">
        <v>344</v>
      </c>
      <c r="C209" s="229"/>
      <c r="D209" s="229"/>
      <c r="E209" s="742" t="s">
        <v>2</v>
      </c>
      <c r="F209" s="504"/>
      <c r="G209" s="504"/>
      <c r="H209" s="504"/>
      <c r="I209" s="504"/>
      <c r="J209" s="504"/>
      <c r="K209" s="504"/>
      <c r="L209" s="504"/>
      <c r="M209" s="504"/>
      <c r="N209" s="504"/>
      <c r="O209" s="504"/>
      <c r="P209" s="504"/>
      <c r="Q209" s="504"/>
      <c r="R209" s="504"/>
      <c r="S209" s="504"/>
      <c r="T209" s="504"/>
      <c r="U209" s="504"/>
      <c r="V209" s="504"/>
      <c r="W209" s="504"/>
      <c r="X209" s="504"/>
      <c r="Y209" s="504"/>
      <c r="Z209" s="504"/>
      <c r="AA209" s="504"/>
      <c r="AB209" s="504"/>
      <c r="AC209" s="504"/>
      <c r="AD209" s="504"/>
      <c r="AE209" s="504"/>
      <c r="AF209" s="504"/>
      <c r="AG209" s="504"/>
      <c r="AH209" s="504"/>
      <c r="AI209" s="504"/>
      <c r="AJ209" s="504"/>
    </row>
    <row r="210" spans="1:36" s="274" customFormat="1" ht="16">
      <c r="A210" s="350"/>
      <c r="B210" s="510" t="s">
        <v>329</v>
      </c>
      <c r="C210" s="510"/>
      <c r="D210" s="510"/>
      <c r="E210" s="503"/>
      <c r="F210" s="504"/>
      <c r="G210" s="504"/>
      <c r="H210" s="504"/>
      <c r="I210" s="504"/>
      <c r="J210" s="504"/>
      <c r="K210" s="504"/>
      <c r="L210" s="504"/>
      <c r="M210" s="504"/>
      <c r="N210" s="504"/>
      <c r="O210" s="504"/>
      <c r="P210" s="504"/>
      <c r="Q210" s="504"/>
      <c r="R210" s="504"/>
      <c r="S210" s="504"/>
      <c r="T210" s="504"/>
      <c r="U210" s="504"/>
      <c r="V210" s="504"/>
      <c r="W210" s="504"/>
      <c r="X210" s="504"/>
      <c r="Y210" s="504"/>
      <c r="Z210" s="504"/>
      <c r="AA210" s="504"/>
      <c r="AB210" s="504"/>
      <c r="AC210" s="504"/>
      <c r="AD210" s="504"/>
      <c r="AE210" s="504"/>
      <c r="AF210" s="504"/>
      <c r="AG210" s="504"/>
      <c r="AH210" s="504"/>
      <c r="AI210" s="504"/>
      <c r="AJ210" s="504"/>
    </row>
    <row r="211" spans="1:36" s="274" customFormat="1" ht="16">
      <c r="A211" s="350"/>
      <c r="B211" s="510" t="s">
        <v>328</v>
      </c>
      <c r="C211" s="510"/>
      <c r="D211" s="510"/>
      <c r="E211" s="503"/>
      <c r="F211" s="504"/>
      <c r="G211" s="511">
        <f>IF(G2=1,0%,IF(Inputs!$G$14="Annual",Inputs!$G$15,VLOOKUP('Cash Flow'!G2,'Complex Inputs'!$I$129:$J$158,2)))</f>
        <v>0</v>
      </c>
      <c r="H211" s="511">
        <f>IF(H2=1,0%,IF(Inputs!$G$14="Annual",Inputs!$G$15,VLOOKUP('Cash Flow'!H2,'Complex Inputs'!$I$129:$J$158,2)))</f>
        <v>0.03</v>
      </c>
      <c r="I211" s="511">
        <f>IF(I2=1,0%,IF(Inputs!$G$14="Annual",Inputs!$G$15,VLOOKUP('Cash Flow'!I2,'Complex Inputs'!$I$129:$J$158,2)))</f>
        <v>0.03</v>
      </c>
      <c r="J211" s="511">
        <f>IF(J2=1,0%,IF(Inputs!$G$14="Annual",Inputs!$G$15,VLOOKUP('Cash Flow'!J2,'Complex Inputs'!$I$129:$J$158,2)))</f>
        <v>0.03</v>
      </c>
      <c r="K211" s="511">
        <f>IF(K2=1,0%,IF(Inputs!$G$14="Annual",Inputs!$G$15,VLOOKUP('Cash Flow'!K2,'Complex Inputs'!$I$129:$J$158,2)))</f>
        <v>0.03</v>
      </c>
      <c r="L211" s="511">
        <f>IF(L2=1,0%,IF(Inputs!$G$14="Annual",Inputs!$G$15,VLOOKUP('Cash Flow'!L2,'Complex Inputs'!$I$129:$J$158,2)))</f>
        <v>0.03</v>
      </c>
      <c r="M211" s="511">
        <f>IF(M2=1,0%,IF(Inputs!$G$14="Annual",Inputs!$G$15,VLOOKUP('Cash Flow'!M2,'Complex Inputs'!$I$129:$J$158,2)))</f>
        <v>0.03</v>
      </c>
      <c r="N211" s="511">
        <f>IF(N2=1,0%,IF(Inputs!$G$14="Annual",Inputs!$G$15,VLOOKUP('Cash Flow'!N2,'Complex Inputs'!$I$129:$J$158,2)))</f>
        <v>0.03</v>
      </c>
      <c r="O211" s="511">
        <f>IF(O2=1,0%,IF(Inputs!$G$14="Annual",Inputs!$G$15,VLOOKUP('Cash Flow'!O2,'Complex Inputs'!$I$129:$J$158,2)))</f>
        <v>0.03</v>
      </c>
      <c r="P211" s="511">
        <f>IF(P2=1,0%,IF(Inputs!$G$14="Annual",Inputs!$G$15,VLOOKUP('Cash Flow'!P2,'Complex Inputs'!$I$129:$J$158,2)))</f>
        <v>0.03</v>
      </c>
      <c r="Q211" s="511">
        <f>IF(Q2=1,0%,IF(Inputs!$G$14="Annual",Inputs!$G$15,VLOOKUP('Cash Flow'!Q2,'Complex Inputs'!$I$129:$J$158,2)))</f>
        <v>0.03</v>
      </c>
      <c r="R211" s="511">
        <f>IF(R2=1,0%,IF(Inputs!$G$14="Annual",Inputs!$G$15,VLOOKUP('Cash Flow'!R2,'Complex Inputs'!$I$129:$J$158,2)))</f>
        <v>0.03</v>
      </c>
      <c r="S211" s="511">
        <f>IF(S2=1,0%,IF(Inputs!$G$14="Annual",Inputs!$G$15,VLOOKUP('Cash Flow'!S2,'Complex Inputs'!$I$129:$J$158,2)))</f>
        <v>0.03</v>
      </c>
      <c r="T211" s="511">
        <f>IF(T2=1,0%,IF(Inputs!$G$14="Annual",Inputs!$G$15,VLOOKUP('Cash Flow'!T2,'Complex Inputs'!$I$129:$J$158,2)))</f>
        <v>0.03</v>
      </c>
      <c r="U211" s="511">
        <f>IF(U2=1,0%,IF(Inputs!$G$14="Annual",Inputs!$G$15,VLOOKUP('Cash Flow'!U2,'Complex Inputs'!$I$129:$J$158,2)))</f>
        <v>0.03</v>
      </c>
      <c r="V211" s="511">
        <f>IF(V2=1,0%,IF(Inputs!$G$14="Annual",Inputs!$G$15,VLOOKUP('Cash Flow'!V2,'Complex Inputs'!$I$129:$J$158,2)))</f>
        <v>0.03</v>
      </c>
      <c r="W211" s="511">
        <f>IF(W2=1,0%,IF(Inputs!$G$14="Annual",Inputs!$G$15,VLOOKUP('Cash Flow'!W2,'Complex Inputs'!$I$129:$J$158,2)))</f>
        <v>0.03</v>
      </c>
      <c r="X211" s="511">
        <f>IF(X2=1,0%,IF(Inputs!$G$14="Annual",Inputs!$G$15,VLOOKUP('Cash Flow'!X2,'Complex Inputs'!$I$129:$J$158,2)))</f>
        <v>0.03</v>
      </c>
      <c r="Y211" s="511">
        <f>IF(Y2=1,0%,IF(Inputs!$G$14="Annual",Inputs!$G$15,VLOOKUP('Cash Flow'!Y2,'Complex Inputs'!$I$129:$J$158,2)))</f>
        <v>0.03</v>
      </c>
      <c r="Z211" s="511">
        <f>IF(Z2=1,0%,IF(Inputs!$G$14="Annual",Inputs!$G$15,VLOOKUP('Cash Flow'!Z2,'Complex Inputs'!$I$129:$J$158,2)))</f>
        <v>0.03</v>
      </c>
      <c r="AA211" s="511">
        <f>IF(AA2=1,0%,IF(Inputs!$G$14="Annual",Inputs!$G$15,VLOOKUP('Cash Flow'!AA2,'Complex Inputs'!$I$129:$J$158,2)))</f>
        <v>0.03</v>
      </c>
      <c r="AB211" s="511">
        <f>IF(AB2=1,0%,IF(Inputs!$G$14="Annual",Inputs!$G$15,VLOOKUP('Cash Flow'!AB2,'Complex Inputs'!$I$129:$J$158,2)))</f>
        <v>0.03</v>
      </c>
      <c r="AC211" s="511">
        <f>IF(AC2=1,0%,IF(Inputs!$G$14="Annual",Inputs!$G$15,VLOOKUP('Cash Flow'!AC2,'Complex Inputs'!$I$129:$J$158,2)))</f>
        <v>0.03</v>
      </c>
      <c r="AD211" s="511">
        <f>IF(AD2=1,0%,IF(Inputs!$G$14="Annual",Inputs!$G$15,VLOOKUP('Cash Flow'!AD2,'Complex Inputs'!$I$129:$J$158,2)))</f>
        <v>0.03</v>
      </c>
      <c r="AE211" s="511">
        <f>IF(AE2=1,0%,IF(Inputs!$G$14="Annual",Inputs!$G$15,VLOOKUP('Cash Flow'!AE2,'Complex Inputs'!$I$129:$J$158,2)))</f>
        <v>0.03</v>
      </c>
      <c r="AF211" s="511">
        <f>IF(AF2=1,0%,IF(Inputs!$G$14="Annual",Inputs!$G$15,VLOOKUP('Cash Flow'!AF2,'Complex Inputs'!$I$129:$J$158,2)))</f>
        <v>0.03</v>
      </c>
      <c r="AG211" s="511">
        <f>IF(AG2=1,0%,IF(Inputs!$G$14="Annual",Inputs!$G$15,VLOOKUP('Cash Flow'!AG2,'Complex Inputs'!$I$129:$J$158,2)))</f>
        <v>0.03</v>
      </c>
      <c r="AH211" s="511">
        <f>IF(AH2=1,0%,IF(Inputs!$G$14="Annual",Inputs!$G$15,VLOOKUP('Cash Flow'!AH2,'Complex Inputs'!$I$129:$J$158,2)))</f>
        <v>0.03</v>
      </c>
      <c r="AI211" s="511">
        <f>IF(AI2=1,0%,IF(Inputs!$G$14="Annual",Inputs!$G$15,VLOOKUP('Cash Flow'!AI2,'Complex Inputs'!$I$129:$J$158,2)))</f>
        <v>0.03</v>
      </c>
      <c r="AJ211" s="511">
        <f>IF(AJ2=1,0%,IF(Inputs!$G$14="Annual",Inputs!$G$15,VLOOKUP('Cash Flow'!AJ2,'Complex Inputs'!$I$129:$J$158,2)))</f>
        <v>0.03</v>
      </c>
    </row>
    <row r="212" spans="1:36" s="503" customFormat="1" ht="16">
      <c r="A212" s="518"/>
      <c r="B212" s="512" t="s">
        <v>428</v>
      </c>
      <c r="C212" s="512"/>
      <c r="D212" s="512"/>
      <c r="F212" s="504"/>
      <c r="G212" s="513">
        <f>Inputs!$G$13*1000*8760</f>
        <v>138315789.47368422</v>
      </c>
      <c r="H212" s="514">
        <f>G212*(1-H211)</f>
        <v>134166315.7894737</v>
      </c>
      <c r="I212" s="514">
        <f t="shared" ref="I212:AJ212" si="112">H212*(1-I211)</f>
        <v>130141326.31578948</v>
      </c>
      <c r="J212" s="514">
        <f t="shared" si="112"/>
        <v>126237086.52631579</v>
      </c>
      <c r="K212" s="514">
        <f t="shared" si="112"/>
        <v>122449973.93052632</v>
      </c>
      <c r="L212" s="514">
        <f t="shared" si="112"/>
        <v>118776474.71261053</v>
      </c>
      <c r="M212" s="514">
        <f t="shared" si="112"/>
        <v>115213180.47123221</v>
      </c>
      <c r="N212" s="514">
        <f t="shared" si="112"/>
        <v>111756785.05709523</v>
      </c>
      <c r="O212" s="514">
        <f t="shared" si="112"/>
        <v>108404081.50538237</v>
      </c>
      <c r="P212" s="514">
        <f t="shared" si="112"/>
        <v>105151959.0602209</v>
      </c>
      <c r="Q212" s="514">
        <f t="shared" si="112"/>
        <v>101997400.28841427</v>
      </c>
      <c r="R212" s="514">
        <f t="shared" si="112"/>
        <v>98937478.279761836</v>
      </c>
      <c r="S212" s="514">
        <f t="shared" si="112"/>
        <v>95969353.931368977</v>
      </c>
      <c r="T212" s="514">
        <f t="shared" si="112"/>
        <v>93090273.31342791</v>
      </c>
      <c r="U212" s="514">
        <f t="shared" si="112"/>
        <v>90297565.114025071</v>
      </c>
      <c r="V212" s="514">
        <f t="shared" si="112"/>
        <v>87588638.160604313</v>
      </c>
      <c r="W212" s="514">
        <f t="shared" si="112"/>
        <v>84960979.015786186</v>
      </c>
      <c r="X212" s="514">
        <f t="shared" si="112"/>
        <v>82412149.645312592</v>
      </c>
      <c r="Y212" s="514">
        <f t="shared" si="112"/>
        <v>79939785.155953214</v>
      </c>
      <c r="Z212" s="514">
        <f t="shared" si="112"/>
        <v>77541591.60127461</v>
      </c>
      <c r="AA212" s="514">
        <f t="shared" si="112"/>
        <v>75215343.853236362</v>
      </c>
      <c r="AB212" s="514">
        <f t="shared" si="112"/>
        <v>72958883.537639275</v>
      </c>
      <c r="AC212" s="514">
        <f t="shared" si="112"/>
        <v>70770117.0315101</v>
      </c>
      <c r="AD212" s="514">
        <f t="shared" si="112"/>
        <v>68647013.520564795</v>
      </c>
      <c r="AE212" s="514">
        <f t="shared" si="112"/>
        <v>66587603.114947848</v>
      </c>
      <c r="AF212" s="514">
        <f t="shared" si="112"/>
        <v>64589975.02149941</v>
      </c>
      <c r="AG212" s="514">
        <f t="shared" si="112"/>
        <v>62652275.770854428</v>
      </c>
      <c r="AH212" s="514">
        <f t="shared" si="112"/>
        <v>60772707.497728795</v>
      </c>
      <c r="AI212" s="514">
        <f t="shared" si="112"/>
        <v>58949526.272796929</v>
      </c>
      <c r="AJ212" s="514">
        <f t="shared" si="112"/>
        <v>57181040.484613016</v>
      </c>
    </row>
    <row r="213" spans="1:36" s="503" customFormat="1" ht="16">
      <c r="A213" s="518"/>
      <c r="B213" s="512" t="s">
        <v>429</v>
      </c>
      <c r="C213" s="512"/>
      <c r="D213" s="512"/>
      <c r="F213" s="504"/>
      <c r="G213" s="514">
        <f>IF(G2=Inputs!$Q$40,G212+(Inputs!$Q$43*Inputs!$G$13*8760*1000),IF(G2&gt;Inputs!$Q$40,'Cash Flow'!F213*(1-G211),G212))</f>
        <v>138315789.47368422</v>
      </c>
      <c r="H213" s="514">
        <f>IF(H2=Inputs!$Q$40,H212+(Inputs!$Q$43*Inputs!$G$13*8760*1000),IF(H2&gt;Inputs!$Q$40,'Cash Flow'!G213*(1-H211),H212))</f>
        <v>134166315.7894737</v>
      </c>
      <c r="I213" s="514">
        <f>IF(I2=Inputs!$Q$40,I212+(Inputs!$Q$43*Inputs!$G$13*8760*1000),IF(I2&gt;Inputs!$Q$40,'Cash Flow'!H213*(1-I211),I212))</f>
        <v>130141326.31578948</v>
      </c>
      <c r="J213" s="514">
        <f>IF(J2=Inputs!$Q$40,J212+(Inputs!$Q$43*Inputs!$G$13*8760*1000),IF(J2&gt;Inputs!$Q$40,'Cash Flow'!I213*(1-J211),J212))</f>
        <v>126237086.52631579</v>
      </c>
      <c r="K213" s="514">
        <f>IF(K2=Inputs!$Q$40,K212+(Inputs!$Q$43*Inputs!$G$13*8760*1000),IF(K2&gt;Inputs!$Q$40,'Cash Flow'!J213*(1-K211),K212))</f>
        <v>122449973.93052632</v>
      </c>
      <c r="L213" s="514">
        <f>IF(L2=Inputs!$Q$40,L212+(Inputs!$Q$43*Inputs!$G$13*8760*1000),IF(L2&gt;Inputs!$Q$40,'Cash Flow'!K213*(1-L211),L212))</f>
        <v>118776474.71261053</v>
      </c>
      <c r="M213" s="514">
        <f>IF(M2=Inputs!$Q$40,M212+(Inputs!$Q$43*Inputs!$G$13*8760*1000),IF(M2&gt;Inputs!$Q$40,'Cash Flow'!L213*(1-M211),M212))</f>
        <v>115213180.47123221</v>
      </c>
      <c r="N213" s="514">
        <f>IF(N2=Inputs!$Q$40,N212+(Inputs!$Q$43*Inputs!$G$13*8760*1000),IF(N2&gt;Inputs!$Q$40,'Cash Flow'!M213*(1-N211),N212))</f>
        <v>111756785.05709523</v>
      </c>
      <c r="O213" s="514">
        <f>IF(O2=Inputs!$Q$40,O212+(Inputs!$Q$43*Inputs!$G$13*8760*1000),IF(O2&gt;Inputs!$Q$40,'Cash Flow'!N213*(1-O211),O212))</f>
        <v>108404081.50538237</v>
      </c>
      <c r="P213" s="514">
        <f>IF(P2=Inputs!$Q$40,P212+(Inputs!$Q$43*Inputs!$G$13*8760*1000),IF(P2&gt;Inputs!$Q$40,'Cash Flow'!O213*(1-P211),P212))</f>
        <v>112067748.5339051</v>
      </c>
      <c r="Q213" s="514">
        <f>IF(Q2=Inputs!$Q$40,Q212+(Inputs!$Q$43*Inputs!$G$13*8760*1000),IF(Q2&gt;Inputs!$Q$40,'Cash Flow'!P213*(1-Q211),Q212))</f>
        <v>108705716.07788795</v>
      </c>
      <c r="R213" s="514">
        <f>IF(R2=Inputs!$Q$40,R212+(Inputs!$Q$43*Inputs!$G$13*8760*1000),IF(R2&gt;Inputs!$Q$40,'Cash Flow'!Q213*(1-R211),R212))</f>
        <v>105444544.59555131</v>
      </c>
      <c r="S213" s="514">
        <f>IF(S2=Inputs!$Q$40,S212+(Inputs!$Q$43*Inputs!$G$13*8760*1000),IF(S2&gt;Inputs!$Q$40,'Cash Flow'!R213*(1-S211),S212))</f>
        <v>102281208.25768477</v>
      </c>
      <c r="T213" s="514">
        <f>IF(T2=Inputs!$Q$40,T212+(Inputs!$Q$43*Inputs!$G$13*8760*1000),IF(T2&gt;Inputs!$Q$40,'Cash Flow'!S213*(1-T211),T212))</f>
        <v>99212772.009954214</v>
      </c>
      <c r="U213" s="514">
        <f>IF(U2=Inputs!$Q$40,U212+(Inputs!$Q$43*Inputs!$G$13*8760*1000),IF(U2&gt;Inputs!$Q$40,'Cash Flow'!T213*(1-U211),U212))</f>
        <v>96236388.849655584</v>
      </c>
      <c r="V213" s="514">
        <f>IF(V2=Inputs!$Q$40,V212+(Inputs!$Q$43*Inputs!$G$13*8760*1000),IF(V2&gt;Inputs!$Q$40,'Cash Flow'!U213*(1-V211),V212))</f>
        <v>93349297.18416591</v>
      </c>
      <c r="W213" s="514">
        <f>IF(W2=Inputs!$Q$40,W212+(Inputs!$Q$43*Inputs!$G$13*8760*1000),IF(W2&gt;Inputs!$Q$40,'Cash Flow'!V213*(1-W211),W212))</f>
        <v>90548818.268640935</v>
      </c>
      <c r="X213" s="514">
        <f>IF(X2=Inputs!$Q$40,X212+(Inputs!$Q$43*Inputs!$G$13*8760*1000),IF(X2&gt;Inputs!$Q$40,'Cash Flow'!W213*(1-X211),X212))</f>
        <v>87832353.72058171</v>
      </c>
      <c r="Y213" s="514">
        <f>IF(Y2=Inputs!$Q$40,Y212+(Inputs!$Q$43*Inputs!$G$13*8760*1000),IF(Y2&gt;Inputs!$Q$40,'Cash Flow'!X213*(1-Y211),Y212))</f>
        <v>85197383.108964249</v>
      </c>
      <c r="Z213" s="514">
        <f>IF(Z2=Inputs!$Q$40,Z212+(Inputs!$Q$43*Inputs!$G$13*8760*1000),IF(Z2&gt;Inputs!$Q$40,'Cash Flow'!Y213*(1-Z211),Z212))</f>
        <v>82641461.615695313</v>
      </c>
      <c r="AA213" s="514">
        <f>IF(AA2=Inputs!$Q$40,AA212+(Inputs!$Q$43*Inputs!$G$13*8760*1000),IF(AA2&gt;Inputs!$Q$40,'Cash Flow'!Z213*(1-AA211),AA212))</f>
        <v>80162217.767224446</v>
      </c>
      <c r="AB213" s="514">
        <f>IF(AB2=Inputs!$Q$40,AB212+(Inputs!$Q$43*Inputs!$G$13*8760*1000),IF(AB2&gt;Inputs!$Q$40,'Cash Flow'!AA213*(1-AB211),AB212))</f>
        <v>77757351.234207705</v>
      </c>
      <c r="AC213" s="514">
        <f>IF(AC2=Inputs!$Q$40,AC212+(Inputs!$Q$43*Inputs!$G$13*8760*1000),IF(AC2&gt;Inputs!$Q$40,'Cash Flow'!AB213*(1-AC211),AC212))</f>
        <v>75424630.697181478</v>
      </c>
      <c r="AD213" s="514">
        <f>IF(AD2=Inputs!$Q$40,AD212+(Inputs!$Q$43*Inputs!$G$13*8760*1000),IF(AD2&gt;Inputs!$Q$40,'Cash Flow'!AC213*(1-AD211),AD212))</f>
        <v>73161891.776266038</v>
      </c>
      <c r="AE213" s="514">
        <f>IF(AE2=Inputs!$Q$40,AE212+(Inputs!$Q$43*Inputs!$G$13*8760*1000),IF(AE2&gt;Inputs!$Q$40,'Cash Flow'!AD213*(1-AE211),AE212))</f>
        <v>70967035.022978052</v>
      </c>
      <c r="AF213" s="514">
        <f>IF(AF2=Inputs!$Q$40,AF212+(Inputs!$Q$43*Inputs!$G$13*8760*1000),IF(AF2&gt;Inputs!$Q$40,'Cash Flow'!AE213*(1-AF211),AF212))</f>
        <v>68838023.972288713</v>
      </c>
      <c r="AG213" s="514">
        <f>IF(AG2=Inputs!$Q$40,AG212+(Inputs!$Q$43*Inputs!$G$13*8760*1000),IF(AG2&gt;Inputs!$Q$40,'Cash Flow'!AF213*(1-AG211),AG212))</f>
        <v>66772883.25312005</v>
      </c>
      <c r="AH213" s="514">
        <f>IF(AH2=Inputs!$Q$40,AH212+(Inputs!$Q$43*Inputs!$G$13*8760*1000),IF(AH2&gt;Inputs!$Q$40,'Cash Flow'!AG213*(1-AH211),AH212))</f>
        <v>64769696.755526446</v>
      </c>
      <c r="AI213" s="514">
        <f>IF(AI2=Inputs!$Q$40,AI212+(Inputs!$Q$43*Inputs!$G$13*8760*1000),IF(AI2&gt;Inputs!$Q$40,'Cash Flow'!AH213*(1-AI211),AI212))</f>
        <v>62826605.852860652</v>
      </c>
      <c r="AJ213" s="514">
        <f>IF(AJ2=Inputs!$Q$40,AJ212+(Inputs!$Q$43*Inputs!$G$13*8760*1000),IF(AJ2&gt;Inputs!$Q$40,'Cash Flow'!AI213*(1-AJ211),AJ212))</f>
        <v>60941807.677274831</v>
      </c>
    </row>
    <row r="214" spans="1:36" s="503" customFormat="1" ht="16">
      <c r="A214" s="518"/>
      <c r="B214" s="512" t="s">
        <v>430</v>
      </c>
      <c r="C214" s="512"/>
      <c r="D214" s="512"/>
      <c r="F214" s="504"/>
      <c r="G214" s="514">
        <f>IF(G2=Inputs!$Q$44,G213+(Inputs!$Q$47*Inputs!$G$13*8760*1000),IF(G2&gt;Inputs!$Q$44,'Cash Flow'!F214*(1-G211),G213))</f>
        <v>138315789.47368422</v>
      </c>
      <c r="H214" s="514">
        <f>IF(H2=Inputs!$Q$44,H213+(Inputs!$Q$47*Inputs!$G$13*8760*1000),IF(H2&gt;Inputs!$Q$44,'Cash Flow'!G214*(1-H211),H213))</f>
        <v>134166315.7894737</v>
      </c>
      <c r="I214" s="514">
        <f>IF(I2=Inputs!$Q$44,I213+(Inputs!$Q$47*Inputs!$G$13*8760*1000),IF(I2&gt;Inputs!$Q$44,'Cash Flow'!H214*(1-I211),I213))</f>
        <v>130141326.31578948</v>
      </c>
      <c r="J214" s="514">
        <f>IF(J2=Inputs!$Q$44,J213+(Inputs!$Q$47*Inputs!$G$13*8760*1000),IF(J2&gt;Inputs!$Q$44,'Cash Flow'!I214*(1-J211),J213))</f>
        <v>126237086.52631579</v>
      </c>
      <c r="K214" s="514">
        <f>IF(K2=Inputs!$Q$44,K213+(Inputs!$Q$47*Inputs!$G$13*8760*1000),IF(K2&gt;Inputs!$Q$44,'Cash Flow'!J214*(1-K211),K213))</f>
        <v>122449973.93052632</v>
      </c>
      <c r="L214" s="514">
        <f>IF(L2=Inputs!$Q$44,L213+(Inputs!$Q$47*Inputs!$G$13*8760*1000),IF(L2&gt;Inputs!$Q$44,'Cash Flow'!K214*(1-L211),L213))</f>
        <v>118776474.71261053</v>
      </c>
      <c r="M214" s="514">
        <f>IF(M2=Inputs!$Q$44,M213+(Inputs!$Q$47*Inputs!$G$13*8760*1000),IF(M2&gt;Inputs!$Q$44,'Cash Flow'!L214*(1-M211),M213))</f>
        <v>115213180.47123221</v>
      </c>
      <c r="N214" s="514">
        <f>IF(N2=Inputs!$Q$44,N213+(Inputs!$Q$47*Inputs!$G$13*8760*1000),IF(N2&gt;Inputs!$Q$44,'Cash Flow'!M214*(1-N211),N213))</f>
        <v>111756785.05709523</v>
      </c>
      <c r="O214" s="514">
        <f>IF(O2=Inputs!$Q$44,O213+(Inputs!$Q$47*Inputs!$G$13*8760*1000),IF(O2&gt;Inputs!$Q$44,'Cash Flow'!N214*(1-O211),O213))</f>
        <v>108404081.50538237</v>
      </c>
      <c r="P214" s="514">
        <f>IF(P2=Inputs!$Q$44,P213+(Inputs!$Q$47*Inputs!$G$13*8760*1000),IF(P2&gt;Inputs!$Q$44,'Cash Flow'!O214*(1-P211),P213))</f>
        <v>112067748.5339051</v>
      </c>
      <c r="Q214" s="514">
        <f>IF(Q2=Inputs!$Q$44,Q213+(Inputs!$Q$47*Inputs!$G$13*8760*1000),IF(Q2&gt;Inputs!$Q$44,'Cash Flow'!P214*(1-Q211),Q213))</f>
        <v>108705716.07788795</v>
      </c>
      <c r="R214" s="514">
        <f>IF(R2=Inputs!$Q$44,R213+(Inputs!$Q$47*Inputs!$G$13*8760*1000),IF(R2&gt;Inputs!$Q$44,'Cash Flow'!Q214*(1-R211),R213))</f>
        <v>105444544.59555131</v>
      </c>
      <c r="S214" s="514">
        <f>IF(S2=Inputs!$Q$44,S213+(Inputs!$Q$47*Inputs!$G$13*8760*1000),IF(S2&gt;Inputs!$Q$44,'Cash Flow'!R214*(1-S211),S213))</f>
        <v>102281208.25768477</v>
      </c>
      <c r="T214" s="514">
        <f>IF(T2=Inputs!$Q$44,T213+(Inputs!$Q$47*Inputs!$G$13*8760*1000),IF(T2&gt;Inputs!$Q$44,'Cash Flow'!S214*(1-T211),T213))</f>
        <v>99212772.009954214</v>
      </c>
      <c r="U214" s="514">
        <f>IF(U2=Inputs!$Q$44,U213+(Inputs!$Q$47*Inputs!$G$13*8760*1000),IF(U2&gt;Inputs!$Q$44,'Cash Flow'!T214*(1-U211),U213))</f>
        <v>96236388.849655584</v>
      </c>
      <c r="V214" s="514">
        <f>IF(V2=Inputs!$Q$44,V213+(Inputs!$Q$47*Inputs!$G$13*8760*1000),IF(V2&gt;Inputs!$Q$44,'Cash Flow'!U214*(1-V211),V213))</f>
        <v>93349297.18416591</v>
      </c>
      <c r="W214" s="514">
        <f>IF(W2=Inputs!$Q$44,W213+(Inputs!$Q$47*Inputs!$G$13*8760*1000),IF(W2&gt;Inputs!$Q$44,'Cash Flow'!V214*(1-W211),W213))</f>
        <v>90548818.268640935</v>
      </c>
      <c r="X214" s="514">
        <f>IF(X2=Inputs!$Q$44,X213+(Inputs!$Q$47*Inputs!$G$13*8760*1000),IF(X2&gt;Inputs!$Q$44,'Cash Flow'!W214*(1-X211),X213))</f>
        <v>87832353.72058171</v>
      </c>
      <c r="Y214" s="514">
        <f>IF(Y2=Inputs!$Q$44,Y213+(Inputs!$Q$47*Inputs!$G$13*8760*1000),IF(Y2&gt;Inputs!$Q$44,'Cash Flow'!X214*(1-Y211),Y213))</f>
        <v>85197383.108964249</v>
      </c>
      <c r="Z214" s="514">
        <f>IF(Z2=Inputs!$Q$44,Z213+(Inputs!$Q$47*Inputs!$G$13*8760*1000),IF(Z2&gt;Inputs!$Q$44,'Cash Flow'!Y214*(1-Z211),Z213))</f>
        <v>93706724.773590058</v>
      </c>
      <c r="AA214" s="514">
        <f>IF(AA2=Inputs!$Q$44,AA213+(Inputs!$Q$47*Inputs!$G$13*8760*1000),IF(AA2&gt;Inputs!$Q$44,'Cash Flow'!Z214*(1-AA211),AA213))</f>
        <v>90895523.03038235</v>
      </c>
      <c r="AB214" s="514">
        <f>IF(AB2=Inputs!$Q$44,AB213+(Inputs!$Q$47*Inputs!$G$13*8760*1000),IF(AB2&gt;Inputs!$Q$44,'Cash Flow'!AA214*(1-AB211),AB213))</f>
        <v>88168657.339470878</v>
      </c>
      <c r="AC214" s="514">
        <f>IF(AC2=Inputs!$Q$44,AC213+(Inputs!$Q$47*Inputs!$G$13*8760*1000),IF(AC2&gt;Inputs!$Q$44,'Cash Flow'!AB214*(1-AC211),AC213))</f>
        <v>85523597.619286746</v>
      </c>
      <c r="AD214" s="514">
        <f>IF(AD2=Inputs!$Q$44,AD213+(Inputs!$Q$47*Inputs!$G$13*8760*1000),IF(AD2&gt;Inputs!$Q$44,'Cash Flow'!AC214*(1-AD211),AD213))</f>
        <v>82957889.690708145</v>
      </c>
      <c r="AE214" s="514">
        <f>IF(AE2=Inputs!$Q$44,AE213+(Inputs!$Q$47*Inputs!$G$13*8760*1000),IF(AE2&gt;Inputs!$Q$44,'Cash Flow'!AD214*(1-AE211),AE213))</f>
        <v>80469152.999986902</v>
      </c>
      <c r="AF214" s="514">
        <f>IF(AF2=Inputs!$Q$44,AF213+(Inputs!$Q$47*Inputs!$G$13*8760*1000),IF(AF2&gt;Inputs!$Q$44,'Cash Flow'!AE214*(1-AF211),AF213))</f>
        <v>78055078.409987286</v>
      </c>
      <c r="AG214" s="514">
        <f>IF(AG2=Inputs!$Q$44,AG213+(Inputs!$Q$47*Inputs!$G$13*8760*1000),IF(AG2&gt;Inputs!$Q$44,'Cash Flow'!AF214*(1-AG211),AG213))</f>
        <v>75713426.05768767</v>
      </c>
      <c r="AH214" s="514">
        <f>IF(AH2=Inputs!$Q$44,AH213+(Inputs!$Q$47*Inputs!$G$13*8760*1000),IF(AH2&gt;Inputs!$Q$44,'Cash Flow'!AG214*(1-AH211),AH213))</f>
        <v>73442023.275957033</v>
      </c>
      <c r="AI214" s="514">
        <f>IF(AI2=Inputs!$Q$44,AI213+(Inputs!$Q$47*Inputs!$G$13*8760*1000),IF(AI2&gt;Inputs!$Q$44,'Cash Flow'!AH214*(1-AI211),AI213))</f>
        <v>71238762.577678323</v>
      </c>
      <c r="AJ214" s="514">
        <f>IF(AJ2=Inputs!$Q$44,AJ213+(Inputs!$Q$47*Inputs!$G$13*8760*1000),IF(AJ2&gt;Inputs!$Q$44,'Cash Flow'!AI214*(1-AJ211),AJ213))</f>
        <v>69101599.700347975</v>
      </c>
    </row>
    <row r="215" spans="1:36" s="503" customFormat="1" ht="16">
      <c r="A215" s="518"/>
      <c r="B215" s="512"/>
      <c r="C215" s="512"/>
      <c r="D215" s="512"/>
      <c r="F215" s="504"/>
      <c r="G215" s="512"/>
      <c r="H215" s="512"/>
      <c r="I215" s="512"/>
      <c r="J215" s="512"/>
      <c r="K215" s="512"/>
      <c r="L215" s="512"/>
      <c r="M215" s="512"/>
      <c r="N215" s="512"/>
      <c r="O215" s="512"/>
      <c r="P215" s="512"/>
      <c r="Q215" s="512"/>
      <c r="R215" s="512"/>
      <c r="S215" s="512"/>
      <c r="T215" s="512"/>
      <c r="U215" s="512"/>
      <c r="V215" s="512"/>
      <c r="W215" s="512"/>
      <c r="X215" s="512"/>
      <c r="Y215" s="512"/>
      <c r="Z215" s="512"/>
      <c r="AA215" s="512"/>
      <c r="AB215" s="512"/>
      <c r="AC215" s="512"/>
      <c r="AD215" s="512"/>
      <c r="AE215" s="512"/>
      <c r="AF215" s="512"/>
      <c r="AG215" s="512"/>
      <c r="AH215" s="512"/>
      <c r="AI215" s="512"/>
      <c r="AJ215" s="512"/>
    </row>
    <row r="216" spans="1:36" s="503" customFormat="1" ht="16">
      <c r="A216" s="518"/>
      <c r="B216" s="515" t="s">
        <v>327</v>
      </c>
      <c r="C216" s="515"/>
      <c r="D216" s="515"/>
      <c r="F216" s="504"/>
      <c r="G216" s="512"/>
      <c r="H216" s="512"/>
      <c r="I216" s="512"/>
      <c r="J216" s="512"/>
      <c r="K216" s="512"/>
      <c r="L216" s="512"/>
      <c r="M216" s="512"/>
      <c r="N216" s="512"/>
      <c r="O216" s="512"/>
      <c r="P216" s="512"/>
      <c r="Q216" s="512"/>
      <c r="R216" s="512"/>
      <c r="S216" s="512"/>
      <c r="T216" s="512"/>
      <c r="U216" s="512"/>
      <c r="V216" s="512"/>
      <c r="W216" s="512"/>
      <c r="X216" s="512"/>
      <c r="Y216" s="512"/>
      <c r="Z216" s="512"/>
      <c r="AA216" s="512"/>
      <c r="AB216" s="512"/>
      <c r="AC216" s="512"/>
      <c r="AD216" s="512"/>
      <c r="AE216" s="512"/>
      <c r="AF216" s="512"/>
      <c r="AG216" s="512"/>
      <c r="AH216" s="512"/>
      <c r="AI216" s="512"/>
      <c r="AJ216" s="512"/>
    </row>
    <row r="217" spans="1:36" s="503" customFormat="1" ht="16">
      <c r="A217" s="518"/>
      <c r="B217" s="515" t="s">
        <v>326</v>
      </c>
      <c r="C217" s="515"/>
      <c r="D217" s="515"/>
      <c r="F217" s="504"/>
      <c r="G217" s="511">
        <f>IF(G2=1,0%,IF(Inputs!$G$9="Annual",Inputs!$G$10,VLOOKUP('Cash Flow'!G2,'Complex Inputs'!$F$129:$G$158,2)))</f>
        <v>0</v>
      </c>
      <c r="H217" s="511">
        <f>IF(H2=1,0%,IF(Inputs!$G$9="Annual",Inputs!$G$10,VLOOKUP('Cash Flow'!H2,'Complex Inputs'!$F$129:$G$158,2)))</f>
        <v>5.0000000000000001E-3</v>
      </c>
      <c r="I217" s="511">
        <f>IF(I2=1,0%,IF(Inputs!$G$9="Annual",Inputs!$G$10,VLOOKUP('Cash Flow'!I2,'Complex Inputs'!$F$129:$G$158,2)))</f>
        <v>5.0000000000000001E-3</v>
      </c>
      <c r="J217" s="511">
        <f>IF(J2=1,0%,IF(Inputs!$G$9="Annual",Inputs!$G$10,VLOOKUP('Cash Flow'!J2,'Complex Inputs'!$F$129:$G$158,2)))</f>
        <v>5.0000000000000001E-3</v>
      </c>
      <c r="K217" s="511">
        <f>IF(K2=1,0%,IF(Inputs!$G$9="Annual",Inputs!$G$10,VLOOKUP('Cash Flow'!K2,'Complex Inputs'!$F$129:$G$158,2)))</f>
        <v>5.0000000000000001E-3</v>
      </c>
      <c r="L217" s="511">
        <f>IF(L2=1,0%,IF(Inputs!$G$9="Annual",Inputs!$G$10,VLOOKUP('Cash Flow'!L2,'Complex Inputs'!$F$129:$G$158,2)))</f>
        <v>5.0000000000000001E-3</v>
      </c>
      <c r="M217" s="511">
        <f>IF(M2=1,0%,IF(Inputs!$G$9="Annual",Inputs!$G$10,VLOOKUP('Cash Flow'!M2,'Complex Inputs'!$F$129:$G$158,2)))</f>
        <v>5.0000000000000001E-3</v>
      </c>
      <c r="N217" s="511">
        <f>IF(N2=1,0%,IF(Inputs!$G$9="Annual",Inputs!$G$10,VLOOKUP('Cash Flow'!N2,'Complex Inputs'!$F$129:$G$158,2)))</f>
        <v>5.0000000000000001E-3</v>
      </c>
      <c r="O217" s="511">
        <f>IF(O2=1,0%,IF(Inputs!$G$9="Annual",Inputs!$G$10,VLOOKUP('Cash Flow'!O2,'Complex Inputs'!$F$129:$G$158,2)))</f>
        <v>5.0000000000000001E-3</v>
      </c>
      <c r="P217" s="511">
        <f>IF(P2=1,0%,IF(Inputs!$G$9="Annual",Inputs!$G$10,VLOOKUP('Cash Flow'!P2,'Complex Inputs'!$F$129:$G$158,2)))</f>
        <v>5.0000000000000001E-3</v>
      </c>
      <c r="Q217" s="511">
        <f>IF(Q2=1,0%,IF(Inputs!$G$9="Annual",Inputs!$G$10,VLOOKUP('Cash Flow'!Q2,'Complex Inputs'!$F$129:$G$158,2)))</f>
        <v>5.0000000000000001E-3</v>
      </c>
      <c r="R217" s="511">
        <f>IF(R2=1,0%,IF(Inputs!$G$9="Annual",Inputs!$G$10,VLOOKUP('Cash Flow'!R2,'Complex Inputs'!$F$129:$G$158,2)))</f>
        <v>5.0000000000000001E-3</v>
      </c>
      <c r="S217" s="511">
        <f>IF(S2=1,0%,IF(Inputs!$G$9="Annual",Inputs!$G$10,VLOOKUP('Cash Flow'!S2,'Complex Inputs'!$F$129:$G$158,2)))</f>
        <v>5.0000000000000001E-3</v>
      </c>
      <c r="T217" s="511">
        <f>IF(T2=1,0%,IF(Inputs!$G$9="Annual",Inputs!$G$10,VLOOKUP('Cash Flow'!T2,'Complex Inputs'!$F$129:$G$158,2)))</f>
        <v>5.0000000000000001E-3</v>
      </c>
      <c r="U217" s="511">
        <f>IF(U2=1,0%,IF(Inputs!$G$9="Annual",Inputs!$G$10,VLOOKUP('Cash Flow'!U2,'Complex Inputs'!$F$129:$G$158,2)))</f>
        <v>5.0000000000000001E-3</v>
      </c>
      <c r="V217" s="511">
        <f>IF(V2=1,0%,IF(Inputs!$G$9="Annual",Inputs!$G$10,VLOOKUP('Cash Flow'!V2,'Complex Inputs'!$F$129:$G$158,2)))</f>
        <v>5.0000000000000001E-3</v>
      </c>
      <c r="W217" s="511">
        <f>IF(W2=1,0%,IF(Inputs!$G$9="Annual",Inputs!$G$10,VLOOKUP('Cash Flow'!W2,'Complex Inputs'!$F$129:$G$158,2)))</f>
        <v>5.0000000000000001E-3</v>
      </c>
      <c r="X217" s="511">
        <f>IF(X2=1,0%,IF(Inputs!$G$9="Annual",Inputs!$G$10,VLOOKUP('Cash Flow'!X2,'Complex Inputs'!$F$129:$G$158,2)))</f>
        <v>5.0000000000000001E-3</v>
      </c>
      <c r="Y217" s="511">
        <f>IF(Y2=1,0%,IF(Inputs!$G$9="Annual",Inputs!$G$10,VLOOKUP('Cash Flow'!Y2,'Complex Inputs'!$F$129:$G$158,2)))</f>
        <v>5.0000000000000001E-3</v>
      </c>
      <c r="Z217" s="511">
        <f>IF(Z2=1,0%,IF(Inputs!$G$9="Annual",Inputs!$G$10,VLOOKUP('Cash Flow'!Z2,'Complex Inputs'!$F$129:$G$158,2)))</f>
        <v>5.0000000000000001E-3</v>
      </c>
      <c r="AA217" s="511">
        <f>IF(AA2=1,0%,IF(Inputs!$G$9="Annual",Inputs!$G$10,VLOOKUP('Cash Flow'!AA2,'Complex Inputs'!$F$129:$G$158,2)))</f>
        <v>5.0000000000000001E-3</v>
      </c>
      <c r="AB217" s="511">
        <f>IF(AB2=1,0%,IF(Inputs!$G$9="Annual",Inputs!$G$10,VLOOKUP('Cash Flow'!AB2,'Complex Inputs'!$F$129:$G$158,2)))</f>
        <v>5.0000000000000001E-3</v>
      </c>
      <c r="AC217" s="511">
        <f>IF(AC2=1,0%,IF(Inputs!$G$9="Annual",Inputs!$G$10,VLOOKUP('Cash Flow'!AC2,'Complex Inputs'!$F$129:$G$158,2)))</f>
        <v>5.0000000000000001E-3</v>
      </c>
      <c r="AD217" s="511">
        <f>IF(AD2=1,0%,IF(Inputs!$G$9="Annual",Inputs!$G$10,VLOOKUP('Cash Flow'!AD2,'Complex Inputs'!$F$129:$G$158,2)))</f>
        <v>5.0000000000000001E-3</v>
      </c>
      <c r="AE217" s="511">
        <f>IF(AE2=1,0%,IF(Inputs!$G$9="Annual",Inputs!$G$10,VLOOKUP('Cash Flow'!AE2,'Complex Inputs'!$F$129:$G$158,2)))</f>
        <v>5.0000000000000001E-3</v>
      </c>
      <c r="AF217" s="511">
        <f>IF(AF2=1,0%,IF(Inputs!$G$9="Annual",Inputs!$G$10,VLOOKUP('Cash Flow'!AF2,'Complex Inputs'!$F$129:$G$158,2)))</f>
        <v>5.0000000000000001E-3</v>
      </c>
      <c r="AG217" s="511">
        <f>IF(AG2=1,0%,IF(Inputs!$G$9="Annual",Inputs!$G$10,VLOOKUP('Cash Flow'!AG2,'Complex Inputs'!$F$129:$G$158,2)))</f>
        <v>5.0000000000000001E-3</v>
      </c>
      <c r="AH217" s="511">
        <f>IF(AH2=1,0%,IF(Inputs!$G$9="Annual",Inputs!$G$10,VLOOKUP('Cash Flow'!AH2,'Complex Inputs'!$F$129:$G$158,2)))</f>
        <v>5.0000000000000001E-3</v>
      </c>
      <c r="AI217" s="511">
        <f>IF(AI2=1,0%,IF(Inputs!$G$9="Annual",Inputs!$G$10,VLOOKUP('Cash Flow'!AI2,'Complex Inputs'!$F$129:$G$158,2)))</f>
        <v>5.0000000000000001E-3</v>
      </c>
      <c r="AJ217" s="511">
        <f>IF(AJ2=1,0%,IF(Inputs!$G$9="Annual",Inputs!$G$10,VLOOKUP('Cash Flow'!AJ2,'Complex Inputs'!$F$129:$G$158,2)))</f>
        <v>5.0000000000000001E-3</v>
      </c>
    </row>
    <row r="218" spans="1:36" s="503" customFormat="1" ht="16">
      <c r="A218" s="518"/>
      <c r="B218" s="512" t="s">
        <v>325</v>
      </c>
      <c r="C218" s="512"/>
      <c r="D218" s="512"/>
      <c r="F218" s="504"/>
      <c r="G218" s="516">
        <f>Inputs!$G$7</f>
        <v>0.85499999999999998</v>
      </c>
      <c r="H218" s="516">
        <f>G218*(1-H217)</f>
        <v>0.85072499999999995</v>
      </c>
      <c r="I218" s="516">
        <f t="shared" ref="I218:AJ218" si="113">H218*(1-I217)</f>
        <v>0.84647137499999991</v>
      </c>
      <c r="J218" s="516">
        <f t="shared" si="113"/>
        <v>0.84223901812499991</v>
      </c>
      <c r="K218" s="516">
        <f t="shared" si="113"/>
        <v>0.83802782303437495</v>
      </c>
      <c r="L218" s="516">
        <f t="shared" si="113"/>
        <v>0.8338376839192031</v>
      </c>
      <c r="M218" s="516">
        <f t="shared" si="113"/>
        <v>0.82966849549960708</v>
      </c>
      <c r="N218" s="516">
        <f t="shared" si="113"/>
        <v>0.82552015302210902</v>
      </c>
      <c r="O218" s="516">
        <f t="shared" si="113"/>
        <v>0.82139255225699848</v>
      </c>
      <c r="P218" s="516">
        <f t="shared" si="113"/>
        <v>0.8172855894957135</v>
      </c>
      <c r="Q218" s="516">
        <f t="shared" si="113"/>
        <v>0.81319916154823491</v>
      </c>
      <c r="R218" s="516">
        <f t="shared" si="113"/>
        <v>0.80913316574049376</v>
      </c>
      <c r="S218" s="516">
        <f t="shared" si="113"/>
        <v>0.80508749991179129</v>
      </c>
      <c r="T218" s="516">
        <f t="shared" si="113"/>
        <v>0.80106206241223232</v>
      </c>
      <c r="U218" s="516">
        <f t="shared" si="113"/>
        <v>0.79705675210017113</v>
      </c>
      <c r="V218" s="516">
        <f t="shared" si="113"/>
        <v>0.79307146833967024</v>
      </c>
      <c r="W218" s="516">
        <f t="shared" si="113"/>
        <v>0.7891061109979719</v>
      </c>
      <c r="X218" s="516">
        <f t="shared" si="113"/>
        <v>0.78516058044298198</v>
      </c>
      <c r="Y218" s="516">
        <f t="shared" si="113"/>
        <v>0.78123477754076709</v>
      </c>
      <c r="Z218" s="516">
        <f t="shared" si="113"/>
        <v>0.77732860365306322</v>
      </c>
      <c r="AA218" s="516">
        <f t="shared" si="113"/>
        <v>0.77344196063479786</v>
      </c>
      <c r="AB218" s="516">
        <f t="shared" si="113"/>
        <v>0.76957475083162385</v>
      </c>
      <c r="AC218" s="516">
        <f t="shared" si="113"/>
        <v>0.76572687707746578</v>
      </c>
      <c r="AD218" s="516">
        <f t="shared" si="113"/>
        <v>0.7618982426920784</v>
      </c>
      <c r="AE218" s="516">
        <f t="shared" si="113"/>
        <v>0.75808875147861798</v>
      </c>
      <c r="AF218" s="516">
        <f t="shared" si="113"/>
        <v>0.75429830772122486</v>
      </c>
      <c r="AG218" s="516">
        <f t="shared" si="113"/>
        <v>0.75052681618261874</v>
      </c>
      <c r="AH218" s="516">
        <f t="shared" si="113"/>
        <v>0.74677418210170565</v>
      </c>
      <c r="AI218" s="516">
        <f t="shared" si="113"/>
        <v>0.74304031119119707</v>
      </c>
      <c r="AJ218" s="516">
        <f t="shared" si="113"/>
        <v>0.73932510963524112</v>
      </c>
    </row>
    <row r="219" spans="1:36" s="503" customFormat="1" ht="16">
      <c r="A219" s="518"/>
      <c r="B219" s="512" t="s">
        <v>431</v>
      </c>
      <c r="C219" s="512"/>
      <c r="D219" s="512"/>
      <c r="F219" s="504"/>
      <c r="G219" s="517">
        <f>Inputs!$G$6*1000*8760*G218</f>
        <v>112347000</v>
      </c>
      <c r="H219" s="517">
        <f>Inputs!$G$6*1000*8760*H218</f>
        <v>111785265</v>
      </c>
      <c r="I219" s="517">
        <f>Inputs!$G$6*1000*8760*I218</f>
        <v>111226338.67499998</v>
      </c>
      <c r="J219" s="517">
        <f>Inputs!$G$6*1000*8760*J218</f>
        <v>110670206.98162499</v>
      </c>
      <c r="K219" s="517">
        <f>Inputs!$G$6*1000*8760*K218</f>
        <v>110116855.94671687</v>
      </c>
      <c r="L219" s="517">
        <f>Inputs!$G$6*1000*8760*L218</f>
        <v>109566271.66698329</v>
      </c>
      <c r="M219" s="517">
        <f>Inputs!$G$6*1000*8760*M218</f>
        <v>109018440.30864838</v>
      </c>
      <c r="N219" s="517">
        <f>Inputs!$G$6*1000*8760*N218</f>
        <v>108473348.10710512</v>
      </c>
      <c r="O219" s="517">
        <f>Inputs!$G$6*1000*8760*O218</f>
        <v>107930981.36656959</v>
      </c>
      <c r="P219" s="517">
        <f>Inputs!$G$6*1000*8760*P218</f>
        <v>107391326.45973675</v>
      </c>
      <c r="Q219" s="517">
        <f>Inputs!$G$6*1000*8760*Q218</f>
        <v>106854369.82743807</v>
      </c>
      <c r="R219" s="517">
        <f>Inputs!$G$6*1000*8760*R218</f>
        <v>106320097.97830088</v>
      </c>
      <c r="S219" s="517">
        <f>Inputs!$G$6*1000*8760*S218</f>
        <v>105788497.48840937</v>
      </c>
      <c r="T219" s="517">
        <f>Inputs!$G$6*1000*8760*T218</f>
        <v>105259555.00096732</v>
      </c>
      <c r="U219" s="517">
        <f>Inputs!$G$6*1000*8760*U218</f>
        <v>104733257.22596249</v>
      </c>
      <c r="V219" s="517">
        <f>Inputs!$G$6*1000*8760*V218</f>
        <v>104209590.93983267</v>
      </c>
      <c r="W219" s="517">
        <f>Inputs!$G$6*1000*8760*W218</f>
        <v>103688542.98513351</v>
      </c>
      <c r="X219" s="517">
        <f>Inputs!$G$6*1000*8760*X218</f>
        <v>103170100.27020784</v>
      </c>
      <c r="Y219" s="517">
        <f>Inputs!$G$6*1000*8760*Y218</f>
        <v>102654249.76885679</v>
      </c>
      <c r="Z219" s="517">
        <f>Inputs!$G$6*1000*8760*Z218</f>
        <v>102140978.52001251</v>
      </c>
      <c r="AA219" s="517">
        <f>Inputs!$G$6*1000*8760*AA218</f>
        <v>101630273.62741244</v>
      </c>
      <c r="AB219" s="517">
        <f>Inputs!$G$6*1000*8760*AB218</f>
        <v>101122122.25927538</v>
      </c>
      <c r="AC219" s="517">
        <f>Inputs!$G$6*1000*8760*AC218</f>
        <v>100616511.64797901</v>
      </c>
      <c r="AD219" s="517">
        <f>Inputs!$G$6*1000*8760*AD218</f>
        <v>100113429.0897391</v>
      </c>
      <c r="AE219" s="517">
        <f>Inputs!$G$6*1000*8760*AE218</f>
        <v>99612861.9442904</v>
      </c>
      <c r="AF219" s="517">
        <f>Inputs!$G$6*1000*8760*AF218</f>
        <v>99114797.634568945</v>
      </c>
      <c r="AG219" s="517">
        <f>Inputs!$G$6*1000*8760*AG218</f>
        <v>98619223.646396101</v>
      </c>
      <c r="AH219" s="517">
        <f>Inputs!$G$6*1000*8760*AH218</f>
        <v>98126127.528164119</v>
      </c>
      <c r="AI219" s="517">
        <f>Inputs!$G$6*1000*8760*AI218</f>
        <v>97635496.8905233</v>
      </c>
      <c r="AJ219" s="517">
        <f>Inputs!$G$6*1000*8760*AJ218</f>
        <v>97147319.406070679</v>
      </c>
    </row>
    <row r="220" spans="1:36" s="503" customFormat="1" ht="16">
      <c r="A220" s="518"/>
      <c r="B220" s="515" t="s">
        <v>432</v>
      </c>
      <c r="C220" s="515"/>
      <c r="D220" s="515"/>
      <c r="F220" s="504"/>
      <c r="G220" s="514">
        <f t="shared" ref="G220:AJ220" si="114">IF(G214&gt;G219,G219,G214)</f>
        <v>112347000</v>
      </c>
      <c r="H220" s="514">
        <f t="shared" si="114"/>
        <v>111785265</v>
      </c>
      <c r="I220" s="514">
        <f t="shared" si="114"/>
        <v>111226338.67499998</v>
      </c>
      <c r="J220" s="514">
        <f t="shared" si="114"/>
        <v>110670206.98162499</v>
      </c>
      <c r="K220" s="514">
        <f t="shared" si="114"/>
        <v>110116855.94671687</v>
      </c>
      <c r="L220" s="514">
        <f t="shared" si="114"/>
        <v>109566271.66698329</v>
      </c>
      <c r="M220" s="514">
        <f t="shared" si="114"/>
        <v>109018440.30864838</v>
      </c>
      <c r="N220" s="514">
        <f t="shared" si="114"/>
        <v>108473348.10710512</v>
      </c>
      <c r="O220" s="514">
        <f t="shared" si="114"/>
        <v>107930981.36656959</v>
      </c>
      <c r="P220" s="514">
        <f t="shared" si="114"/>
        <v>107391326.45973675</v>
      </c>
      <c r="Q220" s="514">
        <f t="shared" si="114"/>
        <v>106854369.82743807</v>
      </c>
      <c r="R220" s="514">
        <f t="shared" si="114"/>
        <v>105444544.59555131</v>
      </c>
      <c r="S220" s="514">
        <f t="shared" si="114"/>
        <v>102281208.25768477</v>
      </c>
      <c r="T220" s="514">
        <f t="shared" si="114"/>
        <v>99212772.009954214</v>
      </c>
      <c r="U220" s="514">
        <f t="shared" si="114"/>
        <v>96236388.849655584</v>
      </c>
      <c r="V220" s="514">
        <f t="shared" si="114"/>
        <v>93349297.18416591</v>
      </c>
      <c r="W220" s="514">
        <f t="shared" si="114"/>
        <v>90548818.268640935</v>
      </c>
      <c r="X220" s="514">
        <f t="shared" si="114"/>
        <v>87832353.72058171</v>
      </c>
      <c r="Y220" s="514">
        <f t="shared" si="114"/>
        <v>85197383.108964249</v>
      </c>
      <c r="Z220" s="514">
        <f t="shared" si="114"/>
        <v>93706724.773590058</v>
      </c>
      <c r="AA220" s="514">
        <f t="shared" si="114"/>
        <v>90895523.03038235</v>
      </c>
      <c r="AB220" s="514">
        <f t="shared" si="114"/>
        <v>88168657.339470878</v>
      </c>
      <c r="AC220" s="514">
        <f t="shared" si="114"/>
        <v>85523597.619286746</v>
      </c>
      <c r="AD220" s="514">
        <f t="shared" si="114"/>
        <v>82957889.690708145</v>
      </c>
      <c r="AE220" s="514">
        <f t="shared" si="114"/>
        <v>80469152.999986902</v>
      </c>
      <c r="AF220" s="514">
        <f t="shared" si="114"/>
        <v>78055078.409987286</v>
      </c>
      <c r="AG220" s="514">
        <f t="shared" si="114"/>
        <v>75713426.05768767</v>
      </c>
      <c r="AH220" s="514">
        <f t="shared" si="114"/>
        <v>73442023.275957033</v>
      </c>
      <c r="AI220" s="514">
        <f t="shared" si="114"/>
        <v>71238762.577678323</v>
      </c>
      <c r="AJ220" s="514">
        <f t="shared" si="114"/>
        <v>69101599.700347975</v>
      </c>
    </row>
    <row r="221" spans="1:36" s="509" customFormat="1" ht="16">
      <c r="B221" s="268"/>
      <c r="C221" s="268"/>
      <c r="D221" s="268"/>
      <c r="E221" s="503"/>
      <c r="F221" s="504"/>
      <c r="G221" s="504"/>
      <c r="H221" s="504"/>
      <c r="I221" s="504"/>
      <c r="J221" s="504"/>
      <c r="K221" s="504"/>
      <c r="L221" s="504"/>
      <c r="M221" s="504"/>
      <c r="N221" s="504"/>
      <c r="O221" s="504"/>
      <c r="P221" s="504"/>
      <c r="Q221" s="504"/>
      <c r="R221" s="504"/>
      <c r="S221" s="504"/>
      <c r="T221" s="504"/>
      <c r="U221" s="504"/>
      <c r="V221" s="504"/>
      <c r="W221" s="504"/>
      <c r="X221" s="504"/>
      <c r="Y221" s="504"/>
      <c r="Z221" s="504"/>
      <c r="AA221" s="504"/>
      <c r="AB221" s="504"/>
      <c r="AC221" s="504"/>
      <c r="AD221" s="504"/>
      <c r="AE221" s="504"/>
      <c r="AF221" s="504"/>
      <c r="AG221" s="504"/>
      <c r="AH221" s="504"/>
      <c r="AI221" s="504"/>
      <c r="AJ221" s="504"/>
    </row>
    <row r="222" spans="1:36" s="509" customFormat="1" ht="16">
      <c r="B222" s="268"/>
      <c r="C222" s="268"/>
      <c r="D222" s="268"/>
      <c r="E222" s="503"/>
      <c r="F222" s="504"/>
      <c r="G222" s="504"/>
      <c r="H222" s="504"/>
      <c r="I222" s="504"/>
      <c r="J222" s="504"/>
      <c r="K222" s="504"/>
      <c r="L222" s="504"/>
      <c r="M222" s="504"/>
      <c r="N222" s="504"/>
      <c r="O222" s="504"/>
      <c r="P222" s="504"/>
      <c r="Q222" s="504"/>
      <c r="R222" s="504"/>
      <c r="S222" s="504"/>
      <c r="T222" s="504"/>
      <c r="U222" s="504"/>
      <c r="V222" s="504"/>
      <c r="W222" s="504"/>
      <c r="X222" s="504"/>
      <c r="Y222" s="504"/>
      <c r="Z222" s="504"/>
      <c r="AA222" s="504"/>
      <c r="AB222" s="504"/>
      <c r="AC222" s="504"/>
      <c r="AD222" s="504"/>
      <c r="AE222" s="504"/>
      <c r="AF222" s="504"/>
      <c r="AG222" s="504"/>
      <c r="AH222" s="504"/>
      <c r="AI222" s="504"/>
      <c r="AJ222" s="504"/>
    </row>
    <row r="223" spans="1:36" s="509" customFormat="1" ht="16">
      <c r="B223" s="268"/>
      <c r="C223" s="268"/>
      <c r="D223" s="268"/>
      <c r="E223" s="503"/>
      <c r="F223" s="504"/>
      <c r="G223" s="504"/>
      <c r="H223" s="504"/>
      <c r="I223" s="504"/>
      <c r="J223" s="504"/>
      <c r="K223" s="504"/>
      <c r="L223" s="504"/>
      <c r="M223" s="504"/>
      <c r="N223" s="504"/>
      <c r="O223" s="504"/>
      <c r="P223" s="504"/>
      <c r="Q223" s="504"/>
      <c r="R223" s="504"/>
      <c r="S223" s="504"/>
      <c r="T223" s="504"/>
      <c r="U223" s="504"/>
      <c r="V223" s="504"/>
      <c r="W223" s="504"/>
      <c r="X223" s="504"/>
      <c r="Y223" s="504"/>
      <c r="Z223" s="504"/>
      <c r="AA223" s="504"/>
      <c r="AB223" s="504"/>
      <c r="AC223" s="504"/>
      <c r="AD223" s="504"/>
      <c r="AE223" s="504"/>
      <c r="AF223" s="504"/>
      <c r="AG223" s="504"/>
      <c r="AH223" s="504"/>
      <c r="AI223" s="504"/>
      <c r="AJ223" s="504"/>
    </row>
    <row r="224" spans="1:36" s="509" customFormat="1" ht="16">
      <c r="B224" s="268"/>
      <c r="C224" s="268"/>
      <c r="D224" s="268"/>
      <c r="E224" s="503"/>
      <c r="F224" s="504"/>
      <c r="G224" s="504"/>
      <c r="H224" s="504"/>
      <c r="I224" s="504"/>
      <c r="J224" s="504"/>
      <c r="K224" s="504"/>
      <c r="L224" s="504"/>
      <c r="M224" s="504"/>
      <c r="N224" s="504"/>
      <c r="O224" s="504"/>
      <c r="P224" s="504"/>
      <c r="Q224" s="504"/>
      <c r="R224" s="504"/>
      <c r="S224" s="504"/>
      <c r="T224" s="504"/>
      <c r="U224" s="504"/>
      <c r="V224" s="504"/>
      <c r="W224" s="504"/>
      <c r="X224" s="504"/>
      <c r="Y224" s="504"/>
      <c r="Z224" s="504"/>
      <c r="AA224" s="504"/>
      <c r="AB224" s="504"/>
      <c r="AC224" s="504"/>
      <c r="AD224" s="504"/>
      <c r="AE224" s="504"/>
      <c r="AF224" s="504"/>
      <c r="AG224" s="504"/>
      <c r="AH224" s="504"/>
      <c r="AI224" s="504"/>
      <c r="AJ224" s="504"/>
    </row>
    <row r="225" spans="2:36" s="509" customFormat="1" ht="16">
      <c r="B225" s="268"/>
      <c r="C225" s="268"/>
      <c r="D225" s="268"/>
      <c r="E225" s="503"/>
      <c r="F225" s="504"/>
      <c r="G225" s="504"/>
      <c r="H225" s="504"/>
      <c r="I225" s="504"/>
      <c r="J225" s="504"/>
      <c r="K225" s="504"/>
      <c r="L225" s="504"/>
      <c r="M225" s="504"/>
      <c r="N225" s="504"/>
      <c r="O225" s="504"/>
      <c r="P225" s="504"/>
      <c r="Q225" s="504"/>
      <c r="R225" s="504"/>
      <c r="S225" s="504"/>
      <c r="T225" s="504"/>
      <c r="U225" s="504"/>
      <c r="V225" s="504"/>
      <c r="W225" s="504"/>
      <c r="X225" s="504"/>
      <c r="Y225" s="504"/>
      <c r="Z225" s="504"/>
      <c r="AA225" s="504"/>
      <c r="AB225" s="504"/>
      <c r="AC225" s="504"/>
      <c r="AD225" s="504"/>
      <c r="AE225" s="504"/>
      <c r="AF225" s="504"/>
      <c r="AG225" s="504"/>
      <c r="AH225" s="504"/>
      <c r="AI225" s="504"/>
      <c r="AJ225" s="504"/>
    </row>
    <row r="226" spans="2:36" s="509" customFormat="1" ht="16">
      <c r="B226" s="268"/>
      <c r="C226" s="268"/>
      <c r="D226" s="268"/>
      <c r="E226" s="503"/>
      <c r="F226" s="504"/>
      <c r="G226" s="504"/>
      <c r="H226" s="504"/>
      <c r="I226" s="504"/>
      <c r="J226" s="504"/>
      <c r="K226" s="504"/>
      <c r="L226" s="504"/>
      <c r="M226" s="504"/>
      <c r="N226" s="504"/>
      <c r="O226" s="504"/>
      <c r="P226" s="504"/>
      <c r="Q226" s="504"/>
      <c r="R226" s="504"/>
      <c r="S226" s="504"/>
      <c r="T226" s="504"/>
      <c r="U226" s="504"/>
      <c r="V226" s="504"/>
      <c r="W226" s="504"/>
      <c r="X226" s="504"/>
      <c r="Y226" s="504"/>
      <c r="Z226" s="504"/>
      <c r="AA226" s="504"/>
      <c r="AB226" s="504"/>
      <c r="AC226" s="504"/>
      <c r="AD226" s="504"/>
      <c r="AE226" s="504"/>
      <c r="AF226" s="504"/>
      <c r="AG226" s="504"/>
      <c r="AH226" s="504"/>
      <c r="AI226" s="504"/>
      <c r="AJ226" s="504"/>
    </row>
    <row r="227" spans="2:36" s="509" customFormat="1" ht="16">
      <c r="B227" s="268"/>
      <c r="C227" s="268"/>
      <c r="D227" s="268"/>
      <c r="E227" s="503"/>
      <c r="F227" s="504"/>
      <c r="G227" s="504"/>
      <c r="H227" s="504"/>
      <c r="I227" s="504"/>
      <c r="J227" s="504"/>
      <c r="K227" s="504"/>
      <c r="L227" s="504"/>
      <c r="M227" s="504"/>
      <c r="N227" s="504"/>
      <c r="O227" s="504"/>
      <c r="P227" s="504"/>
      <c r="Q227" s="504"/>
      <c r="R227" s="504"/>
      <c r="S227" s="504"/>
      <c r="T227" s="504"/>
      <c r="U227" s="504"/>
      <c r="V227" s="504"/>
      <c r="W227" s="504"/>
      <c r="X227" s="504"/>
      <c r="Y227" s="504"/>
      <c r="Z227" s="504"/>
      <c r="AA227" s="504"/>
      <c r="AB227" s="504"/>
      <c r="AC227" s="504"/>
      <c r="AD227" s="504"/>
      <c r="AE227" s="504"/>
      <c r="AF227" s="504"/>
      <c r="AG227" s="504"/>
      <c r="AH227" s="504"/>
      <c r="AI227" s="504"/>
      <c r="AJ227" s="504"/>
    </row>
    <row r="228" spans="2:36" s="509" customFormat="1" ht="16">
      <c r="B228" s="268"/>
      <c r="C228" s="268"/>
      <c r="D228" s="268"/>
      <c r="E228" s="503"/>
      <c r="F228" s="504"/>
      <c r="G228" s="504"/>
      <c r="H228" s="504"/>
      <c r="I228" s="504"/>
      <c r="J228" s="504"/>
      <c r="K228" s="504"/>
      <c r="L228" s="504"/>
      <c r="M228" s="504"/>
      <c r="N228" s="504"/>
      <c r="O228" s="504"/>
      <c r="P228" s="504"/>
      <c r="Q228" s="504"/>
      <c r="R228" s="504"/>
      <c r="S228" s="504"/>
      <c r="T228" s="504"/>
      <c r="U228" s="504"/>
      <c r="V228" s="504"/>
      <c r="W228" s="504"/>
      <c r="X228" s="504"/>
      <c r="Y228" s="504"/>
      <c r="Z228" s="504"/>
      <c r="AA228" s="504"/>
      <c r="AB228" s="504"/>
      <c r="AC228" s="504"/>
      <c r="AD228" s="504"/>
      <c r="AE228" s="504"/>
      <c r="AF228" s="504"/>
      <c r="AG228" s="504"/>
      <c r="AH228" s="504"/>
      <c r="AI228" s="504"/>
      <c r="AJ228" s="504"/>
    </row>
    <row r="229" spans="2:36" s="509" customFormat="1" ht="16">
      <c r="B229" s="268"/>
      <c r="C229" s="268"/>
      <c r="D229" s="268"/>
      <c r="E229" s="503"/>
      <c r="F229" s="504"/>
      <c r="G229" s="504"/>
      <c r="H229" s="504"/>
      <c r="I229" s="504"/>
      <c r="J229" s="504"/>
      <c r="K229" s="504"/>
      <c r="L229" s="504"/>
      <c r="M229" s="504"/>
      <c r="N229" s="504"/>
      <c r="O229" s="504"/>
      <c r="P229" s="504"/>
      <c r="Q229" s="504"/>
      <c r="R229" s="504"/>
      <c r="S229" s="504"/>
      <c r="T229" s="504"/>
      <c r="U229" s="504"/>
      <c r="V229" s="504"/>
      <c r="W229" s="504"/>
      <c r="X229" s="504"/>
      <c r="Y229" s="504"/>
      <c r="Z229" s="504"/>
      <c r="AA229" s="504"/>
      <c r="AB229" s="504"/>
      <c r="AC229" s="504"/>
      <c r="AD229" s="504"/>
      <c r="AE229" s="504"/>
      <c r="AF229" s="504"/>
      <c r="AG229" s="504"/>
      <c r="AH229" s="504"/>
      <c r="AI229" s="504"/>
      <c r="AJ229" s="504"/>
    </row>
    <row r="230" spans="2:36" s="509" customFormat="1" ht="16">
      <c r="B230" s="268"/>
      <c r="C230" s="268"/>
      <c r="D230" s="268"/>
      <c r="E230" s="503"/>
      <c r="F230" s="504"/>
      <c r="G230" s="504"/>
      <c r="H230" s="504"/>
      <c r="I230" s="504"/>
      <c r="J230" s="504"/>
      <c r="K230" s="504"/>
      <c r="L230" s="504"/>
      <c r="M230" s="504"/>
      <c r="N230" s="504"/>
      <c r="O230" s="504"/>
      <c r="P230" s="504"/>
      <c r="Q230" s="504"/>
      <c r="R230" s="504"/>
      <c r="S230" s="504"/>
      <c r="T230" s="504"/>
      <c r="U230" s="504"/>
      <c r="V230" s="504"/>
      <c r="W230" s="504"/>
      <c r="X230" s="504"/>
      <c r="Y230" s="504"/>
      <c r="Z230" s="504"/>
      <c r="AA230" s="504"/>
      <c r="AB230" s="504"/>
      <c r="AC230" s="504"/>
      <c r="AD230" s="504"/>
      <c r="AE230" s="504"/>
      <c r="AF230" s="504"/>
      <c r="AG230" s="504"/>
      <c r="AH230" s="504"/>
      <c r="AI230" s="504"/>
      <c r="AJ230" s="504"/>
    </row>
    <row r="231" spans="2:36" s="509" customFormat="1" ht="16">
      <c r="B231" s="268"/>
      <c r="C231" s="268"/>
      <c r="D231" s="268"/>
      <c r="E231" s="503"/>
      <c r="F231" s="504"/>
      <c r="G231" s="504"/>
      <c r="H231" s="504"/>
      <c r="I231" s="504"/>
      <c r="J231" s="504"/>
      <c r="K231" s="504"/>
      <c r="L231" s="504"/>
      <c r="M231" s="504"/>
      <c r="N231" s="504"/>
      <c r="O231" s="504"/>
      <c r="P231" s="504"/>
      <c r="Q231" s="504"/>
      <c r="R231" s="504"/>
      <c r="S231" s="504"/>
      <c r="T231" s="504"/>
      <c r="U231" s="504"/>
      <c r="V231" s="504"/>
      <c r="W231" s="504"/>
      <c r="X231" s="504"/>
      <c r="Y231" s="504"/>
      <c r="Z231" s="504"/>
      <c r="AA231" s="504"/>
      <c r="AB231" s="504"/>
      <c r="AC231" s="504"/>
      <c r="AD231" s="504"/>
      <c r="AE231" s="504"/>
      <c r="AF231" s="504"/>
      <c r="AG231" s="504"/>
      <c r="AH231" s="504"/>
      <c r="AI231" s="504"/>
      <c r="AJ231" s="504"/>
    </row>
    <row r="232" spans="2:36" s="509" customFormat="1" ht="16">
      <c r="B232" s="268"/>
      <c r="C232" s="268"/>
      <c r="D232" s="268"/>
      <c r="E232" s="503"/>
      <c r="F232" s="504"/>
      <c r="G232" s="504"/>
      <c r="H232" s="504"/>
      <c r="I232" s="504"/>
      <c r="J232" s="504"/>
      <c r="K232" s="504"/>
      <c r="L232" s="504"/>
      <c r="M232" s="504"/>
      <c r="N232" s="504"/>
      <c r="O232" s="504"/>
      <c r="P232" s="504"/>
      <c r="Q232" s="504"/>
      <c r="R232" s="504"/>
      <c r="S232" s="504"/>
      <c r="T232" s="504"/>
      <c r="U232" s="504"/>
      <c r="V232" s="504"/>
      <c r="W232" s="504"/>
      <c r="X232" s="504"/>
      <c r="Y232" s="504"/>
      <c r="Z232" s="504"/>
      <c r="AA232" s="504"/>
      <c r="AB232" s="504"/>
      <c r="AC232" s="504"/>
      <c r="AD232" s="504"/>
      <c r="AE232" s="504"/>
      <c r="AF232" s="504"/>
      <c r="AG232" s="504"/>
      <c r="AH232" s="504"/>
      <c r="AI232" s="504"/>
      <c r="AJ232" s="504"/>
    </row>
    <row r="233" spans="2:36" s="509" customFormat="1" ht="16">
      <c r="B233" s="268"/>
      <c r="C233" s="268"/>
      <c r="D233" s="268"/>
      <c r="E233" s="503"/>
      <c r="F233" s="504"/>
      <c r="G233" s="504"/>
      <c r="H233" s="504"/>
      <c r="I233" s="504"/>
      <c r="J233" s="504"/>
      <c r="K233" s="504"/>
      <c r="L233" s="504"/>
      <c r="M233" s="504"/>
      <c r="N233" s="504"/>
      <c r="O233" s="504"/>
      <c r="P233" s="504"/>
      <c r="Q233" s="504"/>
      <c r="R233" s="504"/>
      <c r="S233" s="504"/>
      <c r="T233" s="504"/>
      <c r="U233" s="504"/>
      <c r="V233" s="504"/>
      <c r="W233" s="504"/>
      <c r="X233" s="504"/>
      <c r="Y233" s="504"/>
      <c r="Z233" s="504"/>
      <c r="AA233" s="504"/>
      <c r="AB233" s="504"/>
      <c r="AC233" s="504"/>
      <c r="AD233" s="504"/>
      <c r="AE233" s="504"/>
      <c r="AF233" s="504"/>
      <c r="AG233" s="504"/>
      <c r="AH233" s="504"/>
      <c r="AI233" s="504"/>
      <c r="AJ233" s="504"/>
    </row>
    <row r="234" spans="2:36" s="509" customFormat="1" ht="16">
      <c r="B234" s="268"/>
      <c r="C234" s="268"/>
      <c r="D234" s="268"/>
      <c r="E234" s="503"/>
      <c r="F234" s="504"/>
      <c r="G234" s="504"/>
      <c r="H234" s="504"/>
      <c r="I234" s="504"/>
      <c r="J234" s="504"/>
      <c r="K234" s="504"/>
      <c r="L234" s="504"/>
      <c r="M234" s="504"/>
      <c r="N234" s="504"/>
      <c r="O234" s="504"/>
      <c r="P234" s="504"/>
      <c r="Q234" s="504"/>
      <c r="R234" s="504"/>
      <c r="S234" s="504"/>
      <c r="T234" s="504"/>
      <c r="U234" s="504"/>
      <c r="V234" s="504"/>
      <c r="W234" s="504"/>
      <c r="X234" s="504"/>
      <c r="Y234" s="504"/>
      <c r="Z234" s="504"/>
      <c r="AA234" s="504"/>
      <c r="AB234" s="504"/>
      <c r="AC234" s="504"/>
      <c r="AD234" s="504"/>
      <c r="AE234" s="504"/>
      <c r="AF234" s="504"/>
      <c r="AG234" s="504"/>
      <c r="AH234" s="504"/>
      <c r="AI234" s="504"/>
      <c r="AJ234" s="504"/>
    </row>
    <row r="235" spans="2:36" s="509" customFormat="1" ht="16">
      <c r="B235" s="268"/>
      <c r="C235" s="268"/>
      <c r="D235" s="268"/>
      <c r="E235" s="503"/>
      <c r="F235" s="504"/>
      <c r="G235" s="504"/>
      <c r="H235" s="504"/>
      <c r="I235" s="504"/>
      <c r="J235" s="504"/>
      <c r="K235" s="504"/>
      <c r="L235" s="504"/>
      <c r="M235" s="504"/>
      <c r="N235" s="504"/>
      <c r="O235" s="504"/>
      <c r="P235" s="504"/>
      <c r="Q235" s="504"/>
      <c r="R235" s="504"/>
      <c r="S235" s="504"/>
      <c r="T235" s="504"/>
      <c r="U235" s="504"/>
      <c r="V235" s="504"/>
      <c r="W235" s="504"/>
      <c r="X235" s="504"/>
      <c r="Y235" s="504"/>
      <c r="Z235" s="504"/>
      <c r="AA235" s="504"/>
      <c r="AB235" s="504"/>
      <c r="AC235" s="504"/>
      <c r="AD235" s="504"/>
      <c r="AE235" s="504"/>
      <c r="AF235" s="504"/>
      <c r="AG235" s="504"/>
      <c r="AH235" s="504"/>
      <c r="AI235" s="504"/>
      <c r="AJ235" s="504"/>
    </row>
    <row r="236" spans="2:36" s="509" customFormat="1" ht="16">
      <c r="B236" s="268"/>
      <c r="C236" s="268"/>
      <c r="D236" s="268"/>
      <c r="E236" s="503"/>
      <c r="F236" s="504"/>
      <c r="G236" s="504"/>
      <c r="H236" s="504"/>
      <c r="I236" s="504"/>
      <c r="J236" s="504"/>
      <c r="K236" s="504"/>
      <c r="L236" s="504"/>
      <c r="M236" s="504"/>
      <c r="N236" s="504"/>
      <c r="O236" s="504"/>
      <c r="P236" s="504"/>
      <c r="Q236" s="504"/>
      <c r="R236" s="504"/>
      <c r="S236" s="504"/>
      <c r="T236" s="504"/>
      <c r="U236" s="504"/>
      <c r="V236" s="504"/>
      <c r="W236" s="504"/>
      <c r="X236" s="504"/>
      <c r="Y236" s="504"/>
      <c r="Z236" s="504"/>
      <c r="AA236" s="504"/>
      <c r="AB236" s="504"/>
      <c r="AC236" s="504"/>
      <c r="AD236" s="504"/>
      <c r="AE236" s="504"/>
      <c r="AF236" s="504"/>
      <c r="AG236" s="504"/>
      <c r="AH236" s="504"/>
      <c r="AI236" s="504"/>
      <c r="AJ236" s="504"/>
    </row>
    <row r="237" spans="2:36" s="509" customFormat="1" ht="16">
      <c r="B237" s="268"/>
      <c r="C237" s="268"/>
      <c r="D237" s="268"/>
      <c r="E237" s="503"/>
      <c r="F237" s="504"/>
      <c r="G237" s="504"/>
      <c r="H237" s="504"/>
      <c r="I237" s="504"/>
      <c r="J237" s="504"/>
      <c r="K237" s="504"/>
      <c r="L237" s="504"/>
      <c r="M237" s="504"/>
      <c r="N237" s="504"/>
      <c r="O237" s="504"/>
      <c r="P237" s="504"/>
      <c r="Q237" s="504"/>
      <c r="R237" s="504"/>
      <c r="S237" s="504"/>
      <c r="T237" s="504"/>
      <c r="U237" s="504"/>
      <c r="V237" s="504"/>
      <c r="W237" s="504"/>
      <c r="X237" s="504"/>
      <c r="Y237" s="504"/>
      <c r="Z237" s="504"/>
      <c r="AA237" s="504"/>
      <c r="AB237" s="504"/>
      <c r="AC237" s="504"/>
      <c r="AD237" s="504"/>
      <c r="AE237" s="504"/>
      <c r="AF237" s="504"/>
      <c r="AG237" s="504"/>
      <c r="AH237" s="504"/>
      <c r="AI237" s="504"/>
      <c r="AJ237" s="504"/>
    </row>
    <row r="238" spans="2:36" s="509" customFormat="1" ht="16">
      <c r="B238" s="268"/>
      <c r="C238" s="268"/>
      <c r="D238" s="268"/>
      <c r="E238" s="503"/>
      <c r="F238" s="504"/>
      <c r="G238" s="504"/>
      <c r="H238" s="504"/>
      <c r="I238" s="504"/>
      <c r="J238" s="504"/>
      <c r="K238" s="504"/>
      <c r="L238" s="504"/>
      <c r="M238" s="504"/>
      <c r="N238" s="504"/>
      <c r="O238" s="504"/>
      <c r="P238" s="504"/>
      <c r="Q238" s="504"/>
      <c r="R238" s="504"/>
      <c r="S238" s="504"/>
      <c r="T238" s="504"/>
      <c r="U238" s="504"/>
      <c r="V238" s="504"/>
      <c r="W238" s="504"/>
      <c r="X238" s="504"/>
      <c r="Y238" s="504"/>
      <c r="Z238" s="504"/>
      <c r="AA238" s="504"/>
      <c r="AB238" s="504"/>
      <c r="AC238" s="504"/>
      <c r="AD238" s="504"/>
      <c r="AE238" s="504"/>
      <c r="AF238" s="504"/>
      <c r="AG238" s="504"/>
      <c r="AH238" s="504"/>
      <c r="AI238" s="504"/>
      <c r="AJ238" s="504"/>
    </row>
    <row r="239" spans="2:36" s="509" customFormat="1" ht="16">
      <c r="B239" s="268"/>
      <c r="C239" s="268"/>
      <c r="D239" s="268"/>
      <c r="E239" s="503"/>
      <c r="F239" s="504"/>
      <c r="G239" s="504"/>
      <c r="H239" s="504"/>
      <c r="I239" s="504"/>
      <c r="J239" s="504"/>
      <c r="K239" s="504"/>
      <c r="L239" s="504"/>
      <c r="M239" s="504"/>
      <c r="N239" s="504"/>
      <c r="O239" s="504"/>
      <c r="P239" s="504"/>
      <c r="Q239" s="504"/>
      <c r="R239" s="504"/>
      <c r="S239" s="504"/>
      <c r="T239" s="504"/>
      <c r="U239" s="504"/>
      <c r="V239" s="504"/>
      <c r="W239" s="504"/>
      <c r="X239" s="504"/>
      <c r="Y239" s="504"/>
      <c r="Z239" s="504"/>
      <c r="AA239" s="504"/>
      <c r="AB239" s="504"/>
      <c r="AC239" s="504"/>
      <c r="AD239" s="504"/>
      <c r="AE239" s="504"/>
      <c r="AF239" s="504"/>
      <c r="AG239" s="504"/>
      <c r="AH239" s="504"/>
      <c r="AI239" s="504"/>
      <c r="AJ239" s="504"/>
    </row>
    <row r="240" spans="2:36" s="509" customFormat="1" ht="16">
      <c r="B240" s="268"/>
      <c r="C240" s="268"/>
      <c r="D240" s="268"/>
      <c r="E240" s="503"/>
      <c r="F240" s="504"/>
      <c r="G240" s="504"/>
      <c r="H240" s="504"/>
      <c r="I240" s="504"/>
      <c r="J240" s="504"/>
      <c r="K240" s="504"/>
      <c r="L240" s="504"/>
      <c r="M240" s="504"/>
      <c r="N240" s="504"/>
      <c r="O240" s="504"/>
      <c r="P240" s="504"/>
      <c r="Q240" s="504"/>
      <c r="R240" s="504"/>
      <c r="S240" s="504"/>
      <c r="T240" s="504"/>
      <c r="U240" s="504"/>
      <c r="V240" s="504"/>
      <c r="W240" s="504"/>
      <c r="X240" s="504"/>
      <c r="Y240" s="504"/>
      <c r="Z240" s="504"/>
      <c r="AA240" s="504"/>
      <c r="AB240" s="504"/>
      <c r="AC240" s="504"/>
      <c r="AD240" s="504"/>
      <c r="AE240" s="504"/>
      <c r="AF240" s="504"/>
      <c r="AG240" s="504"/>
      <c r="AH240" s="504"/>
      <c r="AI240" s="504"/>
      <c r="AJ240" s="504"/>
    </row>
    <row r="241" spans="2:36" s="509" customFormat="1" ht="16">
      <c r="B241" s="268"/>
      <c r="C241" s="268"/>
      <c r="D241" s="268"/>
      <c r="E241" s="503"/>
      <c r="F241" s="504"/>
      <c r="G241" s="504"/>
      <c r="H241" s="504"/>
      <c r="I241" s="504"/>
      <c r="J241" s="504"/>
      <c r="K241" s="504"/>
      <c r="L241" s="504"/>
      <c r="M241" s="504"/>
      <c r="N241" s="504"/>
      <c r="O241" s="504"/>
      <c r="P241" s="504"/>
      <c r="Q241" s="504"/>
      <c r="R241" s="504"/>
      <c r="S241" s="504"/>
      <c r="T241" s="504"/>
      <c r="U241" s="504"/>
      <c r="V241" s="504"/>
      <c r="W241" s="504"/>
      <c r="X241" s="504"/>
      <c r="Y241" s="504"/>
      <c r="Z241" s="504"/>
      <c r="AA241" s="504"/>
      <c r="AB241" s="504"/>
      <c r="AC241" s="504"/>
      <c r="AD241" s="504"/>
      <c r="AE241" s="504"/>
      <c r="AF241" s="504"/>
      <c r="AG241" s="504"/>
      <c r="AH241" s="504"/>
      <c r="AI241" s="504"/>
      <c r="AJ241" s="504"/>
    </row>
    <row r="242" spans="2:36" s="509" customFormat="1" ht="16">
      <c r="B242" s="268"/>
      <c r="C242" s="268"/>
      <c r="D242" s="268"/>
      <c r="E242" s="503"/>
      <c r="F242" s="504"/>
      <c r="G242" s="504"/>
      <c r="H242" s="504"/>
      <c r="I242" s="504"/>
      <c r="J242" s="504"/>
      <c r="K242" s="504"/>
      <c r="L242" s="504"/>
      <c r="M242" s="504"/>
      <c r="N242" s="504"/>
      <c r="O242" s="504"/>
      <c r="P242" s="504"/>
      <c r="Q242" s="504"/>
      <c r="R242" s="504"/>
      <c r="S242" s="504"/>
      <c r="T242" s="504"/>
      <c r="U242" s="504"/>
      <c r="V242" s="504"/>
      <c r="W242" s="504"/>
      <c r="X242" s="504"/>
      <c r="Y242" s="504"/>
      <c r="Z242" s="504"/>
      <c r="AA242" s="504"/>
      <c r="AB242" s="504"/>
      <c r="AC242" s="504"/>
      <c r="AD242" s="504"/>
      <c r="AE242" s="504"/>
      <c r="AF242" s="504"/>
      <c r="AG242" s="504"/>
      <c r="AH242" s="504"/>
      <c r="AI242" s="504"/>
      <c r="AJ242" s="504"/>
    </row>
    <row r="243" spans="2:36" s="509" customFormat="1" ht="16">
      <c r="B243" s="268"/>
      <c r="C243" s="268"/>
      <c r="D243" s="268"/>
      <c r="E243" s="503"/>
      <c r="F243" s="504"/>
      <c r="G243" s="504"/>
      <c r="H243" s="504"/>
      <c r="I243" s="504"/>
      <c r="J243" s="504"/>
      <c r="K243" s="504"/>
      <c r="L243" s="504"/>
      <c r="M243" s="504"/>
      <c r="N243" s="504"/>
      <c r="O243" s="504"/>
      <c r="P243" s="504"/>
      <c r="Q243" s="504"/>
      <c r="R243" s="504"/>
      <c r="S243" s="504"/>
      <c r="T243" s="504"/>
      <c r="U243" s="504"/>
      <c r="V243" s="504"/>
      <c r="W243" s="504"/>
      <c r="X243" s="504"/>
      <c r="Y243" s="504"/>
      <c r="Z243" s="504"/>
      <c r="AA243" s="504"/>
      <c r="AB243" s="504"/>
      <c r="AC243" s="504"/>
      <c r="AD243" s="504"/>
      <c r="AE243" s="504"/>
      <c r="AF243" s="504"/>
      <c r="AG243" s="504"/>
      <c r="AH243" s="504"/>
      <c r="AI243" s="504"/>
      <c r="AJ243" s="504"/>
    </row>
    <row r="244" spans="2:36" s="519" customFormat="1" ht="17" thickBot="1">
      <c r="B244" s="275"/>
      <c r="C244" s="275"/>
      <c r="D244" s="275"/>
      <c r="E244" s="276"/>
      <c r="F244" s="277"/>
      <c r="G244" s="277"/>
      <c r="H244" s="277"/>
      <c r="I244" s="277"/>
      <c r="J244" s="277"/>
      <c r="K244" s="277"/>
      <c r="L244" s="277"/>
      <c r="M244" s="277"/>
      <c r="N244" s="277"/>
      <c r="O244" s="277"/>
      <c r="P244" s="277"/>
      <c r="Q244" s="277"/>
      <c r="R244" s="277"/>
      <c r="S244" s="277"/>
      <c r="T244" s="277"/>
      <c r="U244" s="277"/>
      <c r="V244" s="277"/>
      <c r="W244" s="277"/>
      <c r="X244" s="277"/>
      <c r="Y244" s="277"/>
      <c r="Z244" s="277"/>
      <c r="AA244" s="277"/>
      <c r="AB244" s="277"/>
      <c r="AC244" s="277"/>
      <c r="AD244" s="277"/>
      <c r="AE244" s="277"/>
      <c r="AF244" s="277"/>
      <c r="AG244" s="277"/>
      <c r="AH244" s="277"/>
      <c r="AI244" s="277"/>
      <c r="AJ244" s="277"/>
    </row>
    <row r="245" spans="2:36" s="509" customFormat="1" ht="16">
      <c r="B245" s="268"/>
      <c r="C245" s="268"/>
      <c r="D245" s="268"/>
      <c r="E245" s="503"/>
      <c r="F245" s="504"/>
      <c r="G245" s="504"/>
      <c r="H245" s="504"/>
      <c r="I245" s="504"/>
      <c r="J245" s="504"/>
      <c r="K245" s="504"/>
      <c r="L245" s="504"/>
      <c r="M245" s="504"/>
      <c r="N245" s="504"/>
      <c r="O245" s="504"/>
      <c r="P245" s="504"/>
      <c r="Q245" s="504"/>
      <c r="R245" s="504"/>
      <c r="S245" s="504"/>
      <c r="T245" s="504"/>
      <c r="U245" s="504"/>
      <c r="V245" s="504"/>
      <c r="W245" s="504"/>
      <c r="X245" s="504"/>
      <c r="Y245" s="504"/>
      <c r="Z245" s="504"/>
      <c r="AA245" s="504"/>
      <c r="AB245" s="504"/>
      <c r="AC245" s="504"/>
      <c r="AD245" s="504"/>
      <c r="AE245" s="504"/>
      <c r="AF245" s="504"/>
      <c r="AG245" s="504"/>
      <c r="AH245" s="504"/>
      <c r="AI245" s="504"/>
      <c r="AJ245" s="504"/>
    </row>
    <row r="246" spans="2:36" ht="17">
      <c r="B246" s="353" t="s">
        <v>241</v>
      </c>
      <c r="C246" s="353"/>
      <c r="D246" s="353"/>
      <c r="E246" s="274"/>
      <c r="F246" s="267"/>
      <c r="G246" s="346" t="s">
        <v>242</v>
      </c>
      <c r="H246" s="267"/>
      <c r="I246" s="267"/>
      <c r="J246" s="274"/>
      <c r="K246" s="346" t="s">
        <v>242</v>
      </c>
      <c r="L246" s="267"/>
      <c r="M246" s="267"/>
      <c r="N246" s="274"/>
      <c r="O246" s="346" t="s">
        <v>242</v>
      </c>
      <c r="P246" s="267"/>
      <c r="Q246" s="267"/>
      <c r="R246" s="346" t="s">
        <v>244</v>
      </c>
      <c r="S246" s="346" t="s">
        <v>245</v>
      </c>
      <c r="T246" s="274"/>
      <c r="U246" s="274"/>
      <c r="V246" s="267"/>
      <c r="W246" s="267"/>
      <c r="X246" s="267"/>
      <c r="Y246" s="267"/>
      <c r="Z246" s="267"/>
      <c r="AA246" s="267"/>
      <c r="AB246" s="267"/>
      <c r="AC246" s="267"/>
      <c r="AD246" s="267"/>
      <c r="AE246" s="267"/>
      <c r="AF246" s="267"/>
      <c r="AG246" s="267"/>
      <c r="AH246" s="267"/>
      <c r="AI246" s="267"/>
      <c r="AJ246" s="267"/>
    </row>
    <row r="247" spans="2:36" ht="16">
      <c r="B247" s="265" t="s">
        <v>246</v>
      </c>
      <c r="C247" s="265"/>
      <c r="D247" s="265"/>
      <c r="E247" s="274"/>
      <c r="F247" s="267"/>
      <c r="G247" s="267">
        <f>$D$75</f>
        <v>15023.611258697145</v>
      </c>
      <c r="H247" s="267"/>
      <c r="I247" s="267"/>
      <c r="J247" s="274"/>
      <c r="K247" s="267">
        <f>$D$75</f>
        <v>15023.611258697145</v>
      </c>
      <c r="L247" s="267"/>
      <c r="M247" s="267"/>
      <c r="N247" s="274"/>
      <c r="O247" s="267">
        <f>$D$75</f>
        <v>15023.611258697145</v>
      </c>
      <c r="P247" s="267"/>
      <c r="Q247" s="267"/>
      <c r="R247" s="347">
        <f>LOOKUP(MIN($P$248:$P$258),$O$248:$O$258,$N$248:$N$258)</f>
        <v>18.500000000000007</v>
      </c>
      <c r="S247" s="347">
        <f>LOOKUP(MAX($Q$248:$Q$258),$O$248:$O$258,$N$248:$N$258)</f>
        <v>18.600000000000009</v>
      </c>
      <c r="T247" s="378"/>
      <c r="U247" s="274"/>
      <c r="V247" s="267"/>
      <c r="W247" s="267"/>
      <c r="X247" s="267"/>
      <c r="Y247" s="267"/>
      <c r="Z247" s="267"/>
      <c r="AA247" s="267"/>
      <c r="AB247" s="267"/>
      <c r="AC247" s="267"/>
      <c r="AD247" s="267"/>
      <c r="AE247" s="267"/>
      <c r="AF247" s="267"/>
      <c r="AG247" s="267"/>
      <c r="AH247" s="267"/>
      <c r="AI247" s="267"/>
      <c r="AJ247" s="267"/>
    </row>
    <row r="248" spans="2:36" ht="16">
      <c r="B248" s="265"/>
      <c r="C248" s="265"/>
      <c r="D248" s="265"/>
      <c r="E248" s="274"/>
      <c r="F248" s="348">
        <v>0</v>
      </c>
      <c r="G248" s="267">
        <f t="dataTable" ref="G248:G258" dt2D="0" dtr="0" r1="G75" ca="1"/>
        <v>-64259804.307828151</v>
      </c>
      <c r="H248" s="267"/>
      <c r="I248" s="267"/>
      <c r="J248" s="349">
        <f>LOOKUP(MIN($H$248:$H$258),$G$248:$G$258,$F$248:$F$258)</f>
        <v>10</v>
      </c>
      <c r="K248" s="267">
        <f t="dataTable" ref="K248:K258" dt2D="0" dtr="0" r1="G75" ca="1"/>
        <v>-29906477.605054621</v>
      </c>
      <c r="L248" s="267"/>
      <c r="M248" s="267"/>
      <c r="N248" s="349">
        <f>LOOKUP(MIN($L$248:$L$258),$K$248:$K$258,$J$248:$J$258)</f>
        <v>18</v>
      </c>
      <c r="O248" s="267">
        <f t="dataTable" ref="O248:O258" dt2D="0" dtr="0" r1="G75"/>
        <v>-1990078.0623823754</v>
      </c>
      <c r="P248" s="267"/>
      <c r="Q248" s="267"/>
      <c r="R248" s="267"/>
      <c r="S248" s="267"/>
      <c r="T248" s="267"/>
      <c r="U248" s="267"/>
      <c r="V248" s="267"/>
      <c r="W248" s="267"/>
      <c r="X248" s="267"/>
      <c r="Y248" s="267"/>
      <c r="Z248" s="267"/>
      <c r="AA248" s="267"/>
      <c r="AB248" s="267"/>
      <c r="AC248" s="267"/>
      <c r="AD248" s="267"/>
      <c r="AE248" s="267"/>
      <c r="AF248" s="267"/>
      <c r="AG248" s="267"/>
      <c r="AH248" s="267"/>
      <c r="AI248" s="267"/>
      <c r="AJ248" s="267"/>
    </row>
    <row r="249" spans="2:36" ht="17">
      <c r="B249" s="274"/>
      <c r="C249" s="274"/>
      <c r="D249" s="274"/>
      <c r="E249" s="274"/>
      <c r="F249" s="348">
        <v>10</v>
      </c>
      <c r="G249" s="267">
        <v>-29906477.605054621</v>
      </c>
      <c r="H249" s="267">
        <f t="shared" ref="H249:H258" si="115">IF(AND($G249&lt;0,$G250&gt;0),$G249,"")</f>
        <v>-29906477.605054621</v>
      </c>
      <c r="I249" s="267" t="str">
        <f t="shared" ref="I249:I258" si="116">IF(AND($G249&gt;0,$G248&lt;0),$G249,"")</f>
        <v/>
      </c>
      <c r="J249" s="349">
        <f>J248+1</f>
        <v>11</v>
      </c>
      <c r="K249" s="267">
        <v>-26471538.69947521</v>
      </c>
      <c r="L249" s="267" t="str">
        <f t="shared" ref="L249:L258" si="117">IF(AND($K249&lt;0,$K250&gt;0),$K249,"")</f>
        <v/>
      </c>
      <c r="M249" s="267" t="str">
        <f t="shared" ref="M249:M258" si="118">IF(AND($K249&gt;0,$K248&lt;0),$K249,"")</f>
        <v/>
      </c>
      <c r="N249" s="349">
        <f>N248+0.1</f>
        <v>18.100000000000001</v>
      </c>
      <c r="O249" s="267">
        <v>-1625514.1207395101</v>
      </c>
      <c r="P249" s="267" t="str">
        <f>IF(AND($O249&lt;0,$O250&gt;0),$O249,"")</f>
        <v/>
      </c>
      <c r="Q249" s="267" t="str">
        <f>IF(AND($O249&gt;0,$O248&lt;0),$O249,"")</f>
        <v/>
      </c>
      <c r="R249" s="267"/>
      <c r="S249" s="267"/>
      <c r="T249" s="267"/>
      <c r="U249" s="267"/>
      <c r="V249" s="267"/>
      <c r="W249" s="267"/>
      <c r="X249" s="267"/>
      <c r="Y249" s="267"/>
      <c r="Z249" s="267"/>
      <c r="AA249" s="267"/>
      <c r="AB249" s="267"/>
      <c r="AC249" s="267"/>
      <c r="AD249" s="267"/>
      <c r="AE249" s="267"/>
      <c r="AF249" s="267"/>
      <c r="AG249" s="267"/>
      <c r="AH249" s="267"/>
      <c r="AI249" s="267"/>
      <c r="AJ249" s="267"/>
    </row>
    <row r="250" spans="2:36" ht="17">
      <c r="B250" s="274"/>
      <c r="C250" s="274"/>
      <c r="D250" s="274"/>
      <c r="E250" s="274"/>
      <c r="F250" s="348">
        <v>20</v>
      </c>
      <c r="G250" s="267">
        <v>5075962.0204591565</v>
      </c>
      <c r="H250" s="267" t="str">
        <f t="shared" si="115"/>
        <v/>
      </c>
      <c r="I250" s="267">
        <f t="shared" si="116"/>
        <v>5075962.0204591565</v>
      </c>
      <c r="J250" s="349">
        <f t="shared" ref="J250:J257" si="119">J249+1</f>
        <v>12</v>
      </c>
      <c r="K250" s="267">
        <v>-23036599.841832977</v>
      </c>
      <c r="L250" s="267" t="str">
        <f t="shared" si="117"/>
        <v/>
      </c>
      <c r="M250" s="267" t="str">
        <f t="shared" si="118"/>
        <v/>
      </c>
      <c r="N250" s="349">
        <f t="shared" ref="N250:N257" si="120">N249+0.1</f>
        <v>18.200000000000003</v>
      </c>
      <c r="O250" s="267">
        <v>-1260950.1795326062</v>
      </c>
      <c r="P250" s="267" t="str">
        <f t="shared" ref="P250:P258" si="121">IF(AND($O250&lt;0,$O251&gt;0),$O250,"")</f>
        <v/>
      </c>
      <c r="Q250" s="267" t="str">
        <f t="shared" ref="Q250:Q258" si="122">IF(AND($O250&gt;0,$O249&lt;0),$O250,"")</f>
        <v/>
      </c>
      <c r="R250" s="267"/>
      <c r="S250" s="267"/>
      <c r="T250" s="267"/>
      <c r="U250" s="267"/>
      <c r="V250" s="267"/>
      <c r="W250" s="267"/>
      <c r="X250" s="267"/>
      <c r="Y250" s="267"/>
      <c r="Z250" s="267"/>
      <c r="AA250" s="267"/>
      <c r="AB250" s="267"/>
      <c r="AC250" s="267"/>
      <c r="AD250" s="267"/>
      <c r="AE250" s="267"/>
      <c r="AF250" s="267"/>
      <c r="AG250" s="267"/>
      <c r="AH250" s="267"/>
      <c r="AI250" s="267"/>
      <c r="AJ250" s="267"/>
    </row>
    <row r="251" spans="2:36" ht="17">
      <c r="B251" s="274"/>
      <c r="C251" s="274"/>
      <c r="D251" s="274"/>
      <c r="E251" s="274"/>
      <c r="F251" s="348">
        <v>30</v>
      </c>
      <c r="G251" s="267">
        <v>39740562.972715043</v>
      </c>
      <c r="H251" s="267" t="str">
        <f t="shared" si="115"/>
        <v/>
      </c>
      <c r="I251" s="267" t="str">
        <f t="shared" si="116"/>
        <v/>
      </c>
      <c r="J251" s="349">
        <f t="shared" si="119"/>
        <v>13</v>
      </c>
      <c r="K251" s="267">
        <v>-19523517.319465026</v>
      </c>
      <c r="L251" s="267" t="str">
        <f t="shared" si="117"/>
        <v/>
      </c>
      <c r="M251" s="267" t="str">
        <f t="shared" si="118"/>
        <v/>
      </c>
      <c r="N251" s="349">
        <f t="shared" si="120"/>
        <v>18.300000000000004</v>
      </c>
      <c r="O251" s="267">
        <v>-896386.2387616121</v>
      </c>
      <c r="P251" s="267" t="str">
        <f t="shared" si="121"/>
        <v/>
      </c>
      <c r="Q251" s="267" t="str">
        <f t="shared" si="122"/>
        <v/>
      </c>
      <c r="R251" s="267"/>
      <c r="S251" s="267"/>
      <c r="T251" s="267"/>
      <c r="U251" s="267"/>
      <c r="V251" s="267"/>
      <c r="W251" s="267"/>
      <c r="X251" s="267"/>
      <c r="Y251" s="267"/>
      <c r="Z251" s="267"/>
      <c r="AA251" s="267"/>
      <c r="AB251" s="267"/>
      <c r="AC251" s="267"/>
      <c r="AD251" s="267"/>
      <c r="AE251" s="267"/>
      <c r="AF251" s="267"/>
      <c r="AG251" s="267"/>
      <c r="AH251" s="267"/>
      <c r="AI251" s="267"/>
      <c r="AJ251" s="267"/>
    </row>
    <row r="252" spans="2:36" ht="17">
      <c r="B252" s="274"/>
      <c r="C252" s="274"/>
      <c r="D252" s="274"/>
      <c r="E252" s="274"/>
      <c r="F252" s="348">
        <v>40</v>
      </c>
      <c r="G252" s="267">
        <v>74405159.160136133</v>
      </c>
      <c r="H252" s="267" t="str">
        <f t="shared" si="115"/>
        <v/>
      </c>
      <c r="I252" s="267" t="str">
        <f t="shared" si="116"/>
        <v/>
      </c>
      <c r="J252" s="349">
        <f t="shared" si="119"/>
        <v>14</v>
      </c>
      <c r="K252" s="267">
        <v>-16039578.336574126</v>
      </c>
      <c r="L252" s="267" t="str">
        <f t="shared" si="117"/>
        <v/>
      </c>
      <c r="M252" s="267" t="str">
        <f t="shared" si="118"/>
        <v/>
      </c>
      <c r="N252" s="349">
        <f t="shared" si="120"/>
        <v>18.400000000000006</v>
      </c>
      <c r="O252" s="267">
        <v>-531822.29842656129</v>
      </c>
      <c r="P252" s="267" t="str">
        <f t="shared" si="121"/>
        <v/>
      </c>
      <c r="Q252" s="267" t="str">
        <f t="shared" si="122"/>
        <v/>
      </c>
      <c r="R252" s="267"/>
      <c r="S252" s="267"/>
      <c r="T252" s="267"/>
      <c r="U252" s="267"/>
      <c r="V252" s="267"/>
      <c r="W252" s="267"/>
      <c r="X252" s="267"/>
      <c r="Y252" s="267"/>
      <c r="Z252" s="267"/>
      <c r="AA252" s="267"/>
      <c r="AB252" s="267"/>
      <c r="AC252" s="267"/>
      <c r="AD252" s="267"/>
      <c r="AE252" s="267"/>
      <c r="AF252" s="267"/>
      <c r="AG252" s="267"/>
      <c r="AH252" s="267"/>
      <c r="AI252" s="267"/>
      <c r="AJ252" s="267"/>
    </row>
    <row r="253" spans="2:36" ht="17">
      <c r="B253" s="274"/>
      <c r="C253" s="274"/>
      <c r="D253" s="274"/>
      <c r="E253" s="274"/>
      <c r="F253" s="348">
        <v>50</v>
      </c>
      <c r="G253" s="267">
        <v>109069750.59783228</v>
      </c>
      <c r="H253" s="267" t="str">
        <f t="shared" si="115"/>
        <v/>
      </c>
      <c r="I253" s="267" t="str">
        <f t="shared" si="116"/>
        <v/>
      </c>
      <c r="J253" s="349">
        <f t="shared" si="119"/>
        <v>15</v>
      </c>
      <c r="K253" s="267">
        <v>-12595611.704346273</v>
      </c>
      <c r="L253" s="267" t="str">
        <f t="shared" si="117"/>
        <v/>
      </c>
      <c r="M253" s="267" t="str">
        <f t="shared" si="118"/>
        <v/>
      </c>
      <c r="N253" s="349">
        <f t="shared" si="120"/>
        <v>18.500000000000007</v>
      </c>
      <c r="O253" s="267">
        <v>-167258.35852743167</v>
      </c>
      <c r="P253" s="267">
        <f t="shared" si="121"/>
        <v>-167258.35852743167</v>
      </c>
      <c r="Q253" s="267" t="str">
        <f t="shared" si="122"/>
        <v/>
      </c>
      <c r="R253" s="267"/>
      <c r="S253" s="267"/>
      <c r="T253" s="267"/>
      <c r="U253" s="267"/>
      <c r="V253" s="267"/>
      <c r="W253" s="267"/>
      <c r="X253" s="267"/>
      <c r="Y253" s="267"/>
      <c r="Z253" s="267"/>
      <c r="AA253" s="267"/>
      <c r="AB253" s="267"/>
      <c r="AC253" s="267"/>
      <c r="AD253" s="267"/>
      <c r="AE253" s="267"/>
      <c r="AF253" s="267"/>
      <c r="AG253" s="267"/>
      <c r="AH253" s="267"/>
      <c r="AI253" s="267"/>
      <c r="AJ253" s="267"/>
    </row>
    <row r="254" spans="2:36" ht="17">
      <c r="B254" s="274"/>
      <c r="C254" s="274"/>
      <c r="D254" s="274"/>
      <c r="E254" s="274"/>
      <c r="F254" s="348">
        <v>60</v>
      </c>
      <c r="G254" s="267">
        <v>143734337.30084956</v>
      </c>
      <c r="H254" s="267" t="str">
        <f t="shared" si="115"/>
        <v/>
      </c>
      <c r="I254" s="267" t="str">
        <f t="shared" si="116"/>
        <v/>
      </c>
      <c r="J254" s="349">
        <f t="shared" si="119"/>
        <v>16</v>
      </c>
      <c r="K254" s="267">
        <v>-9151645.1199945938</v>
      </c>
      <c r="L254" s="267" t="str">
        <f t="shared" si="117"/>
        <v/>
      </c>
      <c r="M254" s="267" t="str">
        <f t="shared" si="118"/>
        <v/>
      </c>
      <c r="N254" s="349">
        <f t="shared" si="120"/>
        <v>18.600000000000009</v>
      </c>
      <c r="O254" s="267">
        <v>197305.58093581826</v>
      </c>
      <c r="P254" s="267" t="str">
        <f t="shared" si="121"/>
        <v/>
      </c>
      <c r="Q254" s="267">
        <f t="shared" si="122"/>
        <v>197305.58093581826</v>
      </c>
      <c r="R254" s="267"/>
      <c r="S254" s="267"/>
      <c r="T254" s="267"/>
      <c r="U254" s="267"/>
      <c r="V254" s="267"/>
      <c r="W254" s="267"/>
      <c r="X254" s="267"/>
      <c r="Y254" s="267"/>
      <c r="Z254" s="267"/>
      <c r="AA254" s="267"/>
      <c r="AB254" s="267"/>
      <c r="AC254" s="267"/>
      <c r="AD254" s="267"/>
      <c r="AE254" s="267"/>
      <c r="AF254" s="267"/>
      <c r="AG254" s="267"/>
      <c r="AH254" s="267"/>
      <c r="AI254" s="267"/>
      <c r="AJ254" s="267"/>
    </row>
    <row r="255" spans="2:36" ht="17">
      <c r="B255" s="274"/>
      <c r="C255" s="274"/>
      <c r="D255" s="274"/>
      <c r="E255" s="274"/>
      <c r="F255" s="348">
        <v>70</v>
      </c>
      <c r="G255" s="267">
        <v>178398919.28417048</v>
      </c>
      <c r="H255" s="267" t="str">
        <f t="shared" si="115"/>
        <v/>
      </c>
      <c r="I255" s="267" t="str">
        <f t="shared" si="116"/>
        <v/>
      </c>
      <c r="J255" s="349">
        <f t="shared" si="119"/>
        <v>17</v>
      </c>
      <c r="K255" s="267">
        <v>-5635717.5027907966</v>
      </c>
      <c r="L255" s="267" t="str">
        <f t="shared" si="117"/>
        <v/>
      </c>
      <c r="M255" s="267" t="str">
        <f t="shared" si="118"/>
        <v/>
      </c>
      <c r="N255" s="349">
        <f t="shared" si="120"/>
        <v>18.70000000000001</v>
      </c>
      <c r="O255" s="267">
        <v>561869.51996320544</v>
      </c>
      <c r="P255" s="267" t="str">
        <f t="shared" si="121"/>
        <v/>
      </c>
      <c r="Q255" s="267" t="str">
        <f t="shared" si="122"/>
        <v/>
      </c>
      <c r="R255" s="267"/>
      <c r="S255" s="267"/>
      <c r="T255" s="267"/>
      <c r="U255" s="267"/>
      <c r="V255" s="267"/>
      <c r="W255" s="267"/>
      <c r="X255" s="267"/>
      <c r="Y255" s="267"/>
      <c r="Z255" s="267"/>
      <c r="AA255" s="267"/>
      <c r="AB255" s="267"/>
      <c r="AC255" s="267"/>
      <c r="AD255" s="267"/>
      <c r="AE255" s="267"/>
      <c r="AF255" s="267"/>
      <c r="AG255" s="267"/>
      <c r="AH255" s="267"/>
      <c r="AI255" s="267"/>
      <c r="AJ255" s="267"/>
    </row>
    <row r="256" spans="2:36" ht="17">
      <c r="B256" s="274"/>
      <c r="C256" s="274"/>
      <c r="D256" s="274"/>
      <c r="E256" s="274"/>
      <c r="F256" s="348">
        <v>80</v>
      </c>
      <c r="G256" s="267">
        <v>213063496.56271455</v>
      </c>
      <c r="H256" s="267" t="str">
        <f t="shared" si="115"/>
        <v/>
      </c>
      <c r="I256" s="267" t="str">
        <f t="shared" si="116"/>
        <v/>
      </c>
      <c r="J256" s="349">
        <f t="shared" si="119"/>
        <v>18</v>
      </c>
      <c r="K256" s="267">
        <v>-1990078.0623823754</v>
      </c>
      <c r="L256" s="267">
        <f t="shared" si="117"/>
        <v>-1990078.0623823754</v>
      </c>
      <c r="M256" s="267" t="str">
        <f t="shared" si="118"/>
        <v/>
      </c>
      <c r="N256" s="349">
        <f t="shared" si="120"/>
        <v>18.800000000000011</v>
      </c>
      <c r="O256" s="267">
        <v>916209.58527170296</v>
      </c>
      <c r="P256" s="267" t="str">
        <f t="shared" si="121"/>
        <v/>
      </c>
      <c r="Q256" s="267" t="str">
        <f t="shared" si="122"/>
        <v/>
      </c>
      <c r="R256" s="267"/>
      <c r="S256" s="267"/>
      <c r="T256" s="267"/>
      <c r="U256" s="267"/>
      <c r="V256" s="267"/>
      <c r="W256" s="267"/>
      <c r="X256" s="267"/>
      <c r="Y256" s="267"/>
      <c r="Z256" s="267"/>
      <c r="AA256" s="267"/>
      <c r="AB256" s="267"/>
      <c r="AC256" s="267"/>
      <c r="AD256" s="267"/>
      <c r="AE256" s="267"/>
      <c r="AF256" s="267"/>
      <c r="AG256" s="267"/>
      <c r="AH256" s="267"/>
      <c r="AI256" s="267"/>
      <c r="AJ256" s="267"/>
    </row>
    <row r="257" spans="2:36" ht="17">
      <c r="B257" s="274"/>
      <c r="C257" s="274"/>
      <c r="D257" s="274"/>
      <c r="E257" s="274"/>
      <c r="F257" s="348">
        <v>90</v>
      </c>
      <c r="G257" s="267">
        <v>247728069.15133831</v>
      </c>
      <c r="H257" s="267" t="str">
        <f t="shared" si="115"/>
        <v/>
      </c>
      <c r="I257" s="267" t="str">
        <f t="shared" si="116"/>
        <v/>
      </c>
      <c r="J257" s="349">
        <f t="shared" si="119"/>
        <v>19</v>
      </c>
      <c r="K257" s="267">
        <v>1609501.6625840405</v>
      </c>
      <c r="L257" s="267" t="str">
        <f t="shared" si="117"/>
        <v/>
      </c>
      <c r="M257" s="267">
        <f t="shared" si="118"/>
        <v>1609501.6625840405</v>
      </c>
      <c r="N257" s="349">
        <f t="shared" si="120"/>
        <v>18.900000000000013</v>
      </c>
      <c r="O257" s="267">
        <v>1262855.6241669722</v>
      </c>
      <c r="P257" s="267" t="str">
        <f t="shared" si="121"/>
        <v/>
      </c>
      <c r="Q257" s="267" t="str">
        <f t="shared" si="122"/>
        <v/>
      </c>
      <c r="R257" s="267"/>
      <c r="S257" s="267"/>
      <c r="T257" s="267"/>
      <c r="U257" s="267"/>
      <c r="V257" s="267"/>
      <c r="W257" s="267"/>
      <c r="X257" s="267"/>
      <c r="Y257" s="267"/>
      <c r="Z257" s="267"/>
      <c r="AA257" s="267"/>
      <c r="AB257" s="267"/>
      <c r="AC257" s="267"/>
      <c r="AD257" s="267"/>
      <c r="AE257" s="267"/>
      <c r="AF257" s="267"/>
      <c r="AG257" s="267"/>
      <c r="AH257" s="267"/>
      <c r="AI257" s="267"/>
      <c r="AJ257" s="267"/>
    </row>
    <row r="258" spans="2:36" ht="17">
      <c r="B258" s="274"/>
      <c r="C258" s="274"/>
      <c r="D258" s="274"/>
      <c r="E258" s="274"/>
      <c r="F258" s="348">
        <v>100</v>
      </c>
      <c r="G258" s="267">
        <v>282392637.06483597</v>
      </c>
      <c r="H258" s="267" t="str">
        <f t="shared" si="115"/>
        <v/>
      </c>
      <c r="I258" s="267" t="str">
        <f t="shared" si="116"/>
        <v/>
      </c>
      <c r="J258" s="349">
        <f>LOOKUP(MAX($I$248:$I$258),$G$248:$G$258,$F$248:$F$258)</f>
        <v>20</v>
      </c>
      <c r="K258" s="267">
        <v>5075962.0204591565</v>
      </c>
      <c r="L258" s="267" t="str">
        <f t="shared" si="117"/>
        <v/>
      </c>
      <c r="M258" s="267" t="str">
        <f t="shared" si="118"/>
        <v/>
      </c>
      <c r="N258" s="349">
        <f>LOOKUP(MAX($M$248:$M$258),$K$248:$K$258,$J$248:$J$258)</f>
        <v>19</v>
      </c>
      <c r="O258" s="267">
        <v>1609501.6625840405</v>
      </c>
      <c r="P258" s="267" t="str">
        <f t="shared" si="121"/>
        <v/>
      </c>
      <c r="Q258" s="267" t="str">
        <f t="shared" si="122"/>
        <v/>
      </c>
      <c r="R258" s="267"/>
      <c r="S258" s="267"/>
      <c r="T258" s="267"/>
      <c r="U258" s="267"/>
      <c r="V258" s="267"/>
      <c r="W258" s="267"/>
      <c r="X258" s="267"/>
      <c r="Y258" s="267"/>
      <c r="Z258" s="267"/>
      <c r="AA258" s="267"/>
      <c r="AB258" s="267"/>
      <c r="AC258" s="267"/>
      <c r="AD258" s="267"/>
      <c r="AE258" s="267"/>
      <c r="AF258" s="267"/>
      <c r="AG258" s="267"/>
      <c r="AH258" s="267"/>
      <c r="AI258" s="267"/>
      <c r="AJ258" s="267"/>
    </row>
    <row r="259" spans="2:36" ht="16" thickBot="1">
      <c r="B259" s="276"/>
      <c r="C259" s="276"/>
      <c r="D259" s="276"/>
      <c r="E259" s="276"/>
      <c r="F259" s="352"/>
      <c r="G259" s="276"/>
      <c r="H259" s="276"/>
      <c r="I259" s="276"/>
      <c r="J259" s="276"/>
      <c r="K259" s="276"/>
      <c r="L259" s="276"/>
      <c r="M259" s="276"/>
      <c r="N259" s="276"/>
      <c r="O259" s="276"/>
      <c r="P259" s="276"/>
      <c r="Q259" s="276"/>
      <c r="R259" s="276"/>
      <c r="S259" s="276"/>
      <c r="T259" s="276"/>
      <c r="U259" s="276"/>
      <c r="V259" s="276"/>
      <c r="W259" s="276"/>
      <c r="X259" s="276"/>
      <c r="Y259" s="276"/>
      <c r="Z259" s="276"/>
      <c r="AA259" s="276"/>
      <c r="AB259" s="276"/>
      <c r="AC259" s="276"/>
      <c r="AD259" s="276"/>
      <c r="AE259" s="276"/>
      <c r="AF259" s="276"/>
      <c r="AG259" s="276"/>
      <c r="AH259" s="276"/>
      <c r="AI259" s="276"/>
      <c r="AJ259" s="276"/>
    </row>
    <row r="260" spans="2:36" s="350" customFormat="1">
      <c r="F260" s="351"/>
    </row>
    <row r="261" spans="2:36">
      <c r="F261" s="345"/>
    </row>
    <row r="262" spans="2:36">
      <c r="F262" s="345"/>
    </row>
    <row r="263" spans="2:36">
      <c r="F263" s="345"/>
    </row>
    <row r="264" spans="2:36">
      <c r="F264" s="345"/>
    </row>
    <row r="265" spans="2:36">
      <c r="F265" s="345"/>
    </row>
    <row r="266" spans="2:36">
      <c r="F266" s="345"/>
    </row>
    <row r="267" spans="2:36">
      <c r="F267" s="345"/>
    </row>
    <row r="268" spans="2:36">
      <c r="F268" s="345"/>
    </row>
    <row r="269" spans="2:36">
      <c r="F269" s="345"/>
    </row>
    <row r="270" spans="2:36">
      <c r="F270" s="345"/>
    </row>
    <row r="271" spans="2:36">
      <c r="F271" s="345"/>
    </row>
  </sheetData>
  <mergeCells count="4">
    <mergeCell ref="C99:E99"/>
    <mergeCell ref="B73:C73"/>
    <mergeCell ref="B74:C74"/>
    <mergeCell ref="B75:C75"/>
  </mergeCells>
  <dataValidations disablePrompts="1" count="1">
    <dataValidation type="list" allowBlank="1" showInputMessage="1" showErrorMessage="1" sqref="E65666 HW65666 RS65666 ABO65666 ALK65666 AVG65666 BFC65666 BOY65666 BYU65666 CIQ65666 CSM65666 DCI65666 DME65666 DWA65666 EFW65666 EPS65666 EZO65666 FJK65666 FTG65666 GDC65666 GMY65666 GWU65666 HGQ65666 HQM65666 IAI65666 IKE65666 IUA65666 JDW65666 JNS65666 JXO65666 KHK65666 KRG65666 LBC65666 LKY65666 LUU65666 MEQ65666 MOM65666 MYI65666 NIE65666 NSA65666 OBW65666 OLS65666 OVO65666 PFK65666 PPG65666 PZC65666 QIY65666 QSU65666 RCQ65666 RMM65666 RWI65666 SGE65666 SQA65666 SZW65666 TJS65666 TTO65666 UDK65666 UNG65666 UXC65666 VGY65666 VQU65666 WAQ65666 WKM65666 WUI65666 HW131202 RS131202 ABO131202 ALK131202 AVG131202 BFC131202 BOY131202 BYU131202 CIQ131202 CSM131202 DCI131202 DME131202 DWA131202 EFW131202 EPS131202 EZO131202 FJK131202 FTG131202 GDC131202 GMY131202 GWU131202 HGQ131202 HQM131202 IAI131202 IKE131202 IUA131202 JDW131202 JNS131202 JXO131202 KHK131202 KRG131202 LBC131202 LKY131202 LUU131202 MEQ131202 MOM131202 MYI131202 NIE131202 NSA131202 OBW131202 OLS131202 OVO131202 PFK131202 PPG131202 PZC131202 QIY131202 QSU131202 RCQ131202 RMM131202 RWI131202 SGE131202 SQA131202 SZW131202 TJS131202 TTO131202 UDK131202 UNG131202 UXC131202 VGY131202 VQU131202 WAQ131202 WKM131202 WUI131202 HW196738 RS196738 ABO196738 ALK196738 AVG196738 BFC196738 BOY196738 BYU196738 CIQ196738 CSM196738 DCI196738 DME196738 DWA196738 EFW196738 EPS196738 EZO196738 FJK196738 FTG196738 GDC196738 GMY196738 GWU196738 HGQ196738 HQM196738 IAI196738 IKE196738 IUA196738 JDW196738 JNS196738 JXO196738 KHK196738 KRG196738 LBC196738 LKY196738 LUU196738 MEQ196738 MOM196738 MYI196738 NIE196738 NSA196738 OBW196738 OLS196738 OVO196738 PFK196738 PPG196738 PZC196738 QIY196738 QSU196738 RCQ196738 RMM196738 RWI196738 SGE196738 SQA196738 SZW196738 TJS196738 TTO196738 UDK196738 UNG196738 UXC196738 VGY196738 VQU196738 WAQ196738 WKM196738 WUI196738 HW262274 RS262274 ABO262274 ALK262274 AVG262274 BFC262274 BOY262274 BYU262274 CIQ262274 CSM262274 DCI262274 DME262274 DWA262274 EFW262274 EPS262274 EZO262274 FJK262274 FTG262274 GDC262274 GMY262274 GWU262274 HGQ262274 HQM262274 IAI262274 IKE262274 IUA262274 JDW262274 JNS262274 JXO262274 KHK262274 KRG262274 LBC262274 LKY262274 LUU262274 MEQ262274 MOM262274 MYI262274 NIE262274 NSA262274 OBW262274 OLS262274 OVO262274 PFK262274 PPG262274 PZC262274 QIY262274 QSU262274 RCQ262274 RMM262274 RWI262274 SGE262274 SQA262274 SZW262274 TJS262274 TTO262274 UDK262274 UNG262274 UXC262274 VGY262274 VQU262274 WAQ262274 WKM262274 WUI262274 HW327810 RS327810 ABO327810 ALK327810 AVG327810 BFC327810 BOY327810 BYU327810 CIQ327810 CSM327810 DCI327810 DME327810 DWA327810 EFW327810 EPS327810 EZO327810 FJK327810 FTG327810 GDC327810 GMY327810 GWU327810 HGQ327810 HQM327810 IAI327810 IKE327810 IUA327810 JDW327810 JNS327810 JXO327810 KHK327810 KRG327810 LBC327810 LKY327810 LUU327810 MEQ327810 MOM327810 MYI327810 NIE327810 NSA327810 OBW327810 OLS327810 OVO327810 PFK327810 PPG327810 PZC327810 QIY327810 QSU327810 RCQ327810 RMM327810 RWI327810 SGE327810 SQA327810 SZW327810 TJS327810 TTO327810 UDK327810 UNG327810 UXC327810 VGY327810 VQU327810 WAQ327810 WKM327810 WUI327810 HW393346 RS393346 ABO393346 ALK393346 AVG393346 BFC393346 BOY393346 BYU393346 CIQ393346 CSM393346 DCI393346 DME393346 DWA393346 EFW393346 EPS393346 EZO393346 FJK393346 FTG393346 GDC393346 GMY393346 GWU393346 HGQ393346 HQM393346 IAI393346 IKE393346 IUA393346 JDW393346 JNS393346 JXO393346 KHK393346 KRG393346 LBC393346 LKY393346 LUU393346 MEQ393346 MOM393346 MYI393346 NIE393346 NSA393346 OBW393346 OLS393346 OVO393346 PFK393346 PPG393346 PZC393346 QIY393346 QSU393346 RCQ393346 RMM393346 RWI393346 SGE393346 SQA393346 SZW393346 TJS393346 TTO393346 UDK393346 UNG393346 UXC393346 VGY393346 VQU393346 WAQ393346 WKM393346 WUI393346 HW458882 RS458882 ABO458882 ALK458882 AVG458882 BFC458882 BOY458882 BYU458882 CIQ458882 CSM458882 DCI458882 DME458882 DWA458882 EFW458882 EPS458882 EZO458882 FJK458882 FTG458882 GDC458882 GMY458882 GWU458882 HGQ458882 HQM458882 IAI458882 IKE458882 IUA458882 JDW458882 JNS458882 JXO458882 KHK458882 KRG458882 LBC458882 LKY458882 LUU458882 MEQ458882 MOM458882 MYI458882 NIE458882 NSA458882 OBW458882 OLS458882 OVO458882 PFK458882 PPG458882 PZC458882 QIY458882 QSU458882 RCQ458882 RMM458882 RWI458882 SGE458882 SQA458882 SZW458882 TJS458882 TTO458882 UDK458882 UNG458882 UXC458882 VGY458882 VQU458882 WAQ458882 WKM458882 WUI458882 HW524418 RS524418 ABO524418 ALK524418 AVG524418 BFC524418 BOY524418 BYU524418 CIQ524418 CSM524418 DCI524418 DME524418 DWA524418 EFW524418 EPS524418 EZO524418 FJK524418 FTG524418 GDC524418 GMY524418 GWU524418 HGQ524418 HQM524418 IAI524418 IKE524418 IUA524418 JDW524418 JNS524418 JXO524418 KHK524418 KRG524418 LBC524418 LKY524418 LUU524418 MEQ524418 MOM524418 MYI524418 NIE524418 NSA524418 OBW524418 OLS524418 OVO524418 PFK524418 PPG524418 PZC524418 QIY524418 QSU524418 RCQ524418 RMM524418 RWI524418 SGE524418 SQA524418 SZW524418 TJS524418 TTO524418 UDK524418 UNG524418 UXC524418 VGY524418 VQU524418 WAQ524418 WKM524418 WUI524418 HW589954 RS589954 ABO589954 ALK589954 AVG589954 BFC589954 BOY589954 BYU589954 CIQ589954 CSM589954 DCI589954 DME589954 DWA589954 EFW589954 EPS589954 EZO589954 FJK589954 FTG589954 GDC589954 GMY589954 GWU589954 HGQ589954 HQM589954 IAI589954 IKE589954 IUA589954 JDW589954 JNS589954 JXO589954 KHK589954 KRG589954 LBC589954 LKY589954 LUU589954 MEQ589954 MOM589954 MYI589954 NIE589954 NSA589954 OBW589954 OLS589954 OVO589954 PFK589954 PPG589954 PZC589954 QIY589954 QSU589954 RCQ589954 RMM589954 RWI589954 SGE589954 SQA589954 SZW589954 TJS589954 TTO589954 UDK589954 UNG589954 UXC589954 VGY589954 VQU589954 WAQ589954 WKM589954 WUI589954 HW655490 RS655490 ABO655490 ALK655490 AVG655490 BFC655490 BOY655490 BYU655490 CIQ655490 CSM655490 DCI655490 DME655490 DWA655490 EFW655490 EPS655490 EZO655490 FJK655490 FTG655490 GDC655490 GMY655490 GWU655490 HGQ655490 HQM655490 IAI655490 IKE655490 IUA655490 JDW655490 JNS655490 JXO655490 KHK655490 KRG655490 LBC655490 LKY655490 LUU655490 MEQ655490 MOM655490 MYI655490 NIE655490 NSA655490 OBW655490 OLS655490 OVO655490 PFK655490 PPG655490 PZC655490 QIY655490 QSU655490 RCQ655490 RMM655490 RWI655490 SGE655490 SQA655490 SZW655490 TJS655490 TTO655490 UDK655490 UNG655490 UXC655490 VGY655490 VQU655490 WAQ655490 WKM655490 WUI655490 HW721026 RS721026 ABO721026 ALK721026 AVG721026 BFC721026 BOY721026 BYU721026 CIQ721026 CSM721026 DCI721026 DME721026 DWA721026 EFW721026 EPS721026 EZO721026 FJK721026 FTG721026 GDC721026 GMY721026 GWU721026 HGQ721026 HQM721026 IAI721026 IKE721026 IUA721026 JDW721026 JNS721026 JXO721026 KHK721026 KRG721026 LBC721026 LKY721026 LUU721026 MEQ721026 MOM721026 MYI721026 NIE721026 NSA721026 OBW721026 OLS721026 OVO721026 PFK721026 PPG721026 PZC721026 QIY721026 QSU721026 RCQ721026 RMM721026 RWI721026 SGE721026 SQA721026 SZW721026 TJS721026 TTO721026 UDK721026 UNG721026 UXC721026 VGY721026 VQU721026 WAQ721026 WKM721026 WUI721026 HW786562 RS786562 ABO786562 ALK786562 AVG786562 BFC786562 BOY786562 BYU786562 CIQ786562 CSM786562 DCI786562 DME786562 DWA786562 EFW786562 EPS786562 EZO786562 FJK786562 FTG786562 GDC786562 GMY786562 GWU786562 HGQ786562 HQM786562 IAI786562 IKE786562 IUA786562 JDW786562 JNS786562 JXO786562 KHK786562 KRG786562 LBC786562 LKY786562 LUU786562 MEQ786562 MOM786562 MYI786562 NIE786562 NSA786562 OBW786562 OLS786562 OVO786562 PFK786562 PPG786562 PZC786562 QIY786562 QSU786562 RCQ786562 RMM786562 RWI786562 SGE786562 SQA786562 SZW786562 TJS786562 TTO786562 UDK786562 UNG786562 UXC786562 VGY786562 VQU786562 WAQ786562 WKM786562 WUI786562 HW852098 RS852098 ABO852098 ALK852098 AVG852098 BFC852098 BOY852098 BYU852098 CIQ852098 CSM852098 DCI852098 DME852098 DWA852098 EFW852098 EPS852098 EZO852098 FJK852098 FTG852098 GDC852098 GMY852098 GWU852098 HGQ852098 HQM852098 IAI852098 IKE852098 IUA852098 JDW852098 JNS852098 JXO852098 KHK852098 KRG852098 LBC852098 LKY852098 LUU852098 MEQ852098 MOM852098 MYI852098 NIE852098 NSA852098 OBW852098 OLS852098 OVO852098 PFK852098 PPG852098 PZC852098 QIY852098 QSU852098 RCQ852098 RMM852098 RWI852098 SGE852098 SQA852098 SZW852098 TJS852098 TTO852098 UDK852098 UNG852098 UXC852098 VGY852098 VQU852098 WAQ852098 WKM852098 WUI852098 HW917634 RS917634 ABO917634 ALK917634 AVG917634 BFC917634 BOY917634 BYU917634 CIQ917634 CSM917634 DCI917634 DME917634 DWA917634 EFW917634 EPS917634 EZO917634 FJK917634 FTG917634 GDC917634 GMY917634 GWU917634 HGQ917634 HQM917634 IAI917634 IKE917634 IUA917634 JDW917634 JNS917634 JXO917634 KHK917634 KRG917634 LBC917634 LKY917634 LUU917634 MEQ917634 MOM917634 MYI917634 NIE917634 NSA917634 OBW917634 OLS917634 OVO917634 PFK917634 PPG917634 PZC917634 QIY917634 QSU917634 RCQ917634 RMM917634 RWI917634 SGE917634 SQA917634 SZW917634 TJS917634 TTO917634 UDK917634 UNG917634 UXC917634 VGY917634 VQU917634 WAQ917634 WKM917634 WUI917634 HW983170 RS983170 ABO983170 ALK983170 AVG983170 BFC983170 BOY983170 BYU983170 CIQ983170 CSM983170 DCI983170 DME983170 DWA983170 EFW983170 EPS983170 EZO983170 FJK983170 FTG983170 GDC983170 GMY983170 GWU983170 HGQ983170 HQM983170 IAI983170 IKE983170 IUA983170 JDW983170 JNS983170 JXO983170 KHK983170 KRG983170 LBC983170 LKY983170 LUU983170 MEQ983170 MOM983170 MYI983170 NIE983170 NSA983170 OBW983170 OLS983170 OVO983170 PFK983170 PPG983170 PZC983170 QIY983170 QSU983170 RCQ983170 RMM983170 RWI983170 SGE983170 SQA983170 SZW983170 TJS983170 TTO983170 UDK983170 UNG983170 UXC983170 VGY983170 VQU983170 WAQ983170 WKM983170 WUI983170 HW65677 RS65677 ABO65677 ALK65677 AVG65677 BFC65677 BOY65677 BYU65677 CIQ65677 CSM65677 DCI65677 DME65677 DWA65677 EFW65677 EPS65677 EZO65677 FJK65677 FTG65677 GDC65677 GMY65677 GWU65677 HGQ65677 HQM65677 IAI65677 IKE65677 IUA65677 JDW65677 JNS65677 JXO65677 KHK65677 KRG65677 LBC65677 LKY65677 LUU65677 MEQ65677 MOM65677 MYI65677 NIE65677 NSA65677 OBW65677 OLS65677 OVO65677 PFK65677 PPG65677 PZC65677 QIY65677 QSU65677 RCQ65677 RMM65677 RWI65677 SGE65677 SQA65677 SZW65677 TJS65677 TTO65677 UDK65677 UNG65677 UXC65677 VGY65677 VQU65677 WAQ65677 WKM65677 WUI65677 HW131213 RS131213 ABO131213 ALK131213 AVG131213 BFC131213 BOY131213 BYU131213 CIQ131213 CSM131213 DCI131213 DME131213 DWA131213 EFW131213 EPS131213 EZO131213 FJK131213 FTG131213 GDC131213 GMY131213 GWU131213 HGQ131213 HQM131213 IAI131213 IKE131213 IUA131213 JDW131213 JNS131213 JXO131213 KHK131213 KRG131213 LBC131213 LKY131213 LUU131213 MEQ131213 MOM131213 MYI131213 NIE131213 NSA131213 OBW131213 OLS131213 OVO131213 PFK131213 PPG131213 PZC131213 QIY131213 QSU131213 RCQ131213 RMM131213 RWI131213 SGE131213 SQA131213 SZW131213 TJS131213 TTO131213 UDK131213 UNG131213 UXC131213 VGY131213 VQU131213 WAQ131213 WKM131213 WUI131213 HW196749 RS196749 ABO196749 ALK196749 AVG196749 BFC196749 BOY196749 BYU196749 CIQ196749 CSM196749 DCI196749 DME196749 DWA196749 EFW196749 EPS196749 EZO196749 FJK196749 FTG196749 GDC196749 GMY196749 GWU196749 HGQ196749 HQM196749 IAI196749 IKE196749 IUA196749 JDW196749 JNS196749 JXO196749 KHK196749 KRG196749 LBC196749 LKY196749 LUU196749 MEQ196749 MOM196749 MYI196749 NIE196749 NSA196749 OBW196749 OLS196749 OVO196749 PFK196749 PPG196749 PZC196749 QIY196749 QSU196749 RCQ196749 RMM196749 RWI196749 SGE196749 SQA196749 SZW196749 TJS196749 TTO196749 UDK196749 UNG196749 UXC196749 VGY196749 VQU196749 WAQ196749 WKM196749 WUI196749 HW262285 RS262285 ABO262285 ALK262285 AVG262285 BFC262285 BOY262285 BYU262285 CIQ262285 CSM262285 DCI262285 DME262285 DWA262285 EFW262285 EPS262285 EZO262285 FJK262285 FTG262285 GDC262285 GMY262285 GWU262285 HGQ262285 HQM262285 IAI262285 IKE262285 IUA262285 JDW262285 JNS262285 JXO262285 KHK262285 KRG262285 LBC262285 LKY262285 LUU262285 MEQ262285 MOM262285 MYI262285 NIE262285 NSA262285 OBW262285 OLS262285 OVO262285 PFK262285 PPG262285 PZC262285 QIY262285 QSU262285 RCQ262285 RMM262285 RWI262285 SGE262285 SQA262285 SZW262285 TJS262285 TTO262285 UDK262285 UNG262285 UXC262285 VGY262285 VQU262285 WAQ262285 WKM262285 WUI262285 HW327821 RS327821 ABO327821 ALK327821 AVG327821 BFC327821 BOY327821 BYU327821 CIQ327821 CSM327821 DCI327821 DME327821 DWA327821 EFW327821 EPS327821 EZO327821 FJK327821 FTG327821 GDC327821 GMY327821 GWU327821 HGQ327821 HQM327821 IAI327821 IKE327821 IUA327821 JDW327821 JNS327821 JXO327821 KHK327821 KRG327821 LBC327821 LKY327821 LUU327821 MEQ327821 MOM327821 MYI327821 NIE327821 NSA327821 OBW327821 OLS327821 OVO327821 PFK327821 PPG327821 PZC327821 QIY327821 QSU327821 RCQ327821 RMM327821 RWI327821 SGE327821 SQA327821 SZW327821 TJS327821 TTO327821 UDK327821 UNG327821 UXC327821 VGY327821 VQU327821 WAQ327821 WKM327821 WUI327821 HW393357 RS393357 ABO393357 ALK393357 AVG393357 BFC393357 BOY393357 BYU393357 CIQ393357 CSM393357 DCI393357 DME393357 DWA393357 EFW393357 EPS393357 EZO393357 FJK393357 FTG393357 GDC393357 GMY393357 GWU393357 HGQ393357 HQM393357 IAI393357 IKE393357 IUA393357 JDW393357 JNS393357 JXO393357 KHK393357 KRG393357 LBC393357 LKY393357 LUU393357 MEQ393357 MOM393357 MYI393357 NIE393357 NSA393357 OBW393357 OLS393357 OVO393357 PFK393357 PPG393357 PZC393357 QIY393357 QSU393357 RCQ393357 RMM393357 RWI393357 SGE393357 SQA393357 SZW393357 TJS393357 TTO393357 UDK393357 UNG393357 UXC393357 VGY393357 VQU393357 WAQ393357 WKM393357 WUI393357 HW458893 RS458893 ABO458893 ALK458893 AVG458893 BFC458893 BOY458893 BYU458893 CIQ458893 CSM458893 DCI458893 DME458893 DWA458893 EFW458893 EPS458893 EZO458893 FJK458893 FTG458893 GDC458893 GMY458893 GWU458893 HGQ458893 HQM458893 IAI458893 IKE458893 IUA458893 JDW458893 JNS458893 JXO458893 KHK458893 KRG458893 LBC458893 LKY458893 LUU458893 MEQ458893 MOM458893 MYI458893 NIE458893 NSA458893 OBW458893 OLS458893 OVO458893 PFK458893 PPG458893 PZC458893 QIY458893 QSU458893 RCQ458893 RMM458893 RWI458893 SGE458893 SQA458893 SZW458893 TJS458893 TTO458893 UDK458893 UNG458893 UXC458893 VGY458893 VQU458893 WAQ458893 WKM458893 WUI458893 HW524429 RS524429 ABO524429 ALK524429 AVG524429 BFC524429 BOY524429 BYU524429 CIQ524429 CSM524429 DCI524429 DME524429 DWA524429 EFW524429 EPS524429 EZO524429 FJK524429 FTG524429 GDC524429 GMY524429 GWU524429 HGQ524429 HQM524429 IAI524429 IKE524429 IUA524429 JDW524429 JNS524429 JXO524429 KHK524429 KRG524429 LBC524429 LKY524429 LUU524429 MEQ524429 MOM524429 MYI524429 NIE524429 NSA524429 OBW524429 OLS524429 OVO524429 PFK524429 PPG524429 PZC524429 QIY524429 QSU524429 RCQ524429 RMM524429 RWI524429 SGE524429 SQA524429 SZW524429 TJS524429 TTO524429 UDK524429 UNG524429 UXC524429 VGY524429 VQU524429 WAQ524429 WKM524429 WUI524429 HW589965 RS589965 ABO589965 ALK589965 AVG589965 BFC589965 BOY589965 BYU589965 CIQ589965 CSM589965 DCI589965 DME589965 DWA589965 EFW589965 EPS589965 EZO589965 FJK589965 FTG589965 GDC589965 GMY589965 GWU589965 HGQ589965 HQM589965 IAI589965 IKE589965 IUA589965 JDW589965 JNS589965 JXO589965 KHK589965 KRG589965 LBC589965 LKY589965 LUU589965 MEQ589965 MOM589965 MYI589965 NIE589965 NSA589965 OBW589965 OLS589965 OVO589965 PFK589965 PPG589965 PZC589965 QIY589965 QSU589965 RCQ589965 RMM589965 RWI589965 SGE589965 SQA589965 SZW589965 TJS589965 TTO589965 UDK589965 UNG589965 UXC589965 VGY589965 VQU589965 WAQ589965 WKM589965 WUI589965 HW655501 RS655501 ABO655501 ALK655501 AVG655501 BFC655501 BOY655501 BYU655501 CIQ655501 CSM655501 DCI655501 DME655501 DWA655501 EFW655501 EPS655501 EZO655501 FJK655501 FTG655501 GDC655501 GMY655501 GWU655501 HGQ655501 HQM655501 IAI655501 IKE655501 IUA655501 JDW655501 JNS655501 JXO655501 KHK655501 KRG655501 LBC655501 LKY655501 LUU655501 MEQ655501 MOM655501 MYI655501 NIE655501 NSA655501 OBW655501 OLS655501 OVO655501 PFK655501 PPG655501 PZC655501 QIY655501 QSU655501 RCQ655501 RMM655501 RWI655501 SGE655501 SQA655501 SZW655501 TJS655501 TTO655501 UDK655501 UNG655501 UXC655501 VGY655501 VQU655501 WAQ655501 WKM655501 WUI655501 HW721037 RS721037 ABO721037 ALK721037 AVG721037 BFC721037 BOY721037 BYU721037 CIQ721037 CSM721037 DCI721037 DME721037 DWA721037 EFW721037 EPS721037 EZO721037 FJK721037 FTG721037 GDC721037 GMY721037 GWU721037 HGQ721037 HQM721037 IAI721037 IKE721037 IUA721037 JDW721037 JNS721037 JXO721037 KHK721037 KRG721037 LBC721037 LKY721037 LUU721037 MEQ721037 MOM721037 MYI721037 NIE721037 NSA721037 OBW721037 OLS721037 OVO721037 PFK721037 PPG721037 PZC721037 QIY721037 QSU721037 RCQ721037 RMM721037 RWI721037 SGE721037 SQA721037 SZW721037 TJS721037 TTO721037 UDK721037 UNG721037 UXC721037 VGY721037 VQU721037 WAQ721037 WKM721037 WUI721037 HW786573 RS786573 ABO786573 ALK786573 AVG786573 BFC786573 BOY786573 BYU786573 CIQ786573 CSM786573 DCI786573 DME786573 DWA786573 EFW786573 EPS786573 EZO786573 FJK786573 FTG786573 GDC786573 GMY786573 GWU786573 HGQ786573 HQM786573 IAI786573 IKE786573 IUA786573 JDW786573 JNS786573 JXO786573 KHK786573 KRG786573 LBC786573 LKY786573 LUU786573 MEQ786573 MOM786573 MYI786573 NIE786573 NSA786573 OBW786573 OLS786573 OVO786573 PFK786573 PPG786573 PZC786573 QIY786573 QSU786573 RCQ786573 RMM786573 RWI786573 SGE786573 SQA786573 SZW786573 TJS786573 TTO786573 UDK786573 UNG786573 UXC786573 VGY786573 VQU786573 WAQ786573 WKM786573 WUI786573 HW852109 RS852109 ABO852109 ALK852109 AVG852109 BFC852109 BOY852109 BYU852109 CIQ852109 CSM852109 DCI852109 DME852109 DWA852109 EFW852109 EPS852109 EZO852109 FJK852109 FTG852109 GDC852109 GMY852109 GWU852109 HGQ852109 HQM852109 IAI852109 IKE852109 IUA852109 JDW852109 JNS852109 JXO852109 KHK852109 KRG852109 LBC852109 LKY852109 LUU852109 MEQ852109 MOM852109 MYI852109 NIE852109 NSA852109 OBW852109 OLS852109 OVO852109 PFK852109 PPG852109 PZC852109 QIY852109 QSU852109 RCQ852109 RMM852109 RWI852109 SGE852109 SQA852109 SZW852109 TJS852109 TTO852109 UDK852109 UNG852109 UXC852109 VGY852109 VQU852109 WAQ852109 WKM852109 WUI852109 HW917645 RS917645 ABO917645 ALK917645 AVG917645 BFC917645 BOY917645 BYU917645 CIQ917645 CSM917645 DCI917645 DME917645 DWA917645 EFW917645 EPS917645 EZO917645 FJK917645 FTG917645 GDC917645 GMY917645 GWU917645 HGQ917645 HQM917645 IAI917645 IKE917645 IUA917645 JDW917645 JNS917645 JXO917645 KHK917645 KRG917645 LBC917645 LKY917645 LUU917645 MEQ917645 MOM917645 MYI917645 NIE917645 NSA917645 OBW917645 OLS917645 OVO917645 PFK917645 PPG917645 PZC917645 QIY917645 QSU917645 RCQ917645 RMM917645 RWI917645 SGE917645 SQA917645 SZW917645 TJS917645 TTO917645 UDK917645 UNG917645 UXC917645 VGY917645 VQU917645 WAQ917645 WKM917645 WUI917645 HW983181 RS983181 ABO983181 ALK983181 AVG983181 BFC983181 BOY983181 BYU983181 CIQ983181 CSM983181 DCI983181 DME983181 DWA983181 EFW983181 EPS983181 EZO983181 FJK983181 FTG983181 GDC983181 GMY983181 GWU983181 HGQ983181 HQM983181 IAI983181 IKE983181 IUA983181 JDW983181 JNS983181 JXO983181 KHK983181 KRG983181 LBC983181 LKY983181 LUU983181 MEQ983181 MOM983181 MYI983181 NIE983181 NSA983181 OBW983181 OLS983181 OVO983181 PFK983181 PPG983181 PZC983181 QIY983181 QSU983181 RCQ983181 RMM983181 RWI983181 SGE983181 SQA983181 SZW983181 TJS983181 TTO983181 UDK983181 UNG983181 UXC983181 VGY983181 VQU983181 WAQ983181 WKM983181 WUI983181 HW65672 RS65672 ABO65672 ALK65672 AVG65672 BFC65672 BOY65672 BYU65672 CIQ65672 CSM65672 DCI65672 DME65672 DWA65672 EFW65672 EPS65672 EZO65672 FJK65672 FTG65672 GDC65672 GMY65672 GWU65672 HGQ65672 HQM65672 IAI65672 IKE65672 IUA65672 JDW65672 JNS65672 JXO65672 KHK65672 KRG65672 LBC65672 LKY65672 LUU65672 MEQ65672 MOM65672 MYI65672 NIE65672 NSA65672 OBW65672 OLS65672 OVO65672 PFK65672 PPG65672 PZC65672 QIY65672 QSU65672 RCQ65672 RMM65672 RWI65672 SGE65672 SQA65672 SZW65672 TJS65672 TTO65672 UDK65672 UNG65672 UXC65672 VGY65672 VQU65672 WAQ65672 WKM65672 WUI65672 HW131208 RS131208 ABO131208 ALK131208 AVG131208 BFC131208 BOY131208 BYU131208 CIQ131208 CSM131208 DCI131208 DME131208 DWA131208 EFW131208 EPS131208 EZO131208 FJK131208 FTG131208 GDC131208 GMY131208 GWU131208 HGQ131208 HQM131208 IAI131208 IKE131208 IUA131208 JDW131208 JNS131208 JXO131208 KHK131208 KRG131208 LBC131208 LKY131208 LUU131208 MEQ131208 MOM131208 MYI131208 NIE131208 NSA131208 OBW131208 OLS131208 OVO131208 PFK131208 PPG131208 PZC131208 QIY131208 QSU131208 RCQ131208 RMM131208 RWI131208 SGE131208 SQA131208 SZW131208 TJS131208 TTO131208 UDK131208 UNG131208 UXC131208 VGY131208 VQU131208 WAQ131208 WKM131208 WUI131208 HW196744 RS196744 ABO196744 ALK196744 AVG196744 BFC196744 BOY196744 BYU196744 CIQ196744 CSM196744 DCI196744 DME196744 DWA196744 EFW196744 EPS196744 EZO196744 FJK196744 FTG196744 GDC196744 GMY196744 GWU196744 HGQ196744 HQM196744 IAI196744 IKE196744 IUA196744 JDW196744 JNS196744 JXO196744 KHK196744 KRG196744 LBC196744 LKY196744 LUU196744 MEQ196744 MOM196744 MYI196744 NIE196744 NSA196744 OBW196744 OLS196744 OVO196744 PFK196744 PPG196744 PZC196744 QIY196744 QSU196744 RCQ196744 RMM196744 RWI196744 SGE196744 SQA196744 SZW196744 TJS196744 TTO196744 UDK196744 UNG196744 UXC196744 VGY196744 VQU196744 WAQ196744 WKM196744 WUI196744 HW262280 RS262280 ABO262280 ALK262280 AVG262280 BFC262280 BOY262280 BYU262280 CIQ262280 CSM262280 DCI262280 DME262280 DWA262280 EFW262280 EPS262280 EZO262280 FJK262280 FTG262280 GDC262280 GMY262280 GWU262280 HGQ262280 HQM262280 IAI262280 IKE262280 IUA262280 JDW262280 JNS262280 JXO262280 KHK262280 KRG262280 LBC262280 LKY262280 LUU262280 MEQ262280 MOM262280 MYI262280 NIE262280 NSA262280 OBW262280 OLS262280 OVO262280 PFK262280 PPG262280 PZC262280 QIY262280 QSU262280 RCQ262280 RMM262280 RWI262280 SGE262280 SQA262280 SZW262280 TJS262280 TTO262280 UDK262280 UNG262280 UXC262280 VGY262280 VQU262280 WAQ262280 WKM262280 WUI262280 HW327816 RS327816 ABO327816 ALK327816 AVG327816 BFC327816 BOY327816 BYU327816 CIQ327816 CSM327816 DCI327816 DME327816 DWA327816 EFW327816 EPS327816 EZO327816 FJK327816 FTG327816 GDC327816 GMY327816 GWU327816 HGQ327816 HQM327816 IAI327816 IKE327816 IUA327816 JDW327816 JNS327816 JXO327816 KHK327816 KRG327816 LBC327816 LKY327816 LUU327816 MEQ327816 MOM327816 MYI327816 NIE327816 NSA327816 OBW327816 OLS327816 OVO327816 PFK327816 PPG327816 PZC327816 QIY327816 QSU327816 RCQ327816 RMM327816 RWI327816 SGE327816 SQA327816 SZW327816 TJS327816 TTO327816 UDK327816 UNG327816 UXC327816 VGY327816 VQU327816 WAQ327816 WKM327816 WUI327816 HW393352 RS393352 ABO393352 ALK393352 AVG393352 BFC393352 BOY393352 BYU393352 CIQ393352 CSM393352 DCI393352 DME393352 DWA393352 EFW393352 EPS393352 EZO393352 FJK393352 FTG393352 GDC393352 GMY393352 GWU393352 HGQ393352 HQM393352 IAI393352 IKE393352 IUA393352 JDW393352 JNS393352 JXO393352 KHK393352 KRG393352 LBC393352 LKY393352 LUU393352 MEQ393352 MOM393352 MYI393352 NIE393352 NSA393352 OBW393352 OLS393352 OVO393352 PFK393352 PPG393352 PZC393352 QIY393352 QSU393352 RCQ393352 RMM393352 RWI393352 SGE393352 SQA393352 SZW393352 TJS393352 TTO393352 UDK393352 UNG393352 UXC393352 VGY393352 VQU393352 WAQ393352 WKM393352 WUI393352 HW458888 RS458888 ABO458888 ALK458888 AVG458888 BFC458888 BOY458888 BYU458888 CIQ458888 CSM458888 DCI458888 DME458888 DWA458888 EFW458888 EPS458888 EZO458888 FJK458888 FTG458888 GDC458888 GMY458888 GWU458888 HGQ458888 HQM458888 IAI458888 IKE458888 IUA458888 JDW458888 JNS458888 JXO458888 KHK458888 KRG458888 LBC458888 LKY458888 LUU458888 MEQ458888 MOM458888 MYI458888 NIE458888 NSA458888 OBW458888 OLS458888 OVO458888 PFK458888 PPG458888 PZC458888 QIY458888 QSU458888 RCQ458888 RMM458888 RWI458888 SGE458888 SQA458888 SZW458888 TJS458888 TTO458888 UDK458888 UNG458888 UXC458888 VGY458888 VQU458888 WAQ458888 WKM458888 WUI458888 HW524424 RS524424 ABO524424 ALK524424 AVG524424 BFC524424 BOY524424 BYU524424 CIQ524424 CSM524424 DCI524424 DME524424 DWA524424 EFW524424 EPS524424 EZO524424 FJK524424 FTG524424 GDC524424 GMY524424 GWU524424 HGQ524424 HQM524424 IAI524424 IKE524424 IUA524424 JDW524424 JNS524424 JXO524424 KHK524424 KRG524424 LBC524424 LKY524424 LUU524424 MEQ524424 MOM524424 MYI524424 NIE524424 NSA524424 OBW524424 OLS524424 OVO524424 PFK524424 PPG524424 PZC524424 QIY524424 QSU524424 RCQ524424 RMM524424 RWI524424 SGE524424 SQA524424 SZW524424 TJS524424 TTO524424 UDK524424 UNG524424 UXC524424 VGY524424 VQU524424 WAQ524424 WKM524424 WUI524424 HW589960 RS589960 ABO589960 ALK589960 AVG589960 BFC589960 BOY589960 BYU589960 CIQ589960 CSM589960 DCI589960 DME589960 DWA589960 EFW589960 EPS589960 EZO589960 FJK589960 FTG589960 GDC589960 GMY589960 GWU589960 HGQ589960 HQM589960 IAI589960 IKE589960 IUA589960 JDW589960 JNS589960 JXO589960 KHK589960 KRG589960 LBC589960 LKY589960 LUU589960 MEQ589960 MOM589960 MYI589960 NIE589960 NSA589960 OBW589960 OLS589960 OVO589960 PFK589960 PPG589960 PZC589960 QIY589960 QSU589960 RCQ589960 RMM589960 RWI589960 SGE589960 SQA589960 SZW589960 TJS589960 TTO589960 UDK589960 UNG589960 UXC589960 VGY589960 VQU589960 WAQ589960 WKM589960 WUI589960 HW655496 RS655496 ABO655496 ALK655496 AVG655496 BFC655496 BOY655496 BYU655496 CIQ655496 CSM655496 DCI655496 DME655496 DWA655496 EFW655496 EPS655496 EZO655496 FJK655496 FTG655496 GDC655496 GMY655496 GWU655496 HGQ655496 HQM655496 IAI655496 IKE655496 IUA655496 JDW655496 JNS655496 JXO655496 KHK655496 KRG655496 LBC655496 LKY655496 LUU655496 MEQ655496 MOM655496 MYI655496 NIE655496 NSA655496 OBW655496 OLS655496 OVO655496 PFK655496 PPG655496 PZC655496 QIY655496 QSU655496 RCQ655496 RMM655496 RWI655496 SGE655496 SQA655496 SZW655496 TJS655496 TTO655496 UDK655496 UNG655496 UXC655496 VGY655496 VQU655496 WAQ655496 WKM655496 WUI655496 HW721032 RS721032 ABO721032 ALK721032 AVG721032 BFC721032 BOY721032 BYU721032 CIQ721032 CSM721032 DCI721032 DME721032 DWA721032 EFW721032 EPS721032 EZO721032 FJK721032 FTG721032 GDC721032 GMY721032 GWU721032 HGQ721032 HQM721032 IAI721032 IKE721032 IUA721032 JDW721032 JNS721032 JXO721032 KHK721032 KRG721032 LBC721032 LKY721032 LUU721032 MEQ721032 MOM721032 MYI721032 NIE721032 NSA721032 OBW721032 OLS721032 OVO721032 PFK721032 PPG721032 PZC721032 QIY721032 QSU721032 RCQ721032 RMM721032 RWI721032 SGE721032 SQA721032 SZW721032 TJS721032 TTO721032 UDK721032 UNG721032 UXC721032 VGY721032 VQU721032 WAQ721032 WKM721032 WUI721032 HW786568 RS786568 ABO786568 ALK786568 AVG786568 BFC786568 BOY786568 BYU786568 CIQ786568 CSM786568 DCI786568 DME786568 DWA786568 EFW786568 EPS786568 EZO786568 FJK786568 FTG786568 GDC786568 GMY786568 GWU786568 HGQ786568 HQM786568 IAI786568 IKE786568 IUA786568 JDW786568 JNS786568 JXO786568 KHK786568 KRG786568 LBC786568 LKY786568 LUU786568 MEQ786568 MOM786568 MYI786568 NIE786568 NSA786568 OBW786568 OLS786568 OVO786568 PFK786568 PPG786568 PZC786568 QIY786568 QSU786568 RCQ786568 RMM786568 RWI786568 SGE786568 SQA786568 SZW786568 TJS786568 TTO786568 UDK786568 UNG786568 UXC786568 VGY786568 VQU786568 WAQ786568 WKM786568 WUI786568 HW852104 RS852104 ABO852104 ALK852104 AVG852104 BFC852104 BOY852104 BYU852104 CIQ852104 CSM852104 DCI852104 DME852104 DWA852104 EFW852104 EPS852104 EZO852104 FJK852104 FTG852104 GDC852104 GMY852104 GWU852104 HGQ852104 HQM852104 IAI852104 IKE852104 IUA852104 JDW852104 JNS852104 JXO852104 KHK852104 KRG852104 LBC852104 LKY852104 LUU852104 MEQ852104 MOM852104 MYI852104 NIE852104 NSA852104 OBW852104 OLS852104 OVO852104 PFK852104 PPG852104 PZC852104 QIY852104 QSU852104 RCQ852104 RMM852104 RWI852104 SGE852104 SQA852104 SZW852104 TJS852104 TTO852104 UDK852104 UNG852104 UXC852104 VGY852104 VQU852104 WAQ852104 WKM852104 WUI852104 HW917640 RS917640 ABO917640 ALK917640 AVG917640 BFC917640 BOY917640 BYU917640 CIQ917640 CSM917640 DCI917640 DME917640 DWA917640 EFW917640 EPS917640 EZO917640 FJK917640 FTG917640 GDC917640 GMY917640 GWU917640 HGQ917640 HQM917640 IAI917640 IKE917640 IUA917640 JDW917640 JNS917640 JXO917640 KHK917640 KRG917640 LBC917640 LKY917640 LUU917640 MEQ917640 MOM917640 MYI917640 NIE917640 NSA917640 OBW917640 OLS917640 OVO917640 PFK917640 PPG917640 PZC917640 QIY917640 QSU917640 RCQ917640 RMM917640 RWI917640 SGE917640 SQA917640 SZW917640 TJS917640 TTO917640 UDK917640 UNG917640 UXC917640 VGY917640 VQU917640 WAQ917640 WKM917640 WUI917640 HW983176 RS983176 ABO983176 ALK983176 AVG983176 BFC983176 BOY983176 BYU983176 CIQ983176 CSM983176 DCI983176 DME983176 DWA983176 EFW983176 EPS983176 EZO983176 FJK983176 FTG983176 GDC983176 GMY983176 GWU983176 HGQ983176 HQM983176 IAI983176 IKE983176 IUA983176 JDW983176 JNS983176 JXO983176 KHK983176 KRG983176 LBC983176 LKY983176 LUU983176 MEQ983176 MOM983176 MYI983176 NIE983176 NSA983176 OBW983176 OLS983176 OVO983176 PFK983176 PPG983176 PZC983176 QIY983176 QSU983176 RCQ983176 RMM983176 RWI983176 SGE983176 SQA983176 SZW983176 TJS983176 TTO983176 UDK983176 UNG983176 UXC983176 VGY983176 VQU983176 WAQ983176 WKM983176 WUI983176 E983176 E917640 E852104 E786568 E721032 E655496 E589960 E524424 E458888 E393352 E327816 E262280 E196744 E131208 E65672 E983181 E917645 E852109 E786573 E721037 E655501 E589965 E524429 E458893 E393357 E327821 E262285 E196749 E131213 E65677 E983170 E917634 E852098 E786562 E721026 E655490 E589954 E524418 E458882 E393346 E327810 E262274 E196738 E131202" xr:uid="{00000000-0002-0000-0400-000000000000}">
      <formula1>"Yes,No"</formula1>
    </dataValidation>
  </dataValidations>
  <pageMargins left="0.7" right="0.7" top="0.75" bottom="0.75" header="0.3" footer="0.3"/>
  <pageSetup orientation="portrait" horizontalDpi="4294967293" r:id="rId1"/>
  <ignoredErrors>
    <ignoredError sqref="E105" 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K161"/>
  <sheetViews>
    <sheetView showGridLines="0" zoomScale="70" zoomScaleNormal="70" workbookViewId="0">
      <pane xSplit="1" ySplit="3" topLeftCell="B4" activePane="bottomRight" state="frozen"/>
      <selection pane="topRight" activeCell="B1" sqref="B1"/>
      <selection pane="bottomLeft" activeCell="A4" sqref="A4"/>
      <selection pane="bottomRight" activeCell="E133" sqref="E133"/>
    </sheetView>
  </sheetViews>
  <sheetFormatPr baseColWidth="10" defaultColWidth="9.6640625" defaultRowHeight="15"/>
  <cols>
    <col min="1" max="1" width="2.6640625" customWidth="1"/>
    <col min="2" max="2" width="69.6640625" customWidth="1"/>
    <col min="3" max="4" width="15.6640625" customWidth="1"/>
    <col min="5" max="5" width="48.1640625" customWidth="1"/>
    <col min="6" max="7" width="13.6640625" customWidth="1"/>
    <col min="8" max="11" width="25.83203125" customWidth="1"/>
  </cols>
  <sheetData>
    <row r="1" spans="2:10" ht="16" thickBot="1">
      <c r="D1" s="48"/>
      <c r="F1" s="49"/>
    </row>
    <row r="2" spans="2:10" ht="30" customHeight="1" thickBot="1">
      <c r="B2" s="76" t="s">
        <v>189</v>
      </c>
      <c r="C2" s="52"/>
      <c r="D2" s="77"/>
      <c r="E2" s="53"/>
      <c r="F2" s="49"/>
      <c r="G2" s="921" t="s">
        <v>89</v>
      </c>
      <c r="H2" s="921"/>
      <c r="I2" s="921"/>
      <c r="J2" s="297"/>
    </row>
    <row r="3" spans="2:10" ht="19" thickBot="1">
      <c r="B3" s="78" t="s">
        <v>145</v>
      </c>
      <c r="C3" s="79"/>
      <c r="D3" s="80"/>
      <c r="E3" s="84"/>
      <c r="F3" s="49"/>
      <c r="G3" s="297"/>
      <c r="H3" s="297"/>
      <c r="I3" s="297"/>
      <c r="J3" s="297"/>
    </row>
    <row r="4" spans="2:10" s="467" customFormat="1" ht="35" thickBot="1">
      <c r="B4" s="494" t="str">
        <f>Inputs!E23</f>
        <v>Exploration Costs Attributed to Project</v>
      </c>
      <c r="C4" s="471" t="s">
        <v>0</v>
      </c>
      <c r="D4" s="89" t="s">
        <v>87</v>
      </c>
      <c r="E4" s="82" t="s">
        <v>143</v>
      </c>
      <c r="F4" s="49"/>
      <c r="G4" s="297"/>
      <c r="H4" s="297"/>
      <c r="I4" s="297"/>
      <c r="J4" s="297"/>
    </row>
    <row r="5" spans="2:10" s="467" customFormat="1" ht="16">
      <c r="B5" s="472" t="s">
        <v>507</v>
      </c>
      <c r="C5" s="119">
        <v>250000</v>
      </c>
      <c r="D5" s="117">
        <v>1</v>
      </c>
      <c r="E5" s="287" t="s">
        <v>19</v>
      </c>
      <c r="F5" s="49"/>
      <c r="G5" s="297"/>
      <c r="H5" s="297"/>
      <c r="I5" s="297"/>
      <c r="J5" s="297"/>
    </row>
    <row r="6" spans="2:10" s="467" customFormat="1" ht="16">
      <c r="B6" s="472" t="s">
        <v>508</v>
      </c>
      <c r="C6" s="119">
        <v>650000</v>
      </c>
      <c r="D6" s="117">
        <v>1</v>
      </c>
      <c r="E6" s="287" t="s">
        <v>19</v>
      </c>
      <c r="F6" s="49"/>
      <c r="G6" s="297"/>
      <c r="H6" s="297"/>
      <c r="I6" s="297"/>
      <c r="J6" s="297"/>
    </row>
    <row r="7" spans="2:10" s="467" customFormat="1" ht="16">
      <c r="B7" s="472" t="s">
        <v>509</v>
      </c>
      <c r="C7" s="119">
        <v>7500000</v>
      </c>
      <c r="D7" s="117">
        <v>1</v>
      </c>
      <c r="E7" s="287" t="s">
        <v>19</v>
      </c>
      <c r="F7" s="49"/>
      <c r="G7" s="297"/>
      <c r="H7" s="297"/>
      <c r="I7" s="297"/>
      <c r="J7" s="297"/>
    </row>
    <row r="8" spans="2:10" s="467" customFormat="1" ht="16">
      <c r="B8" s="472" t="s">
        <v>88</v>
      </c>
      <c r="C8" s="119">
        <v>0</v>
      </c>
      <c r="D8" s="117">
        <v>1</v>
      </c>
      <c r="E8" s="287" t="s">
        <v>19</v>
      </c>
      <c r="F8" s="49"/>
      <c r="G8" s="297"/>
      <c r="H8" s="297"/>
      <c r="I8" s="297"/>
      <c r="J8" s="297"/>
    </row>
    <row r="9" spans="2:10" s="467" customFormat="1" ht="16">
      <c r="B9" s="472" t="s">
        <v>88</v>
      </c>
      <c r="C9" s="119">
        <v>0</v>
      </c>
      <c r="D9" s="117">
        <v>1</v>
      </c>
      <c r="E9" s="287" t="s">
        <v>19</v>
      </c>
      <c r="F9" s="49"/>
      <c r="G9" s="297"/>
      <c r="H9" s="297"/>
      <c r="I9" s="297"/>
      <c r="J9" s="297"/>
    </row>
    <row r="10" spans="2:10" s="467" customFormat="1" ht="16">
      <c r="B10" s="472" t="s">
        <v>88</v>
      </c>
      <c r="C10" s="119">
        <v>0</v>
      </c>
      <c r="D10" s="117">
        <v>1</v>
      </c>
      <c r="E10" s="287" t="s">
        <v>19</v>
      </c>
      <c r="F10" s="49"/>
      <c r="G10" s="297"/>
      <c r="H10" s="297"/>
      <c r="I10" s="297"/>
      <c r="J10" s="297"/>
    </row>
    <row r="11" spans="2:10" s="467" customFormat="1" ht="16">
      <c r="B11" s="472" t="s">
        <v>88</v>
      </c>
      <c r="C11" s="119">
        <v>0</v>
      </c>
      <c r="D11" s="117">
        <v>1</v>
      </c>
      <c r="E11" s="287" t="s">
        <v>19</v>
      </c>
      <c r="F11" s="49"/>
      <c r="G11" s="297"/>
      <c r="H11" s="297"/>
      <c r="I11" s="297"/>
      <c r="J11" s="297"/>
    </row>
    <row r="12" spans="2:10" s="467" customFormat="1" ht="16">
      <c r="B12" s="472" t="s">
        <v>88</v>
      </c>
      <c r="C12" s="119">
        <v>0</v>
      </c>
      <c r="D12" s="117">
        <v>1</v>
      </c>
      <c r="E12" s="287" t="s">
        <v>19</v>
      </c>
      <c r="F12" s="49"/>
      <c r="G12" s="297"/>
      <c r="H12" s="297"/>
      <c r="I12" s="297"/>
      <c r="J12" s="297"/>
    </row>
    <row r="13" spans="2:10" s="467" customFormat="1" ht="16">
      <c r="B13" s="472" t="s">
        <v>88</v>
      </c>
      <c r="C13" s="119">
        <v>0</v>
      </c>
      <c r="D13" s="117">
        <v>1</v>
      </c>
      <c r="E13" s="287" t="s">
        <v>19</v>
      </c>
      <c r="F13" s="49"/>
      <c r="G13" s="297"/>
      <c r="H13" s="297"/>
      <c r="I13" s="297"/>
      <c r="J13" s="297"/>
    </row>
    <row r="14" spans="2:10" s="467" customFormat="1" ht="16">
      <c r="B14" s="472" t="s">
        <v>88</v>
      </c>
      <c r="C14" s="119">
        <v>0</v>
      </c>
      <c r="D14" s="117">
        <v>1</v>
      </c>
      <c r="E14" s="287" t="s">
        <v>19</v>
      </c>
      <c r="F14" s="49"/>
      <c r="G14" s="297"/>
      <c r="H14" s="297"/>
      <c r="I14" s="297"/>
      <c r="J14" s="297"/>
    </row>
    <row r="15" spans="2:10" s="467" customFormat="1" ht="16">
      <c r="B15" s="472" t="s">
        <v>88</v>
      </c>
      <c r="C15" s="119">
        <v>0</v>
      </c>
      <c r="D15" s="117">
        <v>1</v>
      </c>
      <c r="E15" s="287" t="s">
        <v>19</v>
      </c>
      <c r="F15" s="49"/>
      <c r="G15" s="297"/>
      <c r="H15" s="297"/>
      <c r="I15" s="297"/>
      <c r="J15" s="297"/>
    </row>
    <row r="16" spans="2:10" s="467" customFormat="1" ht="16">
      <c r="B16" s="472" t="s">
        <v>88</v>
      </c>
      <c r="C16" s="119">
        <v>0</v>
      </c>
      <c r="D16" s="117">
        <v>1</v>
      </c>
      <c r="E16" s="287" t="s">
        <v>19</v>
      </c>
      <c r="F16" s="49"/>
      <c r="G16" s="297"/>
      <c r="H16" s="297"/>
      <c r="I16" s="297"/>
      <c r="J16" s="297"/>
    </row>
    <row r="17" spans="2:10" s="467" customFormat="1" ht="16">
      <c r="B17" s="472" t="s">
        <v>88</v>
      </c>
      <c r="C17" s="119">
        <v>0</v>
      </c>
      <c r="D17" s="117">
        <v>1</v>
      </c>
      <c r="E17" s="287" t="s">
        <v>19</v>
      </c>
      <c r="F17" s="49"/>
      <c r="G17" s="297"/>
      <c r="H17" s="297"/>
      <c r="I17" s="297"/>
      <c r="J17" s="297"/>
    </row>
    <row r="18" spans="2:10" s="467" customFormat="1" ht="16">
      <c r="B18" s="472" t="s">
        <v>88</v>
      </c>
      <c r="C18" s="119">
        <v>0</v>
      </c>
      <c r="D18" s="117">
        <v>1</v>
      </c>
      <c r="E18" s="287" t="s">
        <v>19</v>
      </c>
      <c r="F18" s="49"/>
      <c r="G18" s="297"/>
      <c r="H18" s="297"/>
      <c r="I18" s="297"/>
      <c r="J18" s="297"/>
    </row>
    <row r="19" spans="2:10" s="467" customFormat="1" ht="16">
      <c r="B19" s="472" t="s">
        <v>88</v>
      </c>
      <c r="C19" s="119">
        <v>0</v>
      </c>
      <c r="D19" s="117">
        <v>1</v>
      </c>
      <c r="E19" s="287" t="s">
        <v>19</v>
      </c>
      <c r="F19" s="49"/>
      <c r="G19" s="297"/>
      <c r="H19" s="297"/>
      <c r="I19" s="297"/>
      <c r="J19" s="297"/>
    </row>
    <row r="20" spans="2:10" s="467" customFormat="1" ht="16">
      <c r="B20" s="472" t="s">
        <v>88</v>
      </c>
      <c r="C20" s="119">
        <v>0</v>
      </c>
      <c r="D20" s="117">
        <v>1</v>
      </c>
      <c r="E20" s="287" t="s">
        <v>19</v>
      </c>
      <c r="F20" s="49"/>
      <c r="G20" s="297"/>
      <c r="H20" s="297"/>
      <c r="I20" s="297"/>
      <c r="J20" s="297"/>
    </row>
    <row r="21" spans="2:10" s="467" customFormat="1" ht="16">
      <c r="B21" s="472" t="s">
        <v>88</v>
      </c>
      <c r="C21" s="119">
        <v>0</v>
      </c>
      <c r="D21" s="117">
        <v>1</v>
      </c>
      <c r="E21" s="287" t="s">
        <v>19</v>
      </c>
      <c r="F21" s="49"/>
      <c r="G21" s="297"/>
      <c r="H21" s="297"/>
      <c r="I21" s="297"/>
      <c r="J21" s="297"/>
    </row>
    <row r="22" spans="2:10" s="467" customFormat="1" ht="16">
      <c r="B22" s="472" t="s">
        <v>88</v>
      </c>
      <c r="C22" s="119">
        <v>0</v>
      </c>
      <c r="D22" s="117">
        <v>1</v>
      </c>
      <c r="E22" s="287" t="s">
        <v>19</v>
      </c>
      <c r="F22" s="49"/>
      <c r="G22" s="297"/>
      <c r="H22" s="297"/>
      <c r="I22" s="297"/>
      <c r="J22" s="297"/>
    </row>
    <row r="23" spans="2:10" s="467" customFormat="1" ht="16">
      <c r="B23" s="472" t="s">
        <v>88</v>
      </c>
      <c r="C23" s="119">
        <v>0</v>
      </c>
      <c r="D23" s="117">
        <v>1</v>
      </c>
      <c r="E23" s="287" t="s">
        <v>19</v>
      </c>
      <c r="F23" s="49"/>
      <c r="G23" s="297"/>
      <c r="H23" s="297"/>
      <c r="I23" s="297"/>
      <c r="J23" s="297"/>
    </row>
    <row r="24" spans="2:10" s="467" customFormat="1" ht="17" thickBot="1">
      <c r="B24" s="120" t="s">
        <v>88</v>
      </c>
      <c r="C24" s="121">
        <v>0</v>
      </c>
      <c r="D24" s="122">
        <v>1</v>
      </c>
      <c r="E24" s="287" t="s">
        <v>19</v>
      </c>
      <c r="F24" s="49"/>
      <c r="G24" s="297"/>
      <c r="H24" s="297"/>
      <c r="I24" s="297"/>
      <c r="J24" s="297"/>
    </row>
    <row r="25" spans="2:10" s="467" customFormat="1" ht="17" thickTop="1">
      <c r="B25" s="473" t="s">
        <v>510</v>
      </c>
      <c r="C25" s="474">
        <f>SUM(C5:C24)</f>
        <v>8400000</v>
      </c>
      <c r="D25" s="60">
        <f>SUMPRODUCT(C5:C24,D5:D24)/C25</f>
        <v>1</v>
      </c>
      <c r="E25" s="87"/>
      <c r="F25" s="49"/>
      <c r="G25" s="297"/>
      <c r="H25" s="297"/>
      <c r="I25" s="297"/>
      <c r="J25" s="297"/>
    </row>
    <row r="26" spans="2:10" ht="16" thickBot="1">
      <c r="D26" s="48"/>
      <c r="F26" s="49"/>
    </row>
    <row r="27" spans="2:10" ht="35" thickBot="1">
      <c r="B27" s="494" t="str">
        <f>Inputs!E34</f>
        <v>Confirmation Drilling Costs</v>
      </c>
      <c r="C27" s="471" t="s">
        <v>0</v>
      </c>
      <c r="D27" s="89" t="s">
        <v>87</v>
      </c>
      <c r="E27" s="82" t="s">
        <v>143</v>
      </c>
    </row>
    <row r="28" spans="2:10" ht="16">
      <c r="B28" s="472" t="s">
        <v>331</v>
      </c>
      <c r="C28" s="119">
        <v>17000000</v>
      </c>
      <c r="D28" s="117">
        <v>1</v>
      </c>
      <c r="E28" s="287" t="s">
        <v>390</v>
      </c>
    </row>
    <row r="29" spans="2:10" ht="16">
      <c r="B29" s="472" t="s">
        <v>335</v>
      </c>
      <c r="C29" s="119">
        <v>3000000</v>
      </c>
      <c r="D29" s="117">
        <v>1</v>
      </c>
      <c r="E29" s="287" t="s">
        <v>19</v>
      </c>
    </row>
    <row r="30" spans="2:10" ht="16">
      <c r="B30" s="472" t="s">
        <v>334</v>
      </c>
      <c r="C30" s="119">
        <v>1000000</v>
      </c>
      <c r="D30" s="117">
        <v>1</v>
      </c>
      <c r="E30" s="287" t="s">
        <v>19</v>
      </c>
    </row>
    <row r="31" spans="2:10" ht="16">
      <c r="B31" s="472" t="s">
        <v>88</v>
      </c>
      <c r="C31" s="119">
        <v>0</v>
      </c>
      <c r="D31" s="117">
        <v>1</v>
      </c>
      <c r="E31" s="287" t="s">
        <v>19</v>
      </c>
    </row>
    <row r="32" spans="2:10" ht="16">
      <c r="B32" s="472" t="s">
        <v>88</v>
      </c>
      <c r="C32" s="119">
        <v>0</v>
      </c>
      <c r="D32" s="117">
        <v>1</v>
      </c>
      <c r="E32" s="287" t="s">
        <v>19</v>
      </c>
    </row>
    <row r="33" spans="2:5" ht="16">
      <c r="B33" s="472" t="s">
        <v>88</v>
      </c>
      <c r="C33" s="119">
        <v>0</v>
      </c>
      <c r="D33" s="117">
        <v>1</v>
      </c>
      <c r="E33" s="287" t="s">
        <v>19</v>
      </c>
    </row>
    <row r="34" spans="2:5" ht="16">
      <c r="B34" s="472" t="s">
        <v>88</v>
      </c>
      <c r="C34" s="119">
        <v>0</v>
      </c>
      <c r="D34" s="117">
        <v>1</v>
      </c>
      <c r="E34" s="287" t="s">
        <v>19</v>
      </c>
    </row>
    <row r="35" spans="2:5" ht="16">
      <c r="B35" s="472" t="s">
        <v>88</v>
      </c>
      <c r="C35" s="119">
        <v>0</v>
      </c>
      <c r="D35" s="117">
        <v>1</v>
      </c>
      <c r="E35" s="287" t="s">
        <v>19</v>
      </c>
    </row>
    <row r="36" spans="2:5" ht="16">
      <c r="B36" s="472" t="s">
        <v>88</v>
      </c>
      <c r="C36" s="119">
        <v>0</v>
      </c>
      <c r="D36" s="117">
        <v>1</v>
      </c>
      <c r="E36" s="287" t="s">
        <v>19</v>
      </c>
    </row>
    <row r="37" spans="2:5" ht="16">
      <c r="B37" s="472" t="s">
        <v>88</v>
      </c>
      <c r="C37" s="119">
        <v>0</v>
      </c>
      <c r="D37" s="117">
        <v>1</v>
      </c>
      <c r="E37" s="287" t="s">
        <v>19</v>
      </c>
    </row>
    <row r="38" spans="2:5" ht="16">
      <c r="B38" s="472" t="s">
        <v>88</v>
      </c>
      <c r="C38" s="119">
        <v>0</v>
      </c>
      <c r="D38" s="117">
        <v>1</v>
      </c>
      <c r="E38" s="287" t="s">
        <v>19</v>
      </c>
    </row>
    <row r="39" spans="2:5" ht="16">
      <c r="B39" s="472" t="s">
        <v>88</v>
      </c>
      <c r="C39" s="119">
        <v>0</v>
      </c>
      <c r="D39" s="117">
        <v>1</v>
      </c>
      <c r="E39" s="287" t="s">
        <v>19</v>
      </c>
    </row>
    <row r="40" spans="2:5" ht="16">
      <c r="B40" s="472" t="s">
        <v>88</v>
      </c>
      <c r="C40" s="119">
        <v>0</v>
      </c>
      <c r="D40" s="117">
        <v>1</v>
      </c>
      <c r="E40" s="287" t="s">
        <v>19</v>
      </c>
    </row>
    <row r="41" spans="2:5" ht="16">
      <c r="B41" s="472" t="s">
        <v>88</v>
      </c>
      <c r="C41" s="119">
        <v>0</v>
      </c>
      <c r="D41" s="117">
        <v>1</v>
      </c>
      <c r="E41" s="287" t="s">
        <v>19</v>
      </c>
    </row>
    <row r="42" spans="2:5" ht="16">
      <c r="B42" s="472" t="s">
        <v>88</v>
      </c>
      <c r="C42" s="119">
        <v>0</v>
      </c>
      <c r="D42" s="117">
        <v>1</v>
      </c>
      <c r="E42" s="287" t="s">
        <v>19</v>
      </c>
    </row>
    <row r="43" spans="2:5" ht="16">
      <c r="B43" s="472" t="s">
        <v>88</v>
      </c>
      <c r="C43" s="119">
        <v>0</v>
      </c>
      <c r="D43" s="117">
        <v>1</v>
      </c>
      <c r="E43" s="287" t="s">
        <v>19</v>
      </c>
    </row>
    <row r="44" spans="2:5" ht="16">
      <c r="B44" s="472" t="s">
        <v>88</v>
      </c>
      <c r="C44" s="119">
        <v>0</v>
      </c>
      <c r="D44" s="117">
        <v>1</v>
      </c>
      <c r="E44" s="287" t="s">
        <v>19</v>
      </c>
    </row>
    <row r="45" spans="2:5" ht="16">
      <c r="B45" s="472" t="s">
        <v>88</v>
      </c>
      <c r="C45" s="119">
        <v>0</v>
      </c>
      <c r="D45" s="117">
        <v>1</v>
      </c>
      <c r="E45" s="287" t="s">
        <v>19</v>
      </c>
    </row>
    <row r="46" spans="2:5" ht="16">
      <c r="B46" s="472" t="s">
        <v>88</v>
      </c>
      <c r="C46" s="119">
        <v>0</v>
      </c>
      <c r="D46" s="117">
        <v>1</v>
      </c>
      <c r="E46" s="287" t="s">
        <v>19</v>
      </c>
    </row>
    <row r="47" spans="2:5" ht="17" thickBot="1">
      <c r="B47" s="120" t="s">
        <v>88</v>
      </c>
      <c r="C47" s="121">
        <v>0</v>
      </c>
      <c r="D47" s="122">
        <v>1</v>
      </c>
      <c r="E47" s="287" t="s">
        <v>19</v>
      </c>
    </row>
    <row r="48" spans="2:5" ht="30" customHeight="1" thickTop="1">
      <c r="B48" s="473" t="s">
        <v>480</v>
      </c>
      <c r="C48" s="474">
        <f>SUM(C28:C47)</f>
        <v>21000000</v>
      </c>
      <c r="D48" s="60">
        <f>SUMPRODUCT(C28:C47,D28:D47)/C48</f>
        <v>1</v>
      </c>
      <c r="E48" s="87"/>
    </row>
    <row r="49" spans="2:5" ht="16.5" customHeight="1">
      <c r="B49" s="93"/>
      <c r="C49" s="94"/>
      <c r="D49" s="83"/>
      <c r="E49" s="10"/>
    </row>
    <row r="50" spans="2:5" ht="30" customHeight="1">
      <c r="B50" s="57" t="s">
        <v>89</v>
      </c>
      <c r="C50" s="94"/>
      <c r="D50" s="83"/>
      <c r="E50" s="10"/>
    </row>
    <row r="51" spans="2:5" s="7" customFormat="1" ht="17" thickBot="1">
      <c r="B51" s="95"/>
      <c r="C51" s="96"/>
      <c r="D51" s="97"/>
      <c r="E51" s="92"/>
    </row>
    <row r="52" spans="2:5" ht="30" customHeight="1" thickBot="1">
      <c r="B52" s="494" t="str">
        <f>Inputs!E58</f>
        <v>Production Well Field</v>
      </c>
      <c r="C52" s="88" t="s">
        <v>0</v>
      </c>
      <c r="D52" s="89" t="s">
        <v>87</v>
      </c>
      <c r="E52" s="82" t="s">
        <v>143</v>
      </c>
    </row>
    <row r="53" spans="2:5" ht="16">
      <c r="B53" s="472" t="s">
        <v>332</v>
      </c>
      <c r="C53" s="119">
        <v>35000000</v>
      </c>
      <c r="D53" s="117">
        <v>1</v>
      </c>
      <c r="E53" s="287" t="s">
        <v>390</v>
      </c>
    </row>
    <row r="54" spans="2:5" ht="16">
      <c r="B54" s="472" t="s">
        <v>333</v>
      </c>
      <c r="C54" s="119">
        <v>25000000</v>
      </c>
      <c r="D54" s="117">
        <v>1</v>
      </c>
      <c r="E54" s="287" t="s">
        <v>390</v>
      </c>
    </row>
    <row r="55" spans="2:5" ht="16">
      <c r="B55" s="472" t="s">
        <v>88</v>
      </c>
      <c r="C55" s="119">
        <v>0</v>
      </c>
      <c r="D55" s="117">
        <v>1</v>
      </c>
      <c r="E55" s="287" t="s">
        <v>19</v>
      </c>
    </row>
    <row r="56" spans="2:5" ht="16">
      <c r="B56" s="472" t="s">
        <v>88</v>
      </c>
      <c r="C56" s="119">
        <v>0</v>
      </c>
      <c r="D56" s="117">
        <v>1</v>
      </c>
      <c r="E56" s="287" t="s">
        <v>19</v>
      </c>
    </row>
    <row r="57" spans="2:5" ht="16">
      <c r="B57" s="472" t="s">
        <v>88</v>
      </c>
      <c r="C57" s="119">
        <v>0</v>
      </c>
      <c r="D57" s="117">
        <v>1</v>
      </c>
      <c r="E57" s="287" t="s">
        <v>19</v>
      </c>
    </row>
    <row r="58" spans="2:5" ht="16">
      <c r="B58" s="472" t="s">
        <v>88</v>
      </c>
      <c r="C58" s="119">
        <v>0</v>
      </c>
      <c r="D58" s="117">
        <v>1</v>
      </c>
      <c r="E58" s="287" t="s">
        <v>19</v>
      </c>
    </row>
    <row r="59" spans="2:5" ht="16">
      <c r="B59" s="472" t="s">
        <v>88</v>
      </c>
      <c r="C59" s="119">
        <v>0</v>
      </c>
      <c r="D59" s="117">
        <v>1</v>
      </c>
      <c r="E59" s="287" t="s">
        <v>19</v>
      </c>
    </row>
    <row r="60" spans="2:5" ht="16">
      <c r="B60" s="472" t="s">
        <v>88</v>
      </c>
      <c r="C60" s="119">
        <v>0</v>
      </c>
      <c r="D60" s="117">
        <v>1</v>
      </c>
      <c r="E60" s="287" t="s">
        <v>19</v>
      </c>
    </row>
    <row r="61" spans="2:5" ht="16">
      <c r="B61" s="118" t="s">
        <v>88</v>
      </c>
      <c r="C61" s="119">
        <v>0</v>
      </c>
      <c r="D61" s="117">
        <v>1</v>
      </c>
      <c r="E61" s="287" t="s">
        <v>19</v>
      </c>
    </row>
    <row r="62" spans="2:5" ht="16">
      <c r="B62" s="118" t="s">
        <v>88</v>
      </c>
      <c r="C62" s="119">
        <v>0</v>
      </c>
      <c r="D62" s="117">
        <v>1</v>
      </c>
      <c r="E62" s="287" t="s">
        <v>19</v>
      </c>
    </row>
    <row r="63" spans="2:5" ht="16">
      <c r="B63" s="118" t="s">
        <v>88</v>
      </c>
      <c r="C63" s="119">
        <v>0</v>
      </c>
      <c r="D63" s="117">
        <v>1</v>
      </c>
      <c r="E63" s="287" t="s">
        <v>19</v>
      </c>
    </row>
    <row r="64" spans="2:5" ht="16">
      <c r="B64" s="118" t="s">
        <v>88</v>
      </c>
      <c r="C64" s="119">
        <v>0</v>
      </c>
      <c r="D64" s="117">
        <v>1</v>
      </c>
      <c r="E64" s="287" t="s">
        <v>19</v>
      </c>
    </row>
    <row r="65" spans="2:5" ht="16">
      <c r="B65" s="118" t="s">
        <v>88</v>
      </c>
      <c r="C65" s="119">
        <v>0</v>
      </c>
      <c r="D65" s="117">
        <v>1</v>
      </c>
      <c r="E65" s="287" t="s">
        <v>19</v>
      </c>
    </row>
    <row r="66" spans="2:5" ht="16">
      <c r="B66" s="118" t="s">
        <v>88</v>
      </c>
      <c r="C66" s="119">
        <v>0</v>
      </c>
      <c r="D66" s="117">
        <v>1</v>
      </c>
      <c r="E66" s="287" t="s">
        <v>19</v>
      </c>
    </row>
    <row r="67" spans="2:5" ht="16">
      <c r="B67" s="118" t="s">
        <v>88</v>
      </c>
      <c r="C67" s="119">
        <v>0</v>
      </c>
      <c r="D67" s="117">
        <v>1</v>
      </c>
      <c r="E67" s="287" t="s">
        <v>19</v>
      </c>
    </row>
    <row r="68" spans="2:5" ht="16">
      <c r="B68" s="118" t="s">
        <v>88</v>
      </c>
      <c r="C68" s="119">
        <v>0</v>
      </c>
      <c r="D68" s="117">
        <v>1</v>
      </c>
      <c r="E68" s="287" t="s">
        <v>19</v>
      </c>
    </row>
    <row r="69" spans="2:5" ht="16">
      <c r="B69" s="118" t="s">
        <v>88</v>
      </c>
      <c r="C69" s="119">
        <v>0</v>
      </c>
      <c r="D69" s="117">
        <v>1</v>
      </c>
      <c r="E69" s="287" t="s">
        <v>19</v>
      </c>
    </row>
    <row r="70" spans="2:5" ht="16">
      <c r="B70" s="118" t="s">
        <v>88</v>
      </c>
      <c r="C70" s="119">
        <v>0</v>
      </c>
      <c r="D70" s="117">
        <v>1</v>
      </c>
      <c r="E70" s="287" t="s">
        <v>19</v>
      </c>
    </row>
    <row r="71" spans="2:5" ht="16">
      <c r="B71" s="118" t="s">
        <v>88</v>
      </c>
      <c r="C71" s="119">
        <v>0</v>
      </c>
      <c r="D71" s="117">
        <v>1</v>
      </c>
      <c r="E71" s="287" t="s">
        <v>19</v>
      </c>
    </row>
    <row r="72" spans="2:5" ht="17" thickBot="1">
      <c r="B72" s="120" t="s">
        <v>88</v>
      </c>
      <c r="C72" s="121">
        <v>0</v>
      </c>
      <c r="D72" s="122">
        <v>1</v>
      </c>
      <c r="E72" s="287" t="s">
        <v>19</v>
      </c>
    </row>
    <row r="73" spans="2:5" ht="30" customHeight="1" thickTop="1">
      <c r="B73" s="473" t="s">
        <v>497</v>
      </c>
      <c r="C73" s="86">
        <f>SUM(C53:C72)</f>
        <v>60000000</v>
      </c>
      <c r="D73" s="60">
        <f>SUMPRODUCT(C53:C72,D53:D72)/C73</f>
        <v>1</v>
      </c>
      <c r="E73" s="56"/>
    </row>
    <row r="74" spans="2:5" s="467" customFormat="1" ht="30" customHeight="1">
      <c r="B74" s="54" t="s">
        <v>498</v>
      </c>
      <c r="C74" s="108">
        <f>C73/(Inputs!$G$6*1000)</f>
        <v>4000</v>
      </c>
      <c r="D74" s="800"/>
      <c r="E74" s="87"/>
    </row>
    <row r="76" spans="2:5" ht="30" customHeight="1">
      <c r="B76" s="57" t="s">
        <v>89</v>
      </c>
    </row>
    <row r="77" spans="2:5" ht="16" thickBot="1"/>
    <row r="78" spans="2:5" ht="35" thickBot="1">
      <c r="B78" s="50" t="str">
        <f>Inputs!E65</f>
        <v>Power Plant &amp; Interconnection</v>
      </c>
      <c r="C78" s="88" t="s">
        <v>0</v>
      </c>
      <c r="D78" s="89" t="s">
        <v>87</v>
      </c>
      <c r="E78" s="82" t="s">
        <v>143</v>
      </c>
    </row>
    <row r="79" spans="2:5" ht="16">
      <c r="B79" s="472" t="s">
        <v>346</v>
      </c>
      <c r="C79" s="119">
        <v>75000000</v>
      </c>
      <c r="D79" s="117">
        <v>1</v>
      </c>
      <c r="E79" s="287" t="s">
        <v>19</v>
      </c>
    </row>
    <row r="80" spans="2:5" ht="16">
      <c r="B80" s="476" t="s">
        <v>88</v>
      </c>
      <c r="C80" s="289">
        <v>0</v>
      </c>
      <c r="D80" s="117">
        <v>1</v>
      </c>
      <c r="E80" s="287" t="s">
        <v>19</v>
      </c>
    </row>
    <row r="81" spans="2:5" ht="16">
      <c r="B81" s="476" t="s">
        <v>88</v>
      </c>
      <c r="C81" s="289">
        <v>0</v>
      </c>
      <c r="D81" s="117">
        <v>1</v>
      </c>
      <c r="E81" s="287" t="s">
        <v>19</v>
      </c>
    </row>
    <row r="82" spans="2:5" ht="16">
      <c r="B82" s="476" t="s">
        <v>88</v>
      </c>
      <c r="C82" s="289">
        <v>0</v>
      </c>
      <c r="D82" s="117">
        <v>1</v>
      </c>
      <c r="E82" s="287" t="s">
        <v>19</v>
      </c>
    </row>
    <row r="83" spans="2:5" ht="16">
      <c r="B83" s="476" t="s">
        <v>88</v>
      </c>
      <c r="C83" s="289">
        <v>0</v>
      </c>
      <c r="D83" s="117">
        <v>1</v>
      </c>
      <c r="E83" s="287" t="s">
        <v>19</v>
      </c>
    </row>
    <row r="84" spans="2:5" ht="16">
      <c r="B84" s="476" t="s">
        <v>88</v>
      </c>
      <c r="C84" s="289">
        <v>0</v>
      </c>
      <c r="D84" s="117">
        <v>1</v>
      </c>
      <c r="E84" s="287" t="s">
        <v>19</v>
      </c>
    </row>
    <row r="85" spans="2:5" ht="16">
      <c r="B85" s="476" t="s">
        <v>88</v>
      </c>
      <c r="C85" s="289">
        <v>0</v>
      </c>
      <c r="D85" s="117">
        <v>1</v>
      </c>
      <c r="E85" s="287" t="s">
        <v>19</v>
      </c>
    </row>
    <row r="86" spans="2:5" ht="16">
      <c r="B86" s="476" t="s">
        <v>88</v>
      </c>
      <c r="C86" s="289">
        <v>0</v>
      </c>
      <c r="D86" s="117">
        <v>1</v>
      </c>
      <c r="E86" s="287" t="s">
        <v>19</v>
      </c>
    </row>
    <row r="87" spans="2:5" ht="16">
      <c r="B87" s="476" t="s">
        <v>88</v>
      </c>
      <c r="C87" s="289">
        <v>0</v>
      </c>
      <c r="D87" s="117">
        <v>1</v>
      </c>
      <c r="E87" s="287" t="s">
        <v>19</v>
      </c>
    </row>
    <row r="88" spans="2:5" ht="16">
      <c r="B88" s="476" t="s">
        <v>88</v>
      </c>
      <c r="C88" s="289">
        <v>0</v>
      </c>
      <c r="D88" s="117">
        <v>1</v>
      </c>
      <c r="E88" s="287" t="s">
        <v>19</v>
      </c>
    </row>
    <row r="89" spans="2:5" ht="16">
      <c r="B89" s="476" t="s">
        <v>88</v>
      </c>
      <c r="C89" s="289">
        <v>0</v>
      </c>
      <c r="D89" s="117">
        <v>1</v>
      </c>
      <c r="E89" s="287" t="s">
        <v>19</v>
      </c>
    </row>
    <row r="90" spans="2:5" ht="16">
      <c r="B90" s="476" t="s">
        <v>88</v>
      </c>
      <c r="C90" s="289">
        <v>0</v>
      </c>
      <c r="D90" s="117">
        <v>1</v>
      </c>
      <c r="E90" s="287" t="s">
        <v>19</v>
      </c>
    </row>
    <row r="91" spans="2:5" ht="16">
      <c r="B91" s="476" t="s">
        <v>88</v>
      </c>
      <c r="C91" s="289">
        <v>0</v>
      </c>
      <c r="D91" s="117">
        <v>1</v>
      </c>
      <c r="E91" s="287" t="s">
        <v>21</v>
      </c>
    </row>
    <row r="92" spans="2:5" ht="16">
      <c r="B92" s="476" t="s">
        <v>88</v>
      </c>
      <c r="C92" s="289">
        <v>0</v>
      </c>
      <c r="D92" s="117">
        <v>1</v>
      </c>
      <c r="E92" s="287" t="s">
        <v>21</v>
      </c>
    </row>
    <row r="93" spans="2:5" ht="16">
      <c r="B93" s="476" t="s">
        <v>88</v>
      </c>
      <c r="C93" s="289">
        <v>0</v>
      </c>
      <c r="D93" s="117">
        <v>1</v>
      </c>
      <c r="E93" s="287" t="s">
        <v>21</v>
      </c>
    </row>
    <row r="94" spans="2:5" ht="16">
      <c r="B94" s="476" t="s">
        <v>88</v>
      </c>
      <c r="C94" s="289">
        <v>0</v>
      </c>
      <c r="D94" s="117">
        <v>1</v>
      </c>
      <c r="E94" s="287" t="s">
        <v>21</v>
      </c>
    </row>
    <row r="95" spans="2:5" ht="16">
      <c r="B95" s="288" t="s">
        <v>88</v>
      </c>
      <c r="C95" s="289">
        <v>0</v>
      </c>
      <c r="D95" s="117">
        <v>1</v>
      </c>
      <c r="E95" s="287" t="s">
        <v>21</v>
      </c>
    </row>
    <row r="96" spans="2:5" ht="16">
      <c r="B96" s="288" t="s">
        <v>88</v>
      </c>
      <c r="C96" s="289">
        <v>0</v>
      </c>
      <c r="D96" s="117">
        <v>1</v>
      </c>
      <c r="E96" s="287" t="s">
        <v>21</v>
      </c>
    </row>
    <row r="97" spans="2:7" ht="16">
      <c r="B97" s="288" t="s">
        <v>88</v>
      </c>
      <c r="C97" s="289">
        <v>0</v>
      </c>
      <c r="D97" s="117">
        <v>1</v>
      </c>
      <c r="E97" s="287" t="s">
        <v>21</v>
      </c>
    </row>
    <row r="98" spans="2:7" ht="17" thickBot="1">
      <c r="B98" s="120" t="s">
        <v>88</v>
      </c>
      <c r="C98" s="121">
        <v>0</v>
      </c>
      <c r="D98" s="122">
        <v>1</v>
      </c>
      <c r="E98" s="287" t="s">
        <v>21</v>
      </c>
    </row>
    <row r="99" spans="2:7" ht="30" customHeight="1" thickTop="1">
      <c r="B99" s="473" t="s">
        <v>499</v>
      </c>
      <c r="C99" s="86">
        <f>SUM(C79:C98)</f>
        <v>75000000</v>
      </c>
      <c r="D99" s="60">
        <f>SUMPRODUCT(C79:C98,D79:D98)/C99</f>
        <v>1</v>
      </c>
      <c r="E99" s="58"/>
    </row>
    <row r="100" spans="2:7" s="467" customFormat="1" ht="30" customHeight="1">
      <c r="B100" s="54" t="s">
        <v>500</v>
      </c>
      <c r="C100" s="108">
        <f>C99/(Inputs!$G$6*1000)</f>
        <v>5000</v>
      </c>
      <c r="D100" s="800"/>
      <c r="E100" s="87"/>
    </row>
    <row r="101" spans="2:7" ht="15.75" customHeight="1"/>
    <row r="102" spans="2:7" ht="30" customHeight="1">
      <c r="B102" s="57" t="s">
        <v>89</v>
      </c>
    </row>
    <row r="103" spans="2:7" ht="15.75" customHeight="1">
      <c r="B103" s="57"/>
    </row>
    <row r="104" spans="2:7" ht="15.75" customHeight="1" thickBot="1">
      <c r="B104" s="93"/>
      <c r="C104" s="94"/>
      <c r="D104" s="83"/>
      <c r="E104" s="106"/>
    </row>
    <row r="105" spans="2:7" ht="30" customHeight="1" thickBot="1">
      <c r="B105" s="50" t="str">
        <f>Inputs!E68</f>
        <v>Reserves, Lender Fees &amp; Closing Costs</v>
      </c>
      <c r="C105" s="88" t="s">
        <v>0</v>
      </c>
      <c r="D105" s="89" t="s">
        <v>87</v>
      </c>
      <c r="E105" s="82" t="s">
        <v>143</v>
      </c>
    </row>
    <row r="106" spans="2:7" ht="15.75" customHeight="1">
      <c r="B106" s="85" t="s">
        <v>148</v>
      </c>
      <c r="C106" s="86">
        <f>((C25+C48+C73+C99)*Inputs!$G$79*Inputs!$G$82)</f>
        <v>2466000</v>
      </c>
      <c r="D106" s="117">
        <v>0</v>
      </c>
      <c r="E106" s="287" t="s">
        <v>22</v>
      </c>
    </row>
    <row r="107" spans="2:7" ht="15.75" customHeight="1">
      <c r="B107" s="54" t="s">
        <v>33</v>
      </c>
      <c r="C107" s="108">
        <f>(C73+C99)*Inputs!G57*(Inputs!G52/2)</f>
        <v>12842305.312499998</v>
      </c>
      <c r="D107" s="117">
        <v>0</v>
      </c>
      <c r="E107" s="287" t="s">
        <v>22</v>
      </c>
    </row>
    <row r="108" spans="2:7" ht="15.75" customHeight="1">
      <c r="B108" s="5" t="s">
        <v>45</v>
      </c>
      <c r="C108" s="108">
        <f>Inputs!$G$92</f>
        <v>0</v>
      </c>
      <c r="D108" s="117">
        <v>0</v>
      </c>
      <c r="E108" s="287" t="s">
        <v>22</v>
      </c>
    </row>
    <row r="109" spans="2:7" ht="15.75" customHeight="1" thickBot="1">
      <c r="B109" s="109" t="s">
        <v>149</v>
      </c>
      <c r="C109" s="110">
        <f>Inputs!$G$97+Inputs!$G$100</f>
        <v>6113859.20777852</v>
      </c>
      <c r="D109" s="122">
        <v>0</v>
      </c>
      <c r="E109" s="287" t="s">
        <v>22</v>
      </c>
      <c r="G109" s="467"/>
    </row>
    <row r="110" spans="2:7" ht="30.75" customHeight="1" thickTop="1">
      <c r="B110" s="101" t="s">
        <v>512</v>
      </c>
      <c r="C110" s="86">
        <f>SUM(C106:C109)</f>
        <v>21422164.520278517</v>
      </c>
      <c r="D110" s="60">
        <f>SUMPRODUCT(C106:C109,D106:D109)/C110</f>
        <v>0</v>
      </c>
      <c r="E110" s="81"/>
    </row>
    <row r="111" spans="2:7" ht="15.75" customHeight="1">
      <c r="B111" s="90"/>
      <c r="C111" s="107"/>
      <c r="D111" s="91"/>
      <c r="E111" s="92"/>
    </row>
    <row r="112" spans="2:7" ht="30" customHeight="1">
      <c r="B112" s="57" t="s">
        <v>89</v>
      </c>
      <c r="C112" s="107"/>
      <c r="D112" s="91"/>
      <c r="E112" s="92"/>
    </row>
    <row r="113" spans="2:11" ht="15.75" customHeight="1" thickBot="1">
      <c r="B113" s="90"/>
      <c r="C113" s="107"/>
      <c r="D113" s="91"/>
      <c r="E113" s="92"/>
    </row>
    <row r="114" spans="2:11" ht="17" thickBot="1">
      <c r="B114" s="50" t="s">
        <v>146</v>
      </c>
      <c r="C114" s="51"/>
      <c r="D114" s="51"/>
      <c r="E114" s="360" t="s">
        <v>398</v>
      </c>
      <c r="F114" s="444"/>
      <c r="G114" s="444"/>
      <c r="H114" s="444"/>
      <c r="I114" s="444"/>
      <c r="J114" s="444"/>
      <c r="K114" s="700"/>
    </row>
    <row r="115" spans="2:11" ht="35" thickBot="1">
      <c r="B115" s="98" t="s">
        <v>24</v>
      </c>
      <c r="C115" s="471" t="s">
        <v>0</v>
      </c>
      <c r="D115" s="89" t="s">
        <v>147</v>
      </c>
      <c r="E115" s="698" t="s">
        <v>24</v>
      </c>
      <c r="F115" s="698" t="s">
        <v>19</v>
      </c>
      <c r="G115" s="698" t="s">
        <v>20</v>
      </c>
      <c r="H115" s="698" t="s">
        <v>21</v>
      </c>
      <c r="I115" s="699" t="s">
        <v>22</v>
      </c>
      <c r="J115" s="699" t="s">
        <v>390</v>
      </c>
      <c r="K115" s="699" t="s">
        <v>391</v>
      </c>
    </row>
    <row r="116" spans="2:11" s="49" customFormat="1" ht="17">
      <c r="B116" s="101" t="str">
        <f>B4</f>
        <v>Exploration Costs Attributed to Project</v>
      </c>
      <c r="C116" s="856">
        <f>C25</f>
        <v>8400000</v>
      </c>
      <c r="D116" s="857">
        <f>C25*D25</f>
        <v>8400000</v>
      </c>
      <c r="E116" s="858" t="str">
        <f>B116</f>
        <v>Exploration Costs Attributed to Project</v>
      </c>
      <c r="F116" s="103">
        <f>SUMIF($E$5:$E$24,F$115,$C$5:$C$24)</f>
        <v>8400000</v>
      </c>
      <c r="G116" s="103">
        <f t="shared" ref="G116:K116" si="0">SUMIF($E$5:$E$24,G$115,$C$5:$C$24)</f>
        <v>0</v>
      </c>
      <c r="H116" s="103">
        <f t="shared" si="0"/>
        <v>0</v>
      </c>
      <c r="I116" s="103">
        <f t="shared" si="0"/>
        <v>0</v>
      </c>
      <c r="J116" s="103">
        <f t="shared" si="0"/>
        <v>0</v>
      </c>
      <c r="K116" s="103">
        <f t="shared" si="0"/>
        <v>0</v>
      </c>
    </row>
    <row r="117" spans="2:11" ht="15.75" customHeight="1">
      <c r="B117" s="101" t="str">
        <f>complex_confirmation</f>
        <v>Confirmation Drilling Costs</v>
      </c>
      <c r="C117" s="103">
        <f>C48</f>
        <v>21000000</v>
      </c>
      <c r="D117" s="115">
        <f>C48*D48</f>
        <v>21000000</v>
      </c>
      <c r="E117" s="116" t="str">
        <f>B117</f>
        <v>Confirmation Drilling Costs</v>
      </c>
      <c r="F117" s="103">
        <f t="shared" ref="F117:K117" si="1">SUMIF($E$27:$E$48,F$115,$C$27:$C$48)</f>
        <v>4000000</v>
      </c>
      <c r="G117" s="103">
        <f t="shared" si="1"/>
        <v>0</v>
      </c>
      <c r="H117" s="103">
        <f t="shared" si="1"/>
        <v>0</v>
      </c>
      <c r="I117" s="103">
        <f t="shared" si="1"/>
        <v>0</v>
      </c>
      <c r="J117" s="103">
        <f t="shared" si="1"/>
        <v>17000000</v>
      </c>
      <c r="K117" s="103">
        <f t="shared" si="1"/>
        <v>0</v>
      </c>
    </row>
    <row r="118" spans="2:11" ht="15.75" customHeight="1">
      <c r="B118" s="55" t="str">
        <f>complex_plant</f>
        <v>Production Well Field</v>
      </c>
      <c r="C118" s="99">
        <f>C73</f>
        <v>60000000</v>
      </c>
      <c r="D118" s="105">
        <f>C73*D73</f>
        <v>60000000</v>
      </c>
      <c r="E118" s="116" t="str">
        <f t="shared" ref="E118:E120" si="2">B118</f>
        <v>Production Well Field</v>
      </c>
      <c r="F118" s="99">
        <f t="shared" ref="F118:K118" si="3">SUMIF($E$52:$E$73,F$115,$C$52:$C$73)</f>
        <v>0</v>
      </c>
      <c r="G118" s="99">
        <f>SUMIF($E$52:$E$73,G$115,$C$52:$C$73)</f>
        <v>0</v>
      </c>
      <c r="H118" s="99">
        <f>SUMIF($E$52:$E$73,H$115,$C$52:$C$73)</f>
        <v>0</v>
      </c>
      <c r="I118" s="99">
        <f>SUMIF($E$52:$E$73,I$115,$C$52:$C$73)</f>
        <v>0</v>
      </c>
      <c r="J118" s="696">
        <f t="shared" si="3"/>
        <v>60000000</v>
      </c>
      <c r="K118" s="696">
        <f t="shared" si="3"/>
        <v>0</v>
      </c>
    </row>
    <row r="119" spans="2:11" ht="15.75" customHeight="1">
      <c r="B119" s="783" t="str">
        <f>B78</f>
        <v>Power Plant &amp; Interconnection</v>
      </c>
      <c r="C119" s="99">
        <f>C99</f>
        <v>75000000</v>
      </c>
      <c r="D119" s="105">
        <f>C99*D99</f>
        <v>75000000</v>
      </c>
      <c r="E119" s="116" t="str">
        <f t="shared" si="2"/>
        <v>Power Plant &amp; Interconnection</v>
      </c>
      <c r="F119" s="99">
        <f t="shared" ref="F119:K119" si="4">SUMIF($E$78:$E$99,F$115,$C$78:$C$99)</f>
        <v>75000000</v>
      </c>
      <c r="G119" s="99">
        <f>SUMIF($E$78:$E$99,G$115,$C$78:$C$99)</f>
        <v>0</v>
      </c>
      <c r="H119" s="99">
        <f>SUMIF($E$78:$E$99,H$115,$C$78:$C$99)</f>
        <v>0</v>
      </c>
      <c r="I119" s="99">
        <f>SUMIF($E$78:$E$99,I$115,$C$78:$C$99)</f>
        <v>0</v>
      </c>
      <c r="J119" s="696">
        <f t="shared" si="4"/>
        <v>0</v>
      </c>
      <c r="K119" s="696">
        <f t="shared" si="4"/>
        <v>0</v>
      </c>
    </row>
    <row r="120" spans="2:11" ht="15.75" customHeight="1" thickBot="1">
      <c r="B120" s="784" t="str">
        <f>B105</f>
        <v>Reserves, Lender Fees &amp; Closing Costs</v>
      </c>
      <c r="C120" s="102">
        <f>C110</f>
        <v>21422164.520278517</v>
      </c>
      <c r="D120" s="111">
        <f>C110*D110</f>
        <v>0</v>
      </c>
      <c r="E120" s="116" t="str">
        <f t="shared" si="2"/>
        <v>Reserves, Lender Fees &amp; Closing Costs</v>
      </c>
      <c r="F120" s="114">
        <f>SUMIF($E$105:$E$110,F$115,$C$105:$C$110)</f>
        <v>0</v>
      </c>
      <c r="G120" s="114">
        <f>SUMIF($E$105:$E$110,G$115,$C$105:$C$110)</f>
        <v>0</v>
      </c>
      <c r="H120" s="114">
        <f>SUMIF($E$105:$E$110,H$115,$C$105:$C$110)</f>
        <v>0</v>
      </c>
      <c r="I120" s="114">
        <f>SUMIF($E$105:$E$110,I$115,$C$105:$C$110)</f>
        <v>21422164.520278517</v>
      </c>
      <c r="J120" s="697">
        <f t="shared" ref="J120:K120" si="5">SUMIF($E$105:$E$110,J$115,$C$105:$C$110)</f>
        <v>0</v>
      </c>
      <c r="K120" s="697">
        <f t="shared" si="5"/>
        <v>0</v>
      </c>
    </row>
    <row r="121" spans="2:11" ht="30" customHeight="1" thickTop="1">
      <c r="B121" s="100" t="s">
        <v>119</v>
      </c>
      <c r="C121" s="104">
        <f>SUM(C116:C120)</f>
        <v>185822164.52027851</v>
      </c>
      <c r="D121" s="104">
        <f>SUM(D116:D120)</f>
        <v>164400000</v>
      </c>
      <c r="E121" s="55"/>
      <c r="F121" s="104">
        <f>SUM(F116:F120)</f>
        <v>87400000</v>
      </c>
      <c r="G121" s="104">
        <f t="shared" ref="G121:K121" si="6">SUM(G116:G120)</f>
        <v>0</v>
      </c>
      <c r="H121" s="104">
        <f t="shared" si="6"/>
        <v>0</v>
      </c>
      <c r="I121" s="104">
        <f t="shared" si="6"/>
        <v>21422164.520278517</v>
      </c>
      <c r="J121" s="104">
        <f t="shared" si="6"/>
        <v>77000000</v>
      </c>
      <c r="K121" s="104">
        <f t="shared" si="6"/>
        <v>0</v>
      </c>
    </row>
    <row r="122" spans="2:11">
      <c r="B122" s="7"/>
      <c r="C122" s="7"/>
      <c r="D122" s="7"/>
      <c r="E122" s="7"/>
    </row>
    <row r="123" spans="2:11" ht="16">
      <c r="B123" s="225" t="s">
        <v>167</v>
      </c>
      <c r="C123" s="226" t="str">
        <f>Inputs!Q104</f>
        <v>Yes</v>
      </c>
    </row>
    <row r="124" spans="2:11" ht="16" thickBot="1">
      <c r="B124" s="298"/>
      <c r="C124" s="298"/>
      <c r="D124" s="298"/>
      <c r="E124" s="298"/>
      <c r="F124" s="298"/>
      <c r="G124" s="298"/>
      <c r="H124" s="298"/>
      <c r="I124" s="298"/>
      <c r="J124" s="298"/>
    </row>
    <row r="125" spans="2:11" ht="16" thickBot="1">
      <c r="D125" s="286"/>
      <c r="E125" s="286"/>
    </row>
    <row r="126" spans="2:11" ht="30" customHeight="1" thickBot="1">
      <c r="B126" s="918" t="s">
        <v>188</v>
      </c>
      <c r="C126" s="919"/>
      <c r="D126" s="920"/>
      <c r="E126" s="505"/>
      <c r="F126" s="687" t="s">
        <v>376</v>
      </c>
      <c r="G126" s="506"/>
      <c r="H126" s="506"/>
      <c r="I126" s="506"/>
      <c r="J126" s="507"/>
    </row>
    <row r="127" spans="2:11" ht="16" thickBot="1"/>
    <row r="128" spans="2:11" ht="69" thickBot="1">
      <c r="B128" s="57" t="s">
        <v>89</v>
      </c>
      <c r="C128" s="295" t="s">
        <v>225</v>
      </c>
      <c r="D128" s="296" t="s">
        <v>226</v>
      </c>
      <c r="F128" s="295" t="s">
        <v>225</v>
      </c>
      <c r="G128" s="296" t="s">
        <v>326</v>
      </c>
      <c r="I128" s="295" t="s">
        <v>225</v>
      </c>
      <c r="J128" s="296" t="s">
        <v>345</v>
      </c>
    </row>
    <row r="129" spans="3:10" ht="16">
      <c r="C129" s="396">
        <f>'Cash Flow'!$G$2</f>
        <v>1</v>
      </c>
      <c r="D129" s="397">
        <v>5</v>
      </c>
      <c r="F129" s="396">
        <f>'Cash Flow'!$G$2</f>
        <v>1</v>
      </c>
      <c r="G129" s="508">
        <v>0</v>
      </c>
      <c r="I129" s="396">
        <f>'Cash Flow'!$G$2</f>
        <v>1</v>
      </c>
      <c r="J129" s="508">
        <v>0</v>
      </c>
    </row>
    <row r="130" spans="3:10" ht="16">
      <c r="C130" s="398">
        <f>C129+1</f>
        <v>2</v>
      </c>
      <c r="D130" s="399">
        <v>5.0999999999999996</v>
      </c>
      <c r="F130" s="398">
        <f>F129+1</f>
        <v>2</v>
      </c>
      <c r="G130" s="508">
        <v>1E-3</v>
      </c>
      <c r="I130" s="398">
        <f>I129+1</f>
        <v>2</v>
      </c>
      <c r="J130" s="508">
        <v>0.02</v>
      </c>
    </row>
    <row r="131" spans="3:10" ht="16">
      <c r="C131" s="398">
        <f t="shared" ref="C131:C158" si="7">C130+1</f>
        <v>3</v>
      </c>
      <c r="D131" s="399">
        <v>5.202</v>
      </c>
      <c r="F131" s="398">
        <f t="shared" ref="F131:F158" si="8">F130+1</f>
        <v>3</v>
      </c>
      <c r="G131" s="508">
        <v>1E-3</v>
      </c>
      <c r="I131" s="398">
        <f t="shared" ref="I131:I158" si="9">I130+1</f>
        <v>3</v>
      </c>
      <c r="J131" s="508">
        <v>0.02</v>
      </c>
    </row>
    <row r="132" spans="3:10" ht="16">
      <c r="C132" s="398">
        <f t="shared" si="7"/>
        <v>4</v>
      </c>
      <c r="D132" s="399">
        <v>5.3060400000000003</v>
      </c>
      <c r="F132" s="398">
        <f t="shared" si="8"/>
        <v>4</v>
      </c>
      <c r="G132" s="508">
        <v>1E-3</v>
      </c>
      <c r="I132" s="398">
        <f t="shared" si="9"/>
        <v>4</v>
      </c>
      <c r="J132" s="508">
        <v>0.02</v>
      </c>
    </row>
    <row r="133" spans="3:10" ht="16">
      <c r="C133" s="398">
        <f t="shared" si="7"/>
        <v>5</v>
      </c>
      <c r="D133" s="399">
        <v>5.4121608000000005</v>
      </c>
      <c r="F133" s="398">
        <f t="shared" si="8"/>
        <v>5</v>
      </c>
      <c r="G133" s="508">
        <v>1E-3</v>
      </c>
      <c r="I133" s="398">
        <f t="shared" si="9"/>
        <v>5</v>
      </c>
      <c r="J133" s="508">
        <v>0.02</v>
      </c>
    </row>
    <row r="134" spans="3:10" ht="16">
      <c r="C134" s="398">
        <f t="shared" si="7"/>
        <v>6</v>
      </c>
      <c r="D134" s="399">
        <v>5.5204040160000005</v>
      </c>
      <c r="F134" s="398">
        <f t="shared" si="8"/>
        <v>6</v>
      </c>
      <c r="G134" s="508">
        <v>1E-3</v>
      </c>
      <c r="I134" s="398">
        <f t="shared" si="9"/>
        <v>6</v>
      </c>
      <c r="J134" s="508">
        <v>0.02</v>
      </c>
    </row>
    <row r="135" spans="3:10" ht="16">
      <c r="C135" s="398">
        <f t="shared" si="7"/>
        <v>7</v>
      </c>
      <c r="D135" s="399">
        <v>5.6308120963200006</v>
      </c>
      <c r="E135" s="10"/>
      <c r="F135" s="398">
        <f t="shared" si="8"/>
        <v>7</v>
      </c>
      <c r="G135" s="508">
        <v>1E-3</v>
      </c>
      <c r="I135" s="398">
        <f t="shared" si="9"/>
        <v>7</v>
      </c>
      <c r="J135" s="508">
        <v>0.02</v>
      </c>
    </row>
    <row r="136" spans="3:10" ht="16">
      <c r="C136" s="398">
        <f t="shared" si="7"/>
        <v>8</v>
      </c>
      <c r="D136" s="399">
        <v>5.7434283382464004</v>
      </c>
      <c r="E136" s="112"/>
      <c r="F136" s="398">
        <f t="shared" si="8"/>
        <v>8</v>
      </c>
      <c r="G136" s="508">
        <v>1E-3</v>
      </c>
      <c r="I136" s="398">
        <f t="shared" si="9"/>
        <v>8</v>
      </c>
      <c r="J136" s="508">
        <v>0.02</v>
      </c>
    </row>
    <row r="137" spans="3:10" ht="16">
      <c r="C137" s="398">
        <f t="shared" si="7"/>
        <v>9</v>
      </c>
      <c r="D137" s="399">
        <v>5.8582969050113283</v>
      </c>
      <c r="E137" s="113"/>
      <c r="F137" s="398">
        <f t="shared" si="8"/>
        <v>9</v>
      </c>
      <c r="G137" s="508">
        <v>1E-3</v>
      </c>
      <c r="I137" s="398">
        <f t="shared" si="9"/>
        <v>9</v>
      </c>
      <c r="J137" s="508">
        <v>0.02</v>
      </c>
    </row>
    <row r="138" spans="3:10" ht="16">
      <c r="C138" s="398">
        <f t="shared" si="7"/>
        <v>10</v>
      </c>
      <c r="D138" s="399">
        <v>5.9754628431115551</v>
      </c>
      <c r="E138" s="113"/>
      <c r="F138" s="398">
        <f t="shared" si="8"/>
        <v>10</v>
      </c>
      <c r="G138" s="508">
        <v>1E-3</v>
      </c>
      <c r="I138" s="398">
        <f t="shared" si="9"/>
        <v>10</v>
      </c>
      <c r="J138" s="508">
        <v>0.02</v>
      </c>
    </row>
    <row r="139" spans="3:10" ht="16">
      <c r="C139" s="398">
        <f t="shared" si="7"/>
        <v>11</v>
      </c>
      <c r="D139" s="399">
        <v>6.094972099973786</v>
      </c>
      <c r="E139" s="113"/>
      <c r="F139" s="398">
        <f t="shared" si="8"/>
        <v>11</v>
      </c>
      <c r="G139" s="508">
        <v>1E-3</v>
      </c>
      <c r="I139" s="398">
        <f t="shared" si="9"/>
        <v>11</v>
      </c>
      <c r="J139" s="508">
        <v>0.02</v>
      </c>
    </row>
    <row r="140" spans="3:10" ht="16">
      <c r="C140" s="398">
        <f t="shared" si="7"/>
        <v>12</v>
      </c>
      <c r="D140" s="399">
        <v>6.2168715419732621</v>
      </c>
      <c r="E140" s="113"/>
      <c r="F140" s="398">
        <f t="shared" si="8"/>
        <v>12</v>
      </c>
      <c r="G140" s="508">
        <v>1E-3</v>
      </c>
      <c r="I140" s="398">
        <f t="shared" si="9"/>
        <v>12</v>
      </c>
      <c r="J140" s="508">
        <v>0.02</v>
      </c>
    </row>
    <row r="141" spans="3:10" ht="16">
      <c r="C141" s="398">
        <f t="shared" si="7"/>
        <v>13</v>
      </c>
      <c r="D141" s="399">
        <v>6.3412089728127281</v>
      </c>
      <c r="E141" s="113"/>
      <c r="F141" s="398">
        <f t="shared" si="8"/>
        <v>13</v>
      </c>
      <c r="G141" s="508">
        <v>1E-3</v>
      </c>
      <c r="I141" s="398">
        <f t="shared" si="9"/>
        <v>13</v>
      </c>
      <c r="J141" s="508">
        <v>0.02</v>
      </c>
    </row>
    <row r="142" spans="3:10" ht="16">
      <c r="C142" s="398">
        <f t="shared" si="7"/>
        <v>14</v>
      </c>
      <c r="D142" s="399">
        <v>6.4680331522689825</v>
      </c>
      <c r="E142" s="113"/>
      <c r="F142" s="398">
        <f t="shared" si="8"/>
        <v>14</v>
      </c>
      <c r="G142" s="508">
        <v>1E-3</v>
      </c>
      <c r="I142" s="398">
        <f t="shared" si="9"/>
        <v>14</v>
      </c>
      <c r="J142" s="508">
        <v>0.02</v>
      </c>
    </row>
    <row r="143" spans="3:10" ht="16">
      <c r="C143" s="398">
        <f t="shared" si="7"/>
        <v>15</v>
      </c>
      <c r="D143" s="399">
        <v>6.5973938153143621</v>
      </c>
      <c r="E143" s="113"/>
      <c r="F143" s="398">
        <f t="shared" si="8"/>
        <v>15</v>
      </c>
      <c r="G143" s="508">
        <v>1E-3</v>
      </c>
      <c r="I143" s="398">
        <f t="shared" si="9"/>
        <v>15</v>
      </c>
      <c r="J143" s="508">
        <v>0.02</v>
      </c>
    </row>
    <row r="144" spans="3:10" ht="16">
      <c r="C144" s="398">
        <f t="shared" si="7"/>
        <v>16</v>
      </c>
      <c r="D144" s="399">
        <v>6.7293416916206494</v>
      </c>
      <c r="E144" s="113"/>
      <c r="F144" s="398">
        <f t="shared" si="8"/>
        <v>16</v>
      </c>
      <c r="G144" s="508">
        <v>1E-3</v>
      </c>
      <c r="I144" s="398">
        <f t="shared" si="9"/>
        <v>16</v>
      </c>
      <c r="J144" s="508">
        <v>0.02</v>
      </c>
    </row>
    <row r="145" spans="3:10" ht="16">
      <c r="C145" s="398">
        <f t="shared" si="7"/>
        <v>17</v>
      </c>
      <c r="D145" s="399">
        <v>6.8639285254530638</v>
      </c>
      <c r="E145" s="113"/>
      <c r="F145" s="398">
        <f t="shared" si="8"/>
        <v>17</v>
      </c>
      <c r="G145" s="508">
        <v>1E-3</v>
      </c>
      <c r="I145" s="398">
        <f t="shared" si="9"/>
        <v>17</v>
      </c>
      <c r="J145" s="508">
        <v>0.02</v>
      </c>
    </row>
    <row r="146" spans="3:10" ht="16">
      <c r="C146" s="398">
        <f t="shared" si="7"/>
        <v>18</v>
      </c>
      <c r="D146" s="399">
        <v>7.0012070959621253</v>
      </c>
      <c r="E146" s="10"/>
      <c r="F146" s="398">
        <f t="shared" si="8"/>
        <v>18</v>
      </c>
      <c r="G146" s="508">
        <v>1E-3</v>
      </c>
      <c r="I146" s="398">
        <f t="shared" si="9"/>
        <v>18</v>
      </c>
      <c r="J146" s="508">
        <v>0.02</v>
      </c>
    </row>
    <row r="147" spans="3:10" ht="16">
      <c r="C147" s="398">
        <f t="shared" si="7"/>
        <v>19</v>
      </c>
      <c r="D147" s="399">
        <v>7.1412312378813683</v>
      </c>
      <c r="E147" s="10"/>
      <c r="F147" s="398">
        <f t="shared" si="8"/>
        <v>19</v>
      </c>
      <c r="G147" s="508">
        <v>1E-3</v>
      </c>
      <c r="I147" s="398">
        <f t="shared" si="9"/>
        <v>19</v>
      </c>
      <c r="J147" s="508">
        <v>0.02</v>
      </c>
    </row>
    <row r="148" spans="3:10" ht="16">
      <c r="C148" s="398">
        <f t="shared" si="7"/>
        <v>20</v>
      </c>
      <c r="D148" s="399">
        <v>7.2840558626389953</v>
      </c>
      <c r="E148" s="10"/>
      <c r="F148" s="398">
        <f t="shared" si="8"/>
        <v>20</v>
      </c>
      <c r="G148" s="508">
        <v>1E-3</v>
      </c>
      <c r="I148" s="398">
        <f t="shared" si="9"/>
        <v>20</v>
      </c>
      <c r="J148" s="508">
        <v>0.02</v>
      </c>
    </row>
    <row r="149" spans="3:10" ht="16">
      <c r="C149" s="398">
        <f t="shared" si="7"/>
        <v>21</v>
      </c>
      <c r="D149" s="399">
        <v>7.4297369798917758</v>
      </c>
      <c r="F149" s="398">
        <f t="shared" si="8"/>
        <v>21</v>
      </c>
      <c r="G149" s="508">
        <v>1E-3</v>
      </c>
      <c r="I149" s="398">
        <f t="shared" si="9"/>
        <v>21</v>
      </c>
      <c r="J149" s="508">
        <v>0.02</v>
      </c>
    </row>
    <row r="150" spans="3:10" ht="16">
      <c r="C150" s="398">
        <f t="shared" si="7"/>
        <v>22</v>
      </c>
      <c r="D150" s="399">
        <v>7.5783317194896114</v>
      </c>
      <c r="F150" s="398">
        <f t="shared" si="8"/>
        <v>22</v>
      </c>
      <c r="G150" s="508">
        <v>1E-3</v>
      </c>
      <c r="I150" s="398">
        <f t="shared" si="9"/>
        <v>22</v>
      </c>
      <c r="J150" s="508">
        <v>0.02</v>
      </c>
    </row>
    <row r="151" spans="3:10" ht="16">
      <c r="C151" s="398">
        <f t="shared" si="7"/>
        <v>23</v>
      </c>
      <c r="D151" s="399">
        <v>7.7298983538794035</v>
      </c>
      <c r="F151" s="398">
        <f t="shared" si="8"/>
        <v>23</v>
      </c>
      <c r="G151" s="508">
        <v>1E-3</v>
      </c>
      <c r="I151" s="398">
        <f t="shared" si="9"/>
        <v>23</v>
      </c>
      <c r="J151" s="508">
        <v>0.02</v>
      </c>
    </row>
    <row r="152" spans="3:10" ht="16">
      <c r="C152" s="398">
        <f t="shared" si="7"/>
        <v>24</v>
      </c>
      <c r="D152" s="399">
        <v>7.8844963209569912</v>
      </c>
      <c r="F152" s="398">
        <f t="shared" si="8"/>
        <v>24</v>
      </c>
      <c r="G152" s="508">
        <v>1E-3</v>
      </c>
      <c r="I152" s="398">
        <f t="shared" si="9"/>
        <v>24</v>
      </c>
      <c r="J152" s="508">
        <v>0.02</v>
      </c>
    </row>
    <row r="153" spans="3:10" ht="16">
      <c r="C153" s="398">
        <f t="shared" si="7"/>
        <v>25</v>
      </c>
      <c r="D153" s="399">
        <v>8.0421862473761312</v>
      </c>
      <c r="F153" s="398">
        <f t="shared" si="8"/>
        <v>25</v>
      </c>
      <c r="G153" s="508">
        <v>1E-3</v>
      </c>
      <c r="I153" s="398">
        <f t="shared" si="9"/>
        <v>25</v>
      </c>
      <c r="J153" s="508">
        <v>0.02</v>
      </c>
    </row>
    <row r="154" spans="3:10" ht="16">
      <c r="C154" s="398">
        <f t="shared" si="7"/>
        <v>26</v>
      </c>
      <c r="D154" s="399">
        <v>8.2030299723236535</v>
      </c>
      <c r="F154" s="398">
        <f t="shared" si="8"/>
        <v>26</v>
      </c>
      <c r="G154" s="508">
        <v>1E-3</v>
      </c>
      <c r="I154" s="398">
        <f t="shared" si="9"/>
        <v>26</v>
      </c>
      <c r="J154" s="508">
        <v>0.02</v>
      </c>
    </row>
    <row r="155" spans="3:10" ht="16">
      <c r="C155" s="398">
        <f t="shared" si="7"/>
        <v>27</v>
      </c>
      <c r="D155" s="399">
        <v>8.3670905717701274</v>
      </c>
      <c r="F155" s="398">
        <f t="shared" si="8"/>
        <v>27</v>
      </c>
      <c r="G155" s="508">
        <v>1E-3</v>
      </c>
      <c r="I155" s="398">
        <f t="shared" si="9"/>
        <v>27</v>
      </c>
      <c r="J155" s="508">
        <v>0.02</v>
      </c>
    </row>
    <row r="156" spans="3:10" ht="16">
      <c r="C156" s="398">
        <f t="shared" si="7"/>
        <v>28</v>
      </c>
      <c r="D156" s="399">
        <v>8.5344323832055302</v>
      </c>
      <c r="F156" s="398">
        <f t="shared" si="8"/>
        <v>28</v>
      </c>
      <c r="G156" s="508">
        <v>1E-3</v>
      </c>
      <c r="I156" s="398">
        <f t="shared" si="9"/>
        <v>28</v>
      </c>
      <c r="J156" s="508">
        <v>0.02</v>
      </c>
    </row>
    <row r="157" spans="3:10" ht="16">
      <c r="C157" s="398">
        <f t="shared" si="7"/>
        <v>29</v>
      </c>
      <c r="D157" s="399">
        <v>8.7051210308696394</v>
      </c>
      <c r="F157" s="398">
        <f t="shared" si="8"/>
        <v>29</v>
      </c>
      <c r="G157" s="508">
        <v>1E-3</v>
      </c>
      <c r="I157" s="398">
        <f t="shared" si="9"/>
        <v>29</v>
      </c>
      <c r="J157" s="508">
        <v>0.02</v>
      </c>
    </row>
    <row r="158" spans="3:10" ht="16">
      <c r="C158" s="398">
        <f t="shared" si="7"/>
        <v>30</v>
      </c>
      <c r="D158" s="399">
        <v>8.8792234514870323</v>
      </c>
      <c r="F158" s="398">
        <f t="shared" si="8"/>
        <v>30</v>
      </c>
      <c r="G158" s="508">
        <v>1E-3</v>
      </c>
      <c r="I158" s="398">
        <f t="shared" si="9"/>
        <v>30</v>
      </c>
      <c r="J158" s="508">
        <v>0.02</v>
      </c>
    </row>
    <row r="159" spans="3:10" ht="30" customHeight="1">
      <c r="C159" s="916" t="s">
        <v>190</v>
      </c>
      <c r="D159" s="917"/>
    </row>
    <row r="161" spans="2:2" ht="24">
      <c r="B161" s="57" t="s">
        <v>89</v>
      </c>
    </row>
  </sheetData>
  <protectedRanges>
    <protectedRange sqref="J129:J158" name="Resource Degradation"/>
    <protectedRange sqref="G129:G158" name="Production Degradation"/>
    <protectedRange sqref="D129:D158" name="Market Val of Production"/>
    <protectedRange sqref="D106:E109 B28:E47 B79:E98 B53:E72 B5:E24" name="Complex Inputs"/>
  </protectedRanges>
  <mergeCells count="3">
    <mergeCell ref="C159:D159"/>
    <mergeCell ref="B126:D126"/>
    <mergeCell ref="G2:I2"/>
  </mergeCells>
  <conditionalFormatting sqref="B108">
    <cfRule type="expression" dxfId="5" priority="8">
      <formula>#REF!="100% Equity"</formula>
    </cfRule>
  </conditionalFormatting>
  <conditionalFormatting sqref="B108">
    <cfRule type="expression" dxfId="4" priority="9">
      <formula>#REF!="(use dropdown)"</formula>
    </cfRule>
  </conditionalFormatting>
  <conditionalFormatting sqref="D106:E110 D117:D121 D53:E74 F117:J121 D28:E48 D79:E100 E121 G121:K121">
    <cfRule type="expression" dxfId="3" priority="10">
      <formula>$C$123="No"</formula>
    </cfRule>
  </conditionalFormatting>
  <conditionalFormatting sqref="K117:K121">
    <cfRule type="expression" dxfId="2" priority="3">
      <formula>$C$123="No"</formula>
    </cfRule>
  </conditionalFormatting>
  <conditionalFormatting sqref="D5:E25">
    <cfRule type="expression" dxfId="1" priority="2">
      <formula>$C$123="No"</formula>
    </cfRule>
  </conditionalFormatting>
  <conditionalFormatting sqref="F116:K116">
    <cfRule type="expression" dxfId="0" priority="1">
      <formula>$C$123="No"</formula>
    </cfRule>
  </conditionalFormatting>
  <dataValidations count="2">
    <dataValidation type="list" allowBlank="1" showInputMessage="1" showErrorMessage="1" sqref="E106:E109 E79:E98 E60:E72" xr:uid="{00000000-0002-0000-0500-000000000000}">
      <formula1>$F$115:$J$115</formula1>
    </dataValidation>
    <dataValidation type="list" allowBlank="1" showInputMessage="1" showErrorMessage="1" sqref="E53:E59 E28:E47 E5:E24" xr:uid="{00000000-0002-0000-0500-000001000000}">
      <formula1>$F$115:$K$115</formula1>
    </dataValidation>
  </dataValidations>
  <hyperlinks>
    <hyperlink ref="B76" location="Inputs!A1" display="Click Here to Return to Inputs Worksheet" xr:uid="{00000000-0004-0000-0500-000000000000}"/>
    <hyperlink ref="B102" location="Inputs!A1" display="Click Here to Return to Inputs Worksheet" xr:uid="{00000000-0004-0000-0500-000001000000}"/>
    <hyperlink ref="B50" location="Inputs!A1" display="Click Here to Return to Inputs Worksheet" xr:uid="{00000000-0004-0000-0500-000002000000}"/>
    <hyperlink ref="B112" location="Inputs!A1" display="Click Here to Return to Inputs Worksheet" xr:uid="{00000000-0004-0000-0500-000003000000}"/>
    <hyperlink ref="B161" location="Inputs!A1" display="Click Here to Return to Inputs Worksheet" xr:uid="{00000000-0004-0000-0500-000004000000}"/>
    <hyperlink ref="G2" location="Inputs!A1" display="Click Here to Return to Inputs Worksheet" xr:uid="{00000000-0004-0000-0500-000005000000}"/>
    <hyperlink ref="B128" location="Inputs!A1" display="Click Here to Return to Inputs Worksheet" xr:uid="{00000000-0004-0000-0500-000006000000}"/>
  </hyperlink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Introduction</vt:lpstr>
      <vt:lpstr>Inputs</vt:lpstr>
      <vt:lpstr>Summary Results</vt:lpstr>
      <vt:lpstr>Annual Cash Flows &amp; Returns</vt:lpstr>
      <vt:lpstr>Cash Flow</vt:lpstr>
      <vt:lpstr>Complex Inputs</vt:lpstr>
      <vt:lpstr>Inputs!_ftnref1</vt:lpstr>
      <vt:lpstr>complex_confirmation</vt:lpstr>
      <vt:lpstr>complex_plant</vt:lpstr>
      <vt:lpstr>complex_wellfield</vt:lpstr>
      <vt:lpstr>depreciation_allocation</vt:lpstr>
      <vt:lpstr>Introduction!Print_Area</vt:lpstr>
      <vt:lpstr>production_degradation</vt:lpstr>
      <vt:lpstr>production_degradation_input</vt:lpstr>
      <vt:lpstr>production_mkt_val</vt:lpstr>
      <vt:lpstr>Thermal_Resource_Degradation_Input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CREST Model for Geothermal Energy</dc:title>
  <dc:subject>A model to assess project economics, design cost-based incentives, and evaluate the impact of state and federal support structures on renewable energy</dc:subject>
  <dc:creator/>
  <cp:keywords/>
  <dc:description/>
  <cp:lastModifiedBy>Harrison Dreves</cp:lastModifiedBy>
  <cp:lastPrinted>2010-07-30T20:36:23Z</cp:lastPrinted>
  <dcterms:created xsi:type="dcterms:W3CDTF">2010-03-29T19:24:38Z</dcterms:created>
  <dcterms:modified xsi:type="dcterms:W3CDTF">2019-01-21T19:31:20Z</dcterms:modified>
  <cp:category/>
</cp:coreProperties>
</file>