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codeName="ThisWorkbook" defaultThemeVersion="124226"/>
  <mc:AlternateContent xmlns:mc="http://schemas.openxmlformats.org/markup-compatibility/2006">
    <mc:Choice Requires="x15">
      <x15ac:absPath xmlns:x15ac="http://schemas.microsoft.com/office/spreadsheetml/2010/11/ac" url="/Users/hdreves/Desktop/2018_11 FinanceRE Site Redesign/CREST Spreadsheets/"/>
    </mc:Choice>
  </mc:AlternateContent>
  <xr:revisionPtr revIDLastSave="0" documentId="13_ncr:1_{AD1F3A7C-0172-E34A-963E-967C8E147994}" xr6:coauthVersionLast="40" xr6:coauthVersionMax="40" xr10:uidLastSave="{00000000-0000-0000-0000-000000000000}"/>
  <bookViews>
    <workbookView xWindow="2300" yWindow="1580" windowWidth="39000" windowHeight="20220" tabRatio="725" activeTab="2" xr2:uid="{00000000-000D-0000-FFFF-FFFF00000000}"/>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Inputs!#REF!</definedName>
    <definedName name="_ftnref1" localSheetId="1">Inputs!$E$104</definedName>
    <definedName name="_xlnm.Print_Area" localSheetId="0">Introduction!$B$2:$D$43</definedName>
    <definedName name="solver_adj" localSheetId="1" hidden="1">Inputs!$G$62</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Inputs!$G$67</definedName>
    <definedName name="solver_lhs2" localSheetId="1" hidden="1">Inputs!$G$70</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Inputs!$U$73</definedName>
    <definedName name="solver_pre" localSheetId="1" hidden="1">0.000001</definedName>
    <definedName name="solver_rel1" localSheetId="1" hidden="1">3</definedName>
    <definedName name="solver_rel2" localSheetId="1" hidden="1">3</definedName>
    <definedName name="solver_rhs1" localSheetId="1" hidden="1">Inputs!$G$66</definedName>
    <definedName name="solver_rhs2" localSheetId="1" hidden="1">Inputs!$G$69</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33" i="7" l="1"/>
  <c r="N97" i="7"/>
  <c r="N96" i="7"/>
  <c r="N95" i="7"/>
  <c r="N94" i="7"/>
  <c r="N93" i="7"/>
  <c r="N92" i="7"/>
  <c r="AA6" i="11"/>
  <c r="AB6" i="11"/>
  <c r="AC6" i="11"/>
  <c r="AD6" i="11"/>
  <c r="AE6" i="11"/>
  <c r="AF6" i="11"/>
  <c r="AG6" i="11"/>
  <c r="AH6" i="11"/>
  <c r="AI6" i="11"/>
  <c r="AJ6" i="11"/>
  <c r="H8" i="11"/>
  <c r="I8" i="11" s="1"/>
  <c r="J8" i="11" s="1"/>
  <c r="K8" i="11" s="1"/>
  <c r="L8" i="11" s="1"/>
  <c r="M8" i="11" s="1"/>
  <c r="N8" i="11" s="1"/>
  <c r="O8" i="11" s="1"/>
  <c r="P8" i="11" s="1"/>
  <c r="Q8" i="11" s="1"/>
  <c r="R8" i="11" s="1"/>
  <c r="S8" i="11" s="1"/>
  <c r="T8" i="11" s="1"/>
  <c r="U8" i="11" s="1"/>
  <c r="V8" i="11" s="1"/>
  <c r="W8" i="11" s="1"/>
  <c r="X8" i="11" s="1"/>
  <c r="Y8" i="11" s="1"/>
  <c r="Z8" i="11" s="1"/>
  <c r="AA8" i="11" s="1"/>
  <c r="AB8" i="11" s="1"/>
  <c r="AC8" i="11" s="1"/>
  <c r="AD8" i="11" s="1"/>
  <c r="AE8" i="11" s="1"/>
  <c r="AF8" i="11" s="1"/>
  <c r="AG8" i="11" s="1"/>
  <c r="AH8" i="11" s="1"/>
  <c r="AI8" i="11" s="1"/>
  <c r="AJ8" i="11" s="1"/>
  <c r="AI28" i="11" l="1"/>
  <c r="AG28" i="11"/>
  <c r="AE28" i="11"/>
  <c r="AC28" i="11"/>
  <c r="AA28" i="11"/>
  <c r="AJ28" i="11"/>
  <c r="AH28" i="11"/>
  <c r="AF28" i="11"/>
  <c r="AD28" i="11"/>
  <c r="AB28" i="11"/>
  <c r="G13" i="7" l="1"/>
  <c r="Q17" i="7" s="1"/>
  <c r="AA38" i="11"/>
  <c r="AB38" i="11"/>
  <c r="AC38" i="11"/>
  <c r="AD38" i="11"/>
  <c r="AE38" i="11"/>
  <c r="AF38" i="11"/>
  <c r="AG38" i="11"/>
  <c r="AH38" i="11"/>
  <c r="AI38" i="11"/>
  <c r="AJ38" i="11"/>
  <c r="G38" i="11"/>
  <c r="G8" i="7"/>
  <c r="AA41" i="11" l="1"/>
  <c r="AB41" i="11"/>
  <c r="AC41" i="11"/>
  <c r="AD41" i="11"/>
  <c r="AE41" i="11"/>
  <c r="AF41" i="11"/>
  <c r="AG41" i="11"/>
  <c r="AH41" i="11"/>
  <c r="AI41" i="11"/>
  <c r="AJ41" i="11"/>
  <c r="G41" i="11"/>
  <c r="H33" i="11"/>
  <c r="H41" i="11" s="1"/>
  <c r="I33" i="11" l="1"/>
  <c r="AA27" i="11"/>
  <c r="AB27" i="11"/>
  <c r="AC27" i="11"/>
  <c r="AD27" i="11"/>
  <c r="AE27" i="11"/>
  <c r="AF27" i="11"/>
  <c r="AG27" i="11"/>
  <c r="AH27" i="11"/>
  <c r="AI27" i="11"/>
  <c r="AJ27" i="11"/>
  <c r="G27" i="11"/>
  <c r="H7" i="11"/>
  <c r="AA43" i="11"/>
  <c r="AB43" i="11"/>
  <c r="AC43" i="11"/>
  <c r="AD43" i="11"/>
  <c r="AE43" i="11"/>
  <c r="AF43" i="11"/>
  <c r="AG43" i="11"/>
  <c r="AH43" i="11"/>
  <c r="AI43" i="11"/>
  <c r="AJ43" i="11"/>
  <c r="G43" i="11"/>
  <c r="H35" i="11"/>
  <c r="I35" i="11" s="1"/>
  <c r="J35" i="11" s="1"/>
  <c r="K35" i="11" s="1"/>
  <c r="L35" i="11" s="1"/>
  <c r="M35" i="11" s="1"/>
  <c r="N35" i="11" s="1"/>
  <c r="O35" i="11" s="1"/>
  <c r="P35" i="11" s="1"/>
  <c r="Q35" i="11" s="1"/>
  <c r="R35" i="11" s="1"/>
  <c r="S35" i="11" s="1"/>
  <c r="T35" i="11" s="1"/>
  <c r="U35" i="11" s="1"/>
  <c r="V35" i="11" s="1"/>
  <c r="W35" i="11" s="1"/>
  <c r="X35" i="11" s="1"/>
  <c r="Y35" i="11" s="1"/>
  <c r="Z35" i="11" s="1"/>
  <c r="AA35" i="11" s="1"/>
  <c r="AB35" i="11" s="1"/>
  <c r="AC35" i="11" s="1"/>
  <c r="AD35" i="11" s="1"/>
  <c r="AE35" i="11" s="1"/>
  <c r="AF35" i="11" s="1"/>
  <c r="AG35" i="11" s="1"/>
  <c r="AH35" i="11" s="1"/>
  <c r="AI35" i="11" s="1"/>
  <c r="AJ35" i="11" s="1"/>
  <c r="B34" i="9"/>
  <c r="C34" i="9"/>
  <c r="D34" i="9"/>
  <c r="B35" i="9"/>
  <c r="C35" i="9"/>
  <c r="D35" i="9"/>
  <c r="B36" i="9"/>
  <c r="C36" i="9"/>
  <c r="D36" i="9"/>
  <c r="B37" i="9"/>
  <c r="C37" i="9"/>
  <c r="D37" i="9"/>
  <c r="B38" i="9"/>
  <c r="C38" i="9"/>
  <c r="D38" i="9"/>
  <c r="C33" i="9"/>
  <c r="D33" i="9"/>
  <c r="B33" i="9"/>
  <c r="B23" i="9"/>
  <c r="C23" i="9"/>
  <c r="D23" i="9"/>
  <c r="C22" i="9"/>
  <c r="D22" i="9"/>
  <c r="B22" i="9"/>
  <c r="C21" i="9"/>
  <c r="D21" i="9"/>
  <c r="B21" i="9"/>
  <c r="C20" i="9"/>
  <c r="D20" i="9"/>
  <c r="B20" i="9"/>
  <c r="C19" i="9"/>
  <c r="B19" i="9"/>
  <c r="AA42" i="11"/>
  <c r="AB42" i="11"/>
  <c r="AC42" i="11"/>
  <c r="AD42" i="11"/>
  <c r="AE42" i="11"/>
  <c r="AF42" i="11"/>
  <c r="AG42" i="11"/>
  <c r="AH42" i="11"/>
  <c r="AI42" i="11"/>
  <c r="AJ42" i="11"/>
  <c r="G42" i="11"/>
  <c r="H34" i="11"/>
  <c r="H42" i="11" s="1"/>
  <c r="H26" i="11"/>
  <c r="I26" i="11"/>
  <c r="J26" i="11"/>
  <c r="K26"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G26" i="11"/>
  <c r="AA5" i="11"/>
  <c r="AB5" i="11"/>
  <c r="AC5" i="11"/>
  <c r="AD5" i="11"/>
  <c r="AE5" i="11"/>
  <c r="AF5" i="11"/>
  <c r="AG5" i="11"/>
  <c r="AH5" i="11"/>
  <c r="AI5" i="11"/>
  <c r="AJ5" i="11"/>
  <c r="H27" i="11" l="1"/>
  <c r="I7" i="11"/>
  <c r="J7" i="11" s="1"/>
  <c r="K7" i="11" s="1"/>
  <c r="L7" i="11" s="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J33" i="11"/>
  <c r="I41" i="11"/>
  <c r="H43" i="11"/>
  <c r="I34" i="11"/>
  <c r="I43" i="11" s="1"/>
  <c r="G9" i="7"/>
  <c r="T33" i="7"/>
  <c r="H21" i="11"/>
  <c r="I21" i="11"/>
  <c r="J21" i="11"/>
  <c r="K21"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G21" i="11"/>
  <c r="Q182" i="11"/>
  <c r="R182" i="11"/>
  <c r="S182" i="11"/>
  <c r="T182" i="11"/>
  <c r="U182" i="11"/>
  <c r="V182" i="11"/>
  <c r="W182" i="11"/>
  <c r="X182" i="11"/>
  <c r="Y182" i="11"/>
  <c r="Z182" i="11"/>
  <c r="AA182" i="11"/>
  <c r="AB182" i="11"/>
  <c r="AC182" i="11"/>
  <c r="AD182" i="11"/>
  <c r="AE182" i="11"/>
  <c r="AF182" i="11"/>
  <c r="AG182" i="11"/>
  <c r="AH182" i="11"/>
  <c r="AI182" i="11"/>
  <c r="AJ182" i="11"/>
  <c r="H181" i="11"/>
  <c r="I181" i="11"/>
  <c r="J181" i="11"/>
  <c r="K181" i="11"/>
  <c r="L181" i="11"/>
  <c r="M181" i="11"/>
  <c r="N181" i="11"/>
  <c r="O181" i="11"/>
  <c r="P181" i="11"/>
  <c r="Q181" i="11"/>
  <c r="R181" i="11"/>
  <c r="S181" i="11"/>
  <c r="T181" i="11"/>
  <c r="U181" i="11"/>
  <c r="V181" i="11"/>
  <c r="W181" i="11"/>
  <c r="X181" i="11"/>
  <c r="Y181" i="11"/>
  <c r="Z181" i="11"/>
  <c r="AA181" i="11"/>
  <c r="AB181" i="11"/>
  <c r="AC181" i="11"/>
  <c r="AD181" i="11"/>
  <c r="AE181" i="11"/>
  <c r="AF181" i="11"/>
  <c r="AG181" i="11"/>
  <c r="AH181" i="11"/>
  <c r="AI181" i="11"/>
  <c r="AJ181" i="11"/>
  <c r="K33" i="11" l="1"/>
  <c r="J41" i="11"/>
  <c r="I27" i="11"/>
  <c r="I42" i="11"/>
  <c r="J34" i="11"/>
  <c r="J43" i="11" s="1"/>
  <c r="G11" i="7"/>
  <c r="G16" i="7" s="1"/>
  <c r="D24" i="9" s="1"/>
  <c r="D19" i="9"/>
  <c r="G80" i="7"/>
  <c r="L33" i="11" l="1"/>
  <c r="K41" i="11"/>
  <c r="G5" i="11"/>
  <c r="G6" i="11" s="1"/>
  <c r="G28" i="11" s="1"/>
  <c r="J27" i="11"/>
  <c r="K34" i="11"/>
  <c r="K43" i="11" s="1"/>
  <c r="J42" i="11"/>
  <c r="H196" i="11"/>
  <c r="I196" i="11"/>
  <c r="J196" i="11"/>
  <c r="K196" i="11"/>
  <c r="L196" i="11"/>
  <c r="M196" i="11"/>
  <c r="N196" i="11"/>
  <c r="O196" i="11"/>
  <c r="P196" i="11"/>
  <c r="Q196" i="11"/>
  <c r="R196" i="11"/>
  <c r="S196" i="11"/>
  <c r="T196" i="11"/>
  <c r="U196" i="11"/>
  <c r="V196" i="11"/>
  <c r="W196" i="11"/>
  <c r="X196" i="11"/>
  <c r="Y196" i="11"/>
  <c r="Z196" i="11"/>
  <c r="AA196" i="11"/>
  <c r="AB196" i="11"/>
  <c r="AC196" i="11"/>
  <c r="AD196" i="11"/>
  <c r="AE196" i="11"/>
  <c r="AF196" i="11"/>
  <c r="AG196" i="11"/>
  <c r="AH196" i="11"/>
  <c r="AI196" i="11"/>
  <c r="AJ196" i="11"/>
  <c r="G196" i="11"/>
  <c r="M33" i="11" l="1"/>
  <c r="L41" i="11"/>
  <c r="K27" i="11"/>
  <c r="L34" i="11"/>
  <c r="L43" i="11" s="1"/>
  <c r="K42" i="11"/>
  <c r="G23" i="11"/>
  <c r="R54" i="7"/>
  <c r="R52" i="7"/>
  <c r="D57" i="9"/>
  <c r="N33" i="11" l="1"/>
  <c r="M41" i="11"/>
  <c r="L27" i="11"/>
  <c r="M34" i="11"/>
  <c r="M43" i="11" s="1"/>
  <c r="L42" i="11"/>
  <c r="D27" i="9"/>
  <c r="D25" i="9"/>
  <c r="D54" i="9"/>
  <c r="D55" i="9" s="1"/>
  <c r="O33" i="11" l="1"/>
  <c r="N41" i="11"/>
  <c r="M27" i="11"/>
  <c r="N34" i="11"/>
  <c r="N43" i="11" s="1"/>
  <c r="M42" i="11"/>
  <c r="N35" i="7"/>
  <c r="V53" i="11"/>
  <c r="W53" i="11"/>
  <c r="X53" i="11"/>
  <c r="Y53" i="11"/>
  <c r="Z53" i="11"/>
  <c r="AA53" i="11"/>
  <c r="AB53" i="11"/>
  <c r="AC53" i="11"/>
  <c r="AD53" i="11"/>
  <c r="AE53" i="11"/>
  <c r="AF53" i="11"/>
  <c r="AG53" i="11"/>
  <c r="AH53" i="11"/>
  <c r="AI53" i="11"/>
  <c r="AJ53" i="11"/>
  <c r="H216" i="11"/>
  <c r="I216" i="11"/>
  <c r="J216" i="11"/>
  <c r="K216" i="11"/>
  <c r="L216" i="11"/>
  <c r="M216" i="11"/>
  <c r="N216" i="11"/>
  <c r="O216" i="11"/>
  <c r="AA216" i="11"/>
  <c r="AB216" i="11"/>
  <c r="AC216" i="11"/>
  <c r="AD216" i="11"/>
  <c r="AE216" i="11"/>
  <c r="AF216" i="11"/>
  <c r="AG216" i="11"/>
  <c r="AH216" i="11"/>
  <c r="AI216" i="11"/>
  <c r="AJ216" i="11"/>
  <c r="G216" i="11"/>
  <c r="H215" i="11"/>
  <c r="I215" i="11"/>
  <c r="J215" i="11"/>
  <c r="V215" i="11"/>
  <c r="W215" i="11"/>
  <c r="X215" i="11"/>
  <c r="Y215" i="11"/>
  <c r="Z215" i="11"/>
  <c r="AA215" i="11"/>
  <c r="AB215" i="11"/>
  <c r="AC215" i="11"/>
  <c r="AD215" i="11"/>
  <c r="AE215" i="11"/>
  <c r="AF215" i="11"/>
  <c r="AG215" i="11"/>
  <c r="AH215" i="11"/>
  <c r="AI215" i="11"/>
  <c r="AJ215" i="11"/>
  <c r="G215" i="11"/>
  <c r="N213" i="11"/>
  <c r="O213" i="11"/>
  <c r="P213" i="11"/>
  <c r="Q213" i="11"/>
  <c r="R213" i="11"/>
  <c r="S213" i="11"/>
  <c r="T213" i="11"/>
  <c r="U213" i="11"/>
  <c r="V213" i="11"/>
  <c r="W213" i="11"/>
  <c r="X213" i="11"/>
  <c r="Y213" i="11"/>
  <c r="Z213" i="11"/>
  <c r="AA213" i="11"/>
  <c r="AB213" i="11"/>
  <c r="AC213" i="11"/>
  <c r="AD213" i="11"/>
  <c r="AE213" i="11"/>
  <c r="AF213" i="11"/>
  <c r="AG213" i="11"/>
  <c r="AH213" i="11"/>
  <c r="AI213" i="11"/>
  <c r="AJ213" i="11"/>
  <c r="H214" i="11"/>
  <c r="I214" i="11"/>
  <c r="U214" i="11"/>
  <c r="V214" i="11"/>
  <c r="W214" i="11"/>
  <c r="X214" i="11"/>
  <c r="Y214" i="11"/>
  <c r="Z214" i="11"/>
  <c r="AA214" i="11"/>
  <c r="AB214" i="11"/>
  <c r="AC214" i="11"/>
  <c r="AD214" i="11"/>
  <c r="AE214" i="11"/>
  <c r="AF214" i="11"/>
  <c r="AG214" i="11"/>
  <c r="AH214" i="11"/>
  <c r="AI214" i="11"/>
  <c r="AJ214" i="11"/>
  <c r="G214" i="11"/>
  <c r="H150" i="11"/>
  <c r="I150" i="11"/>
  <c r="J150" i="11"/>
  <c r="K150" i="11"/>
  <c r="L150" i="11"/>
  <c r="M150" i="11"/>
  <c r="N150" i="11"/>
  <c r="O150" i="11"/>
  <c r="P150" i="11"/>
  <c r="Q150" i="11"/>
  <c r="R150" i="11"/>
  <c r="S150" i="11"/>
  <c r="T150" i="11"/>
  <c r="U150" i="11"/>
  <c r="V150" i="11"/>
  <c r="W150" i="11"/>
  <c r="X150" i="11"/>
  <c r="Y150" i="11"/>
  <c r="AA150" i="11"/>
  <c r="AB150" i="11"/>
  <c r="AC150" i="11"/>
  <c r="AD150" i="11"/>
  <c r="AE150" i="11"/>
  <c r="AF150" i="11"/>
  <c r="AG150" i="11"/>
  <c r="AH150" i="11"/>
  <c r="AI150" i="11"/>
  <c r="AJ150" i="11"/>
  <c r="H147" i="11"/>
  <c r="I147" i="11"/>
  <c r="J147" i="11"/>
  <c r="K147" i="11"/>
  <c r="L147" i="11"/>
  <c r="M147" i="11"/>
  <c r="N147" i="11"/>
  <c r="O147" i="11"/>
  <c r="P147" i="11"/>
  <c r="Q147" i="11"/>
  <c r="R147" i="11"/>
  <c r="S147" i="11"/>
  <c r="T147" i="11"/>
  <c r="V147" i="11"/>
  <c r="W147" i="11"/>
  <c r="X147" i="11"/>
  <c r="Y147" i="11"/>
  <c r="Z147" i="11"/>
  <c r="AA147" i="11"/>
  <c r="AB147" i="11"/>
  <c r="AC147" i="11"/>
  <c r="AD147" i="11"/>
  <c r="AE147" i="11"/>
  <c r="AF147" i="11"/>
  <c r="AG147" i="11"/>
  <c r="AH147" i="11"/>
  <c r="AI147" i="11"/>
  <c r="AJ147" i="11"/>
  <c r="G150" i="11"/>
  <c r="G151" i="11" s="1"/>
  <c r="G152" i="11" s="1"/>
  <c r="G147" i="11"/>
  <c r="G148" i="11" s="1"/>
  <c r="G149" i="11" s="1"/>
  <c r="E150" i="11"/>
  <c r="Z150" i="11" s="1"/>
  <c r="E147" i="11"/>
  <c r="U147" i="11" s="1"/>
  <c r="E144" i="11"/>
  <c r="J214" i="11" s="1"/>
  <c r="P71" i="7"/>
  <c r="P69" i="7"/>
  <c r="P67" i="7"/>
  <c r="P65" i="7"/>
  <c r="N70" i="7"/>
  <c r="N68" i="7"/>
  <c r="N66" i="7"/>
  <c r="P33" i="11" l="1"/>
  <c r="O41" i="11"/>
  <c r="N27" i="11"/>
  <c r="O34" i="11"/>
  <c r="O43" i="11" s="1"/>
  <c r="N42" i="11"/>
  <c r="S214" i="11"/>
  <c r="Q214" i="11"/>
  <c r="O214" i="11"/>
  <c r="M214" i="11"/>
  <c r="K214" i="11"/>
  <c r="T214" i="11"/>
  <c r="R214" i="11"/>
  <c r="P214" i="11"/>
  <c r="N214" i="11"/>
  <c r="L214" i="11"/>
  <c r="Z216" i="11"/>
  <c r="X216" i="11"/>
  <c r="V216" i="11"/>
  <c r="T216" i="11"/>
  <c r="R216" i="11"/>
  <c r="P216" i="11"/>
  <c r="Y216" i="11"/>
  <c r="W216" i="11"/>
  <c r="U216" i="11"/>
  <c r="S216" i="11"/>
  <c r="Q216" i="11"/>
  <c r="T215" i="11"/>
  <c r="R215" i="11"/>
  <c r="P215" i="11"/>
  <c r="N215" i="11"/>
  <c r="L215" i="11"/>
  <c r="U215" i="11"/>
  <c r="S215" i="11"/>
  <c r="Q215" i="11"/>
  <c r="O215" i="11"/>
  <c r="M215" i="11"/>
  <c r="K215" i="11"/>
  <c r="H148" i="11"/>
  <c r="H149" i="11" s="1"/>
  <c r="H151" i="11"/>
  <c r="H152" i="11" s="1"/>
  <c r="L195" i="11"/>
  <c r="M195" i="11"/>
  <c r="N195" i="11"/>
  <c r="O195" i="11"/>
  <c r="P195" i="11"/>
  <c r="Q195" i="11"/>
  <c r="R195" i="11"/>
  <c r="S195" i="11"/>
  <c r="T195" i="11"/>
  <c r="U195" i="11"/>
  <c r="V195" i="11"/>
  <c r="W195" i="11"/>
  <c r="X195" i="11"/>
  <c r="Y195" i="11"/>
  <c r="Z195" i="11"/>
  <c r="AA195" i="11"/>
  <c r="AB195" i="11"/>
  <c r="AC195" i="11"/>
  <c r="AD195" i="11"/>
  <c r="AE195" i="11"/>
  <c r="AF195" i="11"/>
  <c r="AG195" i="11"/>
  <c r="AH195" i="11"/>
  <c r="AI195" i="11"/>
  <c r="AJ195" i="11"/>
  <c r="I148" i="11" l="1"/>
  <c r="J148" i="11" s="1"/>
  <c r="Q33" i="11"/>
  <c r="P41" i="11"/>
  <c r="O27" i="11"/>
  <c r="P34" i="11"/>
  <c r="P43" i="11" s="1"/>
  <c r="O42" i="11"/>
  <c r="I151" i="11"/>
  <c r="J151" i="11" s="1"/>
  <c r="AA45" i="11"/>
  <c r="AB45" i="11"/>
  <c r="AC45" i="11"/>
  <c r="AD45" i="11"/>
  <c r="AE45" i="11"/>
  <c r="AF45" i="11"/>
  <c r="AG45" i="11"/>
  <c r="AH45" i="11"/>
  <c r="AI45" i="11"/>
  <c r="AJ45" i="11"/>
  <c r="G45" i="11"/>
  <c r="R48" i="7"/>
  <c r="E141" i="11"/>
  <c r="Q23" i="11"/>
  <c r="R23" i="11"/>
  <c r="S23" i="11"/>
  <c r="T23" i="11"/>
  <c r="U23" i="11"/>
  <c r="V23" i="11"/>
  <c r="W23" i="11"/>
  <c r="X23" i="11"/>
  <c r="Y23" i="11"/>
  <c r="Z23" i="11"/>
  <c r="AA23" i="11"/>
  <c r="AB23" i="11"/>
  <c r="AC23" i="11"/>
  <c r="AD23" i="11"/>
  <c r="AE23" i="11"/>
  <c r="AF23" i="11"/>
  <c r="AG23" i="11"/>
  <c r="AH23" i="11"/>
  <c r="AI23" i="11"/>
  <c r="AJ23" i="11"/>
  <c r="I149" i="11" l="1"/>
  <c r="R33" i="11"/>
  <c r="Q41" i="11"/>
  <c r="P27" i="11"/>
  <c r="Q34" i="11"/>
  <c r="Q43" i="11" s="1"/>
  <c r="P42" i="11"/>
  <c r="I152" i="11"/>
  <c r="I213" i="11"/>
  <c r="K213" i="11"/>
  <c r="M213" i="11"/>
  <c r="G213" i="11"/>
  <c r="H213" i="11"/>
  <c r="J213" i="11"/>
  <c r="L213" i="11"/>
  <c r="K151" i="11"/>
  <c r="J152" i="11"/>
  <c r="K148" i="11"/>
  <c r="J149" i="11"/>
  <c r="AF37" i="11"/>
  <c r="AG37" i="11"/>
  <c r="AH37" i="11"/>
  <c r="AI37" i="11"/>
  <c r="AJ37" i="11"/>
  <c r="G37" i="11"/>
  <c r="C18" i="9"/>
  <c r="S33" i="11" l="1"/>
  <c r="R41" i="11"/>
  <c r="Q27" i="11"/>
  <c r="R34" i="11"/>
  <c r="R43" i="11" s="1"/>
  <c r="Q42" i="11"/>
  <c r="L148" i="11"/>
  <c r="K149" i="11"/>
  <c r="L151" i="11"/>
  <c r="K152" i="11"/>
  <c r="D18" i="9"/>
  <c r="T33" i="11" l="1"/>
  <c r="S41" i="11"/>
  <c r="R27" i="11"/>
  <c r="S34" i="11"/>
  <c r="S43" i="11" s="1"/>
  <c r="R42" i="11"/>
  <c r="M151" i="11"/>
  <c r="L152" i="11"/>
  <c r="M148" i="11"/>
  <c r="L149" i="11"/>
  <c r="D18" i="7"/>
  <c r="U33" i="11" l="1"/>
  <c r="T41" i="11"/>
  <c r="S27" i="11"/>
  <c r="T34" i="11"/>
  <c r="T43" i="11" s="1"/>
  <c r="S42" i="11"/>
  <c r="N148" i="11"/>
  <c r="M149" i="11"/>
  <c r="N151" i="11"/>
  <c r="M152" i="11"/>
  <c r="T27" i="7"/>
  <c r="V33" i="11" l="1"/>
  <c r="U41" i="11"/>
  <c r="T27" i="11"/>
  <c r="U34" i="11"/>
  <c r="U43" i="11" s="1"/>
  <c r="T42" i="11"/>
  <c r="O151" i="11"/>
  <c r="N152" i="11"/>
  <c r="O148" i="11"/>
  <c r="N149" i="11"/>
  <c r="L94" i="7"/>
  <c r="L95" i="7"/>
  <c r="L96" i="7"/>
  <c r="L97" i="7"/>
  <c r="L92" i="7"/>
  <c r="O93" i="7"/>
  <c r="O94" i="7"/>
  <c r="O95" i="7"/>
  <c r="O96" i="7"/>
  <c r="O97" i="7"/>
  <c r="O92" i="7"/>
  <c r="N64" i="7"/>
  <c r="N57" i="7"/>
  <c r="N56" i="7"/>
  <c r="N50" i="7"/>
  <c r="N49" i="7"/>
  <c r="N48" i="7"/>
  <c r="N40" i="7"/>
  <c r="N41" i="7"/>
  <c r="N36" i="7"/>
  <c r="N29" i="7"/>
  <c r="N28" i="7"/>
  <c r="D87" i="7"/>
  <c r="D85" i="7"/>
  <c r="D73" i="7"/>
  <c r="D65" i="7"/>
  <c r="D64" i="7"/>
  <c r="D63" i="7"/>
  <c r="D62" i="7"/>
  <c r="W33" i="11" l="1"/>
  <c r="V41" i="11"/>
  <c r="U27" i="11"/>
  <c r="V34" i="11"/>
  <c r="V43" i="11" s="1"/>
  <c r="U42" i="11"/>
  <c r="P148" i="11"/>
  <c r="O149" i="11"/>
  <c r="P151" i="11"/>
  <c r="O152" i="11"/>
  <c r="N22" i="7"/>
  <c r="D17" i="7"/>
  <c r="X33" i="11" l="1"/>
  <c r="W41" i="11"/>
  <c r="V27" i="11"/>
  <c r="W34" i="11"/>
  <c r="W43" i="11" s="1"/>
  <c r="V42" i="11"/>
  <c r="Q151" i="11"/>
  <c r="P152" i="11"/>
  <c r="Q148" i="11"/>
  <c r="P149" i="11"/>
  <c r="G72" i="7"/>
  <c r="Y33" i="11" l="1"/>
  <c r="X41" i="11"/>
  <c r="W27" i="11"/>
  <c r="X34" i="11"/>
  <c r="X43" i="11" s="1"/>
  <c r="W42" i="11"/>
  <c r="R148" i="11"/>
  <c r="Q149" i="11"/>
  <c r="R151" i="11"/>
  <c r="Q152" i="11"/>
  <c r="L98" i="7"/>
  <c r="L93" i="7"/>
  <c r="Z33" i="11" l="1"/>
  <c r="Y41" i="11"/>
  <c r="X27" i="11"/>
  <c r="Y34" i="11"/>
  <c r="Y43" i="11" s="1"/>
  <c r="X42" i="11"/>
  <c r="S151" i="11"/>
  <c r="R152" i="11"/>
  <c r="S148" i="11"/>
  <c r="R149" i="11"/>
  <c r="D51" i="9"/>
  <c r="D52" i="9" s="1"/>
  <c r="T29" i="7"/>
  <c r="T28" i="7"/>
  <c r="T30" i="7"/>
  <c r="F73" i="11"/>
  <c r="AA33" i="11" l="1"/>
  <c r="AB33" i="11" s="1"/>
  <c r="AC33" i="11" s="1"/>
  <c r="AD33" i="11" s="1"/>
  <c r="AE33" i="11" s="1"/>
  <c r="AF33" i="11" s="1"/>
  <c r="AG33" i="11" s="1"/>
  <c r="AH33" i="11" s="1"/>
  <c r="AI33" i="11" s="1"/>
  <c r="AJ33" i="11" s="1"/>
  <c r="Z41" i="11"/>
  <c r="Y27" i="11"/>
  <c r="Z34" i="11"/>
  <c r="Z43" i="11" s="1"/>
  <c r="Y42" i="11"/>
  <c r="T148" i="11"/>
  <c r="S149" i="11"/>
  <c r="T151" i="11"/>
  <c r="S152" i="11"/>
  <c r="Q228" i="11"/>
  <c r="Q229" i="11"/>
  <c r="Q230" i="11"/>
  <c r="Q231" i="11"/>
  <c r="Q232" i="11"/>
  <c r="Q233" i="11"/>
  <c r="Q234" i="11"/>
  <c r="Q235" i="11"/>
  <c r="Q236" i="11"/>
  <c r="Q227" i="11"/>
  <c r="P228" i="11"/>
  <c r="P229" i="11"/>
  <c r="P230" i="11"/>
  <c r="P231" i="11"/>
  <c r="P232" i="11"/>
  <c r="P233" i="11"/>
  <c r="P234" i="11"/>
  <c r="P235" i="11"/>
  <c r="P236" i="11"/>
  <c r="P227" i="11"/>
  <c r="M227" i="11"/>
  <c r="M228" i="11"/>
  <c r="M229" i="11"/>
  <c r="M230" i="11"/>
  <c r="M231" i="11"/>
  <c r="M232" i="11"/>
  <c r="M233" i="11"/>
  <c r="M234" i="11"/>
  <c r="M235" i="11"/>
  <c r="M236" i="11"/>
  <c r="L227" i="11"/>
  <c r="L228" i="11"/>
  <c r="L229" i="11"/>
  <c r="L230" i="11"/>
  <c r="L231" i="11"/>
  <c r="L232" i="11"/>
  <c r="L233" i="11"/>
  <c r="L234" i="11"/>
  <c r="L235" i="11"/>
  <c r="L236" i="11"/>
  <c r="I227" i="11"/>
  <c r="I228" i="11"/>
  <c r="I229" i="11"/>
  <c r="I230" i="11"/>
  <c r="I231" i="11"/>
  <c r="I232" i="11"/>
  <c r="I233" i="11"/>
  <c r="I234" i="11"/>
  <c r="I235" i="11"/>
  <c r="I236" i="11"/>
  <c r="H227" i="11"/>
  <c r="H228" i="11"/>
  <c r="H229" i="11"/>
  <c r="H230" i="11"/>
  <c r="H231" i="11"/>
  <c r="H232" i="11"/>
  <c r="H233" i="11"/>
  <c r="H234" i="11"/>
  <c r="H235" i="11"/>
  <c r="H236" i="11"/>
  <c r="F16" i="11"/>
  <c r="F15" i="11" s="1"/>
  <c r="C129" i="12"/>
  <c r="G19" i="11"/>
  <c r="H19" i="11" s="1"/>
  <c r="I19" i="11" s="1"/>
  <c r="J19" i="11" s="1"/>
  <c r="K19" i="11" s="1"/>
  <c r="L19" i="11" s="1"/>
  <c r="M19" i="11" s="1"/>
  <c r="N19" i="11" s="1"/>
  <c r="O19" i="11" s="1"/>
  <c r="P19" i="11" s="1"/>
  <c r="Q19" i="11" s="1"/>
  <c r="R19" i="11" s="1"/>
  <c r="S19" i="11" s="1"/>
  <c r="T19" i="11" s="1"/>
  <c r="U19" i="11" s="1"/>
  <c r="V19" i="11" s="1"/>
  <c r="W19" i="11" s="1"/>
  <c r="X19" i="11" s="1"/>
  <c r="Y19" i="11" s="1"/>
  <c r="Z19" i="11" s="1"/>
  <c r="AA19" i="11" s="1"/>
  <c r="AB19" i="11" s="1"/>
  <c r="AC19" i="11" s="1"/>
  <c r="AD19" i="11" s="1"/>
  <c r="AE19" i="11" s="1"/>
  <c r="AF19" i="11" s="1"/>
  <c r="AG19" i="11" s="1"/>
  <c r="AH19" i="11" s="1"/>
  <c r="AI19" i="11" s="1"/>
  <c r="AJ19" i="11" s="1"/>
  <c r="G44" i="11"/>
  <c r="H44" i="11" s="1"/>
  <c r="I44" i="11" s="1"/>
  <c r="J44" i="11" s="1"/>
  <c r="K44" i="11" s="1"/>
  <c r="L44" i="11" s="1"/>
  <c r="M44" i="11" s="1"/>
  <c r="N44" i="11" s="1"/>
  <c r="O44" i="11" s="1"/>
  <c r="P44" i="11" s="1"/>
  <c r="Q44" i="11" s="1"/>
  <c r="R44" i="11" s="1"/>
  <c r="S44" i="11" s="1"/>
  <c r="T44" i="11" s="1"/>
  <c r="U44" i="11" s="1"/>
  <c r="V44" i="11" s="1"/>
  <c r="W44" i="11" s="1"/>
  <c r="X44" i="11" s="1"/>
  <c r="Y44" i="11" s="1"/>
  <c r="Z44" i="11" s="1"/>
  <c r="AA44" i="11" s="1"/>
  <c r="AB44" i="11" s="1"/>
  <c r="AC44" i="11" s="1"/>
  <c r="AD44" i="11" s="1"/>
  <c r="AE44" i="11" s="1"/>
  <c r="AF44" i="11" s="1"/>
  <c r="AG44" i="11" s="1"/>
  <c r="AH44" i="11" s="1"/>
  <c r="AI44" i="11" s="1"/>
  <c r="AJ44" i="11" s="1"/>
  <c r="Z27" i="11" l="1"/>
  <c r="AA34" i="11"/>
  <c r="AB34" i="11" s="1"/>
  <c r="AC34" i="11" s="1"/>
  <c r="AD34" i="11" s="1"/>
  <c r="AE34" i="11" s="1"/>
  <c r="AF34" i="11" s="1"/>
  <c r="AG34" i="11" s="1"/>
  <c r="AH34" i="11" s="1"/>
  <c r="AI34" i="11" s="1"/>
  <c r="AJ34" i="11" s="1"/>
  <c r="Z42" i="11"/>
  <c r="U151" i="11"/>
  <c r="T152" i="11"/>
  <c r="U148" i="11"/>
  <c r="T149" i="11"/>
  <c r="J226" i="11"/>
  <c r="J227" i="11" s="1"/>
  <c r="J228" i="11" s="1"/>
  <c r="J229" i="11" s="1"/>
  <c r="J230" i="11" s="1"/>
  <c r="J231" i="11" s="1"/>
  <c r="J232" i="11" s="1"/>
  <c r="J233" i="11" s="1"/>
  <c r="J234" i="11" s="1"/>
  <c r="J235" i="11" s="1"/>
  <c r="B201" i="11"/>
  <c r="B187" i="11"/>
  <c r="F72" i="11"/>
  <c r="D8" i="9"/>
  <c r="V148" i="11" l="1"/>
  <c r="U149" i="11"/>
  <c r="V151" i="11"/>
  <c r="U152" i="11"/>
  <c r="AI184" i="11"/>
  <c r="AI77" i="11" s="1"/>
  <c r="AG184" i="11"/>
  <c r="AG77" i="11" s="1"/>
  <c r="AE184" i="11"/>
  <c r="AE77" i="11" s="1"/>
  <c r="AC184" i="11"/>
  <c r="AC77" i="11" s="1"/>
  <c r="AA184" i="11"/>
  <c r="AA77" i="11" s="1"/>
  <c r="Y184" i="11"/>
  <c r="Y77" i="11" s="1"/>
  <c r="W184" i="11"/>
  <c r="W77" i="11" s="1"/>
  <c r="U184" i="11"/>
  <c r="U77" i="11" s="1"/>
  <c r="S184" i="11"/>
  <c r="S77" i="11" s="1"/>
  <c r="AJ198" i="11"/>
  <c r="AH198" i="11"/>
  <c r="AF198" i="11"/>
  <c r="AD198" i="11"/>
  <c r="AB198" i="11"/>
  <c r="Z198" i="11"/>
  <c r="X198" i="11"/>
  <c r="V198" i="11"/>
  <c r="T198" i="11"/>
  <c r="R198" i="11"/>
  <c r="AI198" i="11"/>
  <c r="AG198" i="11"/>
  <c r="AE198" i="11"/>
  <c r="AC198" i="11"/>
  <c r="AA198" i="11"/>
  <c r="Y198" i="11"/>
  <c r="W198" i="11"/>
  <c r="U198" i="11"/>
  <c r="S198" i="11"/>
  <c r="Q198" i="11"/>
  <c r="Q184" i="11"/>
  <c r="Q77" i="11" s="1"/>
  <c r="AJ184" i="11"/>
  <c r="AJ77" i="11" s="1"/>
  <c r="AH184" i="11"/>
  <c r="AH77" i="11" s="1"/>
  <c r="AF184" i="11"/>
  <c r="AF77" i="11" s="1"/>
  <c r="AD184" i="11"/>
  <c r="AD77" i="11" s="1"/>
  <c r="AB184" i="11"/>
  <c r="AB77" i="11" s="1"/>
  <c r="Z184" i="11"/>
  <c r="Z77" i="11" s="1"/>
  <c r="X184" i="11"/>
  <c r="X77" i="11" s="1"/>
  <c r="V184" i="11"/>
  <c r="V77" i="11" s="1"/>
  <c r="T184" i="11"/>
  <c r="T77" i="11" s="1"/>
  <c r="R184" i="11"/>
  <c r="R77" i="11" s="1"/>
  <c r="H217" i="11"/>
  <c r="H60" i="11" s="1"/>
  <c r="I217" i="11"/>
  <c r="I60" i="11" s="1"/>
  <c r="J217" i="11"/>
  <c r="J60" i="11" s="1"/>
  <c r="K217" i="11"/>
  <c r="K60" i="11" s="1"/>
  <c r="L217" i="11"/>
  <c r="L60" i="11" s="1"/>
  <c r="M217" i="11"/>
  <c r="M60" i="11" s="1"/>
  <c r="N217" i="11"/>
  <c r="N60" i="11" s="1"/>
  <c r="O217" i="11"/>
  <c r="O60" i="11" s="1"/>
  <c r="P217" i="11"/>
  <c r="P60" i="11" s="1"/>
  <c r="Q217" i="11"/>
  <c r="Q60" i="11" s="1"/>
  <c r="R217" i="11"/>
  <c r="R60" i="11" s="1"/>
  <c r="S217" i="11"/>
  <c r="S60" i="11" s="1"/>
  <c r="T217" i="11"/>
  <c r="T60" i="11" s="1"/>
  <c r="U217" i="11"/>
  <c r="U60" i="11" s="1"/>
  <c r="V217" i="11"/>
  <c r="V60" i="11" s="1"/>
  <c r="W217" i="11"/>
  <c r="W60" i="11" s="1"/>
  <c r="X217" i="11"/>
  <c r="X60" i="11" s="1"/>
  <c r="Y217" i="11"/>
  <c r="Y60" i="11" s="1"/>
  <c r="Z217" i="11"/>
  <c r="Z60" i="11" s="1"/>
  <c r="AA217" i="11"/>
  <c r="AA60" i="11" s="1"/>
  <c r="AB217" i="11"/>
  <c r="AB60" i="11" s="1"/>
  <c r="AC217" i="11"/>
  <c r="AC60" i="11" s="1"/>
  <c r="AD217" i="11"/>
  <c r="AD60" i="11" s="1"/>
  <c r="AE217" i="11"/>
  <c r="AE60" i="11" s="1"/>
  <c r="AF217" i="11"/>
  <c r="AF60" i="11" s="1"/>
  <c r="AG217" i="11"/>
  <c r="AG60" i="11" s="1"/>
  <c r="AH217" i="11"/>
  <c r="AH60" i="11" s="1"/>
  <c r="AI217" i="11"/>
  <c r="AI60" i="11" s="1"/>
  <c r="AJ217" i="11"/>
  <c r="AJ60" i="11" s="1"/>
  <c r="G217" i="11"/>
  <c r="G60" i="11" s="1"/>
  <c r="H212" i="11"/>
  <c r="I212" i="11"/>
  <c r="J212" i="11"/>
  <c r="K212" i="11"/>
  <c r="L212" i="11"/>
  <c r="M212" i="11"/>
  <c r="N212" i="11"/>
  <c r="O212" i="11"/>
  <c r="P212" i="11"/>
  <c r="Q212" i="11"/>
  <c r="R212" i="11"/>
  <c r="S212" i="11"/>
  <c r="T212" i="11"/>
  <c r="U212" i="11"/>
  <c r="V212" i="11"/>
  <c r="W212" i="11"/>
  <c r="X212" i="11"/>
  <c r="Y212" i="11"/>
  <c r="AA212" i="11"/>
  <c r="AB212" i="11"/>
  <c r="AC212" i="11"/>
  <c r="AF212" i="11"/>
  <c r="AG212" i="11"/>
  <c r="AH212" i="11"/>
  <c r="AI212" i="11"/>
  <c r="I211" i="11"/>
  <c r="J211" i="11"/>
  <c r="K211" i="11"/>
  <c r="L211" i="11"/>
  <c r="M211" i="11"/>
  <c r="N211" i="11"/>
  <c r="O211" i="11"/>
  <c r="P211" i="11"/>
  <c r="Q211" i="11"/>
  <c r="R211" i="11"/>
  <c r="S211" i="11"/>
  <c r="U211" i="11"/>
  <c r="W211" i="11"/>
  <c r="X211" i="11"/>
  <c r="Z211" i="11"/>
  <c r="AB211" i="11"/>
  <c r="AC211" i="11"/>
  <c r="AD211" i="11"/>
  <c r="AE211" i="11"/>
  <c r="AH211" i="11"/>
  <c r="AI211" i="11"/>
  <c r="AJ211" i="11"/>
  <c r="G40" i="11"/>
  <c r="H20" i="11"/>
  <c r="I20" i="11"/>
  <c r="J20" i="11"/>
  <c r="K20" i="11"/>
  <c r="L20" i="11"/>
  <c r="M20" i="11"/>
  <c r="N20" i="11"/>
  <c r="O20" i="11"/>
  <c r="P20" i="11"/>
  <c r="Q20" i="11"/>
  <c r="R20" i="11"/>
  <c r="S20" i="11"/>
  <c r="T20" i="11"/>
  <c r="U20" i="11"/>
  <c r="G20" i="11"/>
  <c r="O30" i="7"/>
  <c r="G120" i="12"/>
  <c r="H120" i="12"/>
  <c r="I120" i="12"/>
  <c r="J120" i="12"/>
  <c r="K120" i="12"/>
  <c r="M120" i="12"/>
  <c r="G119" i="12"/>
  <c r="H119" i="12"/>
  <c r="I119" i="12"/>
  <c r="J119" i="12"/>
  <c r="K119" i="12"/>
  <c r="L119" i="12"/>
  <c r="M119" i="12"/>
  <c r="N119" i="12"/>
  <c r="G118" i="12"/>
  <c r="H118" i="12"/>
  <c r="I118" i="12"/>
  <c r="J118" i="12"/>
  <c r="K118" i="12"/>
  <c r="L118" i="12"/>
  <c r="M118" i="12"/>
  <c r="N118" i="12"/>
  <c r="G117" i="12"/>
  <c r="H117" i="12"/>
  <c r="I117" i="12"/>
  <c r="J117" i="12"/>
  <c r="K117" i="12"/>
  <c r="L117" i="12"/>
  <c r="M117" i="12"/>
  <c r="N117" i="12"/>
  <c r="G116" i="12"/>
  <c r="H116" i="12"/>
  <c r="I116" i="12"/>
  <c r="J116" i="12"/>
  <c r="K116" i="12"/>
  <c r="L116" i="12"/>
  <c r="M116" i="12"/>
  <c r="N116" i="12"/>
  <c r="W151" i="11" l="1"/>
  <c r="V152" i="11"/>
  <c r="W148" i="11"/>
  <c r="V149" i="11"/>
  <c r="K121" i="12"/>
  <c r="I121" i="12"/>
  <c r="G121" i="12"/>
  <c r="M121" i="12"/>
  <c r="J121" i="12"/>
  <c r="H121" i="12"/>
  <c r="D9" i="9"/>
  <c r="X148" i="11" l="1"/>
  <c r="W149" i="11"/>
  <c r="X151" i="11"/>
  <c r="W152" i="11"/>
  <c r="C123" i="12"/>
  <c r="Y151" i="11" l="1"/>
  <c r="X152" i="11"/>
  <c r="Y148" i="11"/>
  <c r="X149" i="11"/>
  <c r="P35" i="10"/>
  <c r="P33" i="10"/>
  <c r="P36" i="10"/>
  <c r="P34" i="10"/>
  <c r="AI221" i="11"/>
  <c r="AI59" i="11" s="1"/>
  <c r="G35" i="10" s="1"/>
  <c r="AB221" i="11"/>
  <c r="AB59" i="11" s="1"/>
  <c r="G28" i="10" s="1"/>
  <c r="X221" i="11"/>
  <c r="X59" i="11" s="1"/>
  <c r="G24" i="10" s="1"/>
  <c r="R221" i="11"/>
  <c r="R59" i="11" s="1"/>
  <c r="G18" i="10" s="1"/>
  <c r="P221" i="11"/>
  <c r="P59" i="11" s="1"/>
  <c r="G16" i="10" s="1"/>
  <c r="N221" i="11"/>
  <c r="N59" i="11" s="1"/>
  <c r="G14" i="10" s="1"/>
  <c r="L221" i="11"/>
  <c r="L59" i="11" s="1"/>
  <c r="G12" i="10" s="1"/>
  <c r="J221" i="11"/>
  <c r="J59" i="11" s="1"/>
  <c r="G10" i="10" s="1"/>
  <c r="AH221" i="11"/>
  <c r="AH59" i="11" s="1"/>
  <c r="G34" i="10" s="1"/>
  <c r="AC221" i="11"/>
  <c r="AC59" i="11" s="1"/>
  <c r="G29" i="10" s="1"/>
  <c r="W221" i="11"/>
  <c r="W59" i="11" s="1"/>
  <c r="G23" i="10" s="1"/>
  <c r="S221" i="11"/>
  <c r="S59" i="11" s="1"/>
  <c r="G19" i="10" s="1"/>
  <c r="Q221" i="11"/>
  <c r="Q59" i="11" s="1"/>
  <c r="G17" i="10" s="1"/>
  <c r="O221" i="11"/>
  <c r="O59" i="11" s="1"/>
  <c r="G15" i="10" s="1"/>
  <c r="M221" i="11"/>
  <c r="M59" i="11" s="1"/>
  <c r="G13" i="10" s="1"/>
  <c r="K221" i="11"/>
  <c r="K59" i="11" s="1"/>
  <c r="G11" i="10" s="1"/>
  <c r="I221" i="11"/>
  <c r="I59" i="11" s="1"/>
  <c r="G9" i="10" s="1"/>
  <c r="Z148" i="11" l="1"/>
  <c r="Y149" i="11"/>
  <c r="Z151" i="11"/>
  <c r="Y152" i="11"/>
  <c r="B84" i="11"/>
  <c r="F120" i="12"/>
  <c r="F119" i="12"/>
  <c r="F118" i="12"/>
  <c r="F117" i="12"/>
  <c r="F116" i="12"/>
  <c r="C108" i="12"/>
  <c r="C101" i="12"/>
  <c r="D101" i="12" s="1"/>
  <c r="C76" i="12"/>
  <c r="C118" i="12" s="1"/>
  <c r="C51" i="12"/>
  <c r="D51" i="12" s="1"/>
  <c r="C26" i="12"/>
  <c r="H141" i="11"/>
  <c r="I141" i="11"/>
  <c r="J141" i="11"/>
  <c r="K141" i="11"/>
  <c r="L141" i="11"/>
  <c r="M141" i="11"/>
  <c r="N141" i="11"/>
  <c r="O141" i="11"/>
  <c r="Q141" i="11"/>
  <c r="S141" i="11"/>
  <c r="T141" i="11"/>
  <c r="U141" i="11"/>
  <c r="V141" i="11"/>
  <c r="W141" i="11"/>
  <c r="X141" i="11"/>
  <c r="Y141" i="11"/>
  <c r="Z141" i="11"/>
  <c r="AA141" i="11"/>
  <c r="AB141" i="11"/>
  <c r="AC141" i="11"/>
  <c r="AD141" i="11"/>
  <c r="AE141" i="11"/>
  <c r="AF141" i="11"/>
  <c r="AG141" i="11"/>
  <c r="AH141" i="11"/>
  <c r="AI141" i="11"/>
  <c r="AJ141" i="11"/>
  <c r="H144" i="11"/>
  <c r="I144" i="11"/>
  <c r="J144" i="11"/>
  <c r="K144" i="11"/>
  <c r="L144" i="11"/>
  <c r="M144" i="11"/>
  <c r="N144" i="11"/>
  <c r="O144" i="11"/>
  <c r="P144" i="11"/>
  <c r="Q144" i="11"/>
  <c r="R144" i="11"/>
  <c r="S144" i="11"/>
  <c r="T144" i="11"/>
  <c r="U144" i="11"/>
  <c r="V144" i="11"/>
  <c r="W144" i="11"/>
  <c r="X144" i="11"/>
  <c r="Y144" i="11"/>
  <c r="AA144" i="11"/>
  <c r="AB144" i="11"/>
  <c r="AC144" i="11"/>
  <c r="AD144" i="11"/>
  <c r="AE144" i="11"/>
  <c r="AF144" i="11"/>
  <c r="AG144" i="11"/>
  <c r="AH144" i="11"/>
  <c r="AI144" i="11"/>
  <c r="AJ144" i="11"/>
  <c r="G144" i="11"/>
  <c r="G145" i="11" s="1"/>
  <c r="G146" i="11" s="1"/>
  <c r="G141" i="11"/>
  <c r="G142" i="11" s="1"/>
  <c r="Z144" i="11"/>
  <c r="P141" i="11"/>
  <c r="H13" i="11"/>
  <c r="H23" i="11" s="1"/>
  <c r="H12" i="11"/>
  <c r="W116" i="11"/>
  <c r="X116" i="11"/>
  <c r="Y116" i="11"/>
  <c r="Z116" i="11"/>
  <c r="AA116" i="11"/>
  <c r="AB116" i="11"/>
  <c r="AC116" i="11"/>
  <c r="AD116" i="11"/>
  <c r="AE116" i="11"/>
  <c r="AF116" i="11"/>
  <c r="AG116" i="11"/>
  <c r="AH116" i="11"/>
  <c r="AI116" i="11"/>
  <c r="AJ116" i="11"/>
  <c r="M115" i="11"/>
  <c r="N115" i="11"/>
  <c r="O115" i="11"/>
  <c r="P115" i="11"/>
  <c r="Q115" i="11"/>
  <c r="R115" i="11"/>
  <c r="S115" i="11"/>
  <c r="T115" i="11"/>
  <c r="U115" i="11"/>
  <c r="V115" i="11"/>
  <c r="W115" i="11"/>
  <c r="X115" i="11"/>
  <c r="Y115" i="11"/>
  <c r="Z115" i="11"/>
  <c r="AA115" i="11"/>
  <c r="AB115" i="11"/>
  <c r="AC115" i="11"/>
  <c r="AD115" i="11"/>
  <c r="AE115" i="11"/>
  <c r="AF115" i="11"/>
  <c r="AG115" i="11"/>
  <c r="AH115" i="11"/>
  <c r="AI115" i="11"/>
  <c r="AJ115" i="11"/>
  <c r="F93" i="11"/>
  <c r="H32" i="11"/>
  <c r="H38" i="11" s="1"/>
  <c r="H11" i="11"/>
  <c r="H4" i="11"/>
  <c r="H5" i="11" s="1"/>
  <c r="H6" i="11" s="1"/>
  <c r="H28" i="11" s="1"/>
  <c r="F99" i="11"/>
  <c r="AJ117" i="11"/>
  <c r="AI117" i="11"/>
  <c r="AH117" i="11"/>
  <c r="AG117" i="11"/>
  <c r="AF117" i="11"/>
  <c r="AE117" i="11"/>
  <c r="AD117" i="11"/>
  <c r="AC117" i="11"/>
  <c r="AB117" i="11"/>
  <c r="AA151" i="11" l="1"/>
  <c r="Z152" i="11"/>
  <c r="AA148" i="11"/>
  <c r="Z149" i="11"/>
  <c r="H37" i="11"/>
  <c r="H45" i="11"/>
  <c r="I32" i="11"/>
  <c r="I38" i="11" s="1"/>
  <c r="H40" i="11"/>
  <c r="I12" i="11"/>
  <c r="D26" i="12"/>
  <c r="D116" i="12" s="1"/>
  <c r="C107" i="12"/>
  <c r="L120" i="12" s="1"/>
  <c r="L121" i="12" s="1"/>
  <c r="R141" i="11"/>
  <c r="F121" i="12"/>
  <c r="C106" i="12"/>
  <c r="D117" i="12"/>
  <c r="D119" i="12"/>
  <c r="C117" i="12"/>
  <c r="C119" i="12"/>
  <c r="D76" i="12"/>
  <c r="D118" i="12" s="1"/>
  <c r="C116" i="12"/>
  <c r="G143" i="11"/>
  <c r="H142" i="11"/>
  <c r="H143" i="11" s="1"/>
  <c r="H145" i="11"/>
  <c r="H146" i="11" s="1"/>
  <c r="I13" i="11"/>
  <c r="I23" i="11" s="1"/>
  <c r="F30" i="7"/>
  <c r="I11" i="11"/>
  <c r="I4" i="11"/>
  <c r="I5" i="11" s="1"/>
  <c r="I6" i="11" s="1"/>
  <c r="I28" i="11" s="1"/>
  <c r="AB148" i="11" l="1"/>
  <c r="AA149" i="11"/>
  <c r="AB151" i="11"/>
  <c r="AA152" i="11"/>
  <c r="I37" i="11"/>
  <c r="I45" i="11"/>
  <c r="J32" i="11"/>
  <c r="J38" i="11" s="1"/>
  <c r="I40" i="11"/>
  <c r="C130" i="12"/>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G59" i="7"/>
  <c r="J12" i="11"/>
  <c r="J11" i="11"/>
  <c r="I142" i="11"/>
  <c r="I145" i="11"/>
  <c r="I146" i="11" s="1"/>
  <c r="J13" i="11"/>
  <c r="J23" i="11" s="1"/>
  <c r="J4" i="11"/>
  <c r="J5" i="11" s="1"/>
  <c r="J6" i="11" s="1"/>
  <c r="J28" i="11" s="1"/>
  <c r="AC151" i="11" l="1"/>
  <c r="AB152" i="11"/>
  <c r="AC148" i="11"/>
  <c r="AB149" i="11"/>
  <c r="J37" i="11"/>
  <c r="J45" i="11"/>
  <c r="K32" i="11"/>
  <c r="K38" i="11" s="1"/>
  <c r="J40" i="11"/>
  <c r="K12" i="11"/>
  <c r="K11" i="11"/>
  <c r="J142" i="11"/>
  <c r="I143" i="11"/>
  <c r="J145" i="11"/>
  <c r="J146" i="11" s="1"/>
  <c r="K13" i="11"/>
  <c r="K23" i="11" s="1"/>
  <c r="K4" i="11"/>
  <c r="K5" i="11" s="1"/>
  <c r="K6" i="11" s="1"/>
  <c r="K28" i="11" s="1"/>
  <c r="AD148" i="11" l="1"/>
  <c r="AC149" i="11"/>
  <c r="AD151" i="11"/>
  <c r="AC152" i="11"/>
  <c r="K37" i="11"/>
  <c r="K45" i="11"/>
  <c r="L32" i="11"/>
  <c r="L38" i="11" s="1"/>
  <c r="K40" i="11"/>
  <c r="L12" i="11"/>
  <c r="L11" i="11"/>
  <c r="K142" i="11"/>
  <c r="J143" i="11"/>
  <c r="K145" i="11"/>
  <c r="K146" i="11" s="1"/>
  <c r="L13" i="11"/>
  <c r="L23" i="11" s="1"/>
  <c r="L4" i="11"/>
  <c r="L5" i="11" s="1"/>
  <c r="L6" i="11" s="1"/>
  <c r="L28" i="11" s="1"/>
  <c r="AE151" i="11" l="1"/>
  <c r="AD152" i="11"/>
  <c r="AE148" i="11"/>
  <c r="AD149" i="11"/>
  <c r="L37" i="11"/>
  <c r="L45" i="11"/>
  <c r="M32" i="11"/>
  <c r="M38" i="11" s="1"/>
  <c r="L40" i="11"/>
  <c r="M12" i="11"/>
  <c r="M11" i="11"/>
  <c r="L142" i="11"/>
  <c r="K143" i="11"/>
  <c r="L145" i="11"/>
  <c r="L146" i="11" s="1"/>
  <c r="M13" i="11"/>
  <c r="M23" i="11" s="1"/>
  <c r="M4" i="11"/>
  <c r="M5" i="11" s="1"/>
  <c r="M6" i="11" s="1"/>
  <c r="M28" i="11" s="1"/>
  <c r="AF148" i="11" l="1"/>
  <c r="AE149" i="11"/>
  <c r="AF151" i="11"/>
  <c r="AE152" i="11"/>
  <c r="M37" i="11"/>
  <c r="M45" i="11"/>
  <c r="N32" i="11"/>
  <c r="N38" i="11" s="1"/>
  <c r="M40" i="11"/>
  <c r="N12" i="11"/>
  <c r="N11" i="11"/>
  <c r="M142" i="11"/>
  <c r="L143" i="11"/>
  <c r="M145" i="11"/>
  <c r="M146" i="11" s="1"/>
  <c r="N13" i="11"/>
  <c r="N23" i="11" s="1"/>
  <c r="N4" i="11"/>
  <c r="N5" i="11" s="1"/>
  <c r="N6" i="11" s="1"/>
  <c r="N28" i="11" s="1"/>
  <c r="AG151" i="11" l="1"/>
  <c r="AF152" i="11"/>
  <c r="AG148" i="11"/>
  <c r="AF149" i="11"/>
  <c r="N37" i="11"/>
  <c r="N45" i="11"/>
  <c r="O32" i="11"/>
  <c r="O38" i="11" s="1"/>
  <c r="N40" i="11"/>
  <c r="O12" i="11"/>
  <c r="O11" i="11"/>
  <c r="N142" i="11"/>
  <c r="M143" i="11"/>
  <c r="N145" i="11"/>
  <c r="N146" i="11" s="1"/>
  <c r="O13" i="11"/>
  <c r="O23" i="11" s="1"/>
  <c r="O4" i="11"/>
  <c r="O5" i="11" s="1"/>
  <c r="O6" i="11" s="1"/>
  <c r="O28" i="11" s="1"/>
  <c r="AH148" i="11" l="1"/>
  <c r="AG149" i="11"/>
  <c r="AH151" i="11"/>
  <c r="AG152" i="11"/>
  <c r="O37" i="11"/>
  <c r="O45" i="11"/>
  <c r="P32" i="11"/>
  <c r="P38" i="11" s="1"/>
  <c r="O40" i="11"/>
  <c r="P12" i="11"/>
  <c r="P11" i="11"/>
  <c r="O142" i="11"/>
  <c r="N143" i="11"/>
  <c r="O145" i="11"/>
  <c r="O146" i="11" s="1"/>
  <c r="P13" i="11"/>
  <c r="P23" i="11" s="1"/>
  <c r="P4" i="11"/>
  <c r="P5" i="11" s="1"/>
  <c r="P6" i="11" s="1"/>
  <c r="P28" i="11" s="1"/>
  <c r="AI151" i="11" l="1"/>
  <c r="AH152" i="11"/>
  <c r="AI148" i="11"/>
  <c r="AH149" i="11"/>
  <c r="P37" i="11"/>
  <c r="P45" i="11"/>
  <c r="Q32" i="11"/>
  <c r="Q38" i="11" s="1"/>
  <c r="P40" i="11"/>
  <c r="Q12" i="1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O143" i="11"/>
  <c r="P142" i="11"/>
  <c r="Q11" i="11"/>
  <c r="P145" i="11"/>
  <c r="P146" i="11" s="1"/>
  <c r="Q13" i="11"/>
  <c r="R13" i="11" s="1"/>
  <c r="S13" i="11" s="1"/>
  <c r="T13" i="11" s="1"/>
  <c r="U13" i="11" s="1"/>
  <c r="V13" i="11" s="1"/>
  <c r="W13" i="11" s="1"/>
  <c r="X13" i="11" s="1"/>
  <c r="Y13" i="11" s="1"/>
  <c r="Z13" i="11" s="1"/>
  <c r="AA13" i="11" s="1"/>
  <c r="AB13" i="11" s="1"/>
  <c r="AC13" i="11" s="1"/>
  <c r="AD13" i="11" s="1"/>
  <c r="AE13" i="11" s="1"/>
  <c r="AF13" i="11" s="1"/>
  <c r="AG13" i="11" s="1"/>
  <c r="AH13" i="11" s="1"/>
  <c r="AI13" i="11" s="1"/>
  <c r="AJ13" i="11" s="1"/>
  <c r="Q4" i="11"/>
  <c r="Q5" i="11" s="1"/>
  <c r="Q6" i="11" s="1"/>
  <c r="Q28" i="11" s="1"/>
  <c r="AJ148" i="11" l="1"/>
  <c r="AJ149" i="11" s="1"/>
  <c r="AI149" i="11"/>
  <c r="AJ151" i="11"/>
  <c r="AJ152" i="11" s="1"/>
  <c r="AI152" i="11"/>
  <c r="Q37" i="11"/>
  <c r="Q45" i="11"/>
  <c r="R32" i="11"/>
  <c r="R38" i="11" s="1"/>
  <c r="Q40" i="11"/>
  <c r="P143" i="11"/>
  <c r="Q142" i="11"/>
  <c r="R11" i="11"/>
  <c r="Q145" i="11"/>
  <c r="Q146" i="11" s="1"/>
  <c r="R4" i="11"/>
  <c r="R5" i="11" s="1"/>
  <c r="R6" i="11" s="1"/>
  <c r="R28" i="11" s="1"/>
  <c r="R37" i="11" l="1"/>
  <c r="R45" i="11"/>
  <c r="S32" i="11"/>
  <c r="S38" i="11" s="1"/>
  <c r="R40" i="11"/>
  <c r="Q143" i="11"/>
  <c r="R142" i="11"/>
  <c r="S11" i="11"/>
  <c r="R145" i="11"/>
  <c r="R146" i="11" s="1"/>
  <c r="S4" i="11"/>
  <c r="S5" i="11" s="1"/>
  <c r="S6" i="11" s="1"/>
  <c r="S28" i="11" s="1"/>
  <c r="S37" i="11" l="1"/>
  <c r="S45" i="11"/>
  <c r="T32" i="11"/>
  <c r="T38" i="11" s="1"/>
  <c r="S40" i="11"/>
  <c r="R143" i="11"/>
  <c r="S142" i="11"/>
  <c r="T11" i="11"/>
  <c r="S145" i="11"/>
  <c r="S146" i="11" s="1"/>
  <c r="T4" i="11"/>
  <c r="T5" i="11" s="1"/>
  <c r="T6" i="11" s="1"/>
  <c r="T28" i="11" s="1"/>
  <c r="T37" i="11" l="1"/>
  <c r="T45" i="11"/>
  <c r="U32" i="11"/>
  <c r="U38" i="11" s="1"/>
  <c r="T40" i="11"/>
  <c r="S143" i="11"/>
  <c r="T142" i="11"/>
  <c r="U11" i="11"/>
  <c r="T145" i="11"/>
  <c r="T146" i="11" s="1"/>
  <c r="U4" i="11"/>
  <c r="U5" i="11" s="1"/>
  <c r="U6" i="11" s="1"/>
  <c r="U28" i="11" s="1"/>
  <c r="U37" i="11" l="1"/>
  <c r="U45" i="11"/>
  <c r="V32" i="11"/>
  <c r="V38" i="11" s="1"/>
  <c r="U40" i="11"/>
  <c r="T143" i="11"/>
  <c r="U142" i="11"/>
  <c r="V11" i="11"/>
  <c r="U145" i="11"/>
  <c r="U146" i="11" s="1"/>
  <c r="V4" i="11"/>
  <c r="V5" i="11" s="1"/>
  <c r="V6" i="11" s="1"/>
  <c r="V28" i="11" s="1"/>
  <c r="V37" i="11" l="1"/>
  <c r="V45" i="11"/>
  <c r="W32" i="11"/>
  <c r="W38" i="11" s="1"/>
  <c r="V40" i="11"/>
  <c r="V142" i="11"/>
  <c r="U143" i="11"/>
  <c r="W11" i="11"/>
  <c r="V145" i="11"/>
  <c r="V146" i="11" s="1"/>
  <c r="W4" i="11"/>
  <c r="W5" i="11" s="1"/>
  <c r="W6" i="11" s="1"/>
  <c r="W28" i="11" s="1"/>
  <c r="W37" i="11" l="1"/>
  <c r="W45" i="11"/>
  <c r="X32" i="11"/>
  <c r="X38" i="11" s="1"/>
  <c r="W40" i="11"/>
  <c r="V143" i="11"/>
  <c r="W142" i="11"/>
  <c r="X11" i="11"/>
  <c r="W145" i="11"/>
  <c r="W146" i="11" s="1"/>
  <c r="X4" i="11"/>
  <c r="X5" i="11" s="1"/>
  <c r="X6" i="11" s="1"/>
  <c r="X28" i="11" s="1"/>
  <c r="X37" i="11" l="1"/>
  <c r="X45" i="11"/>
  <c r="Y32" i="11"/>
  <c r="Y38" i="11" s="1"/>
  <c r="X40" i="11"/>
  <c r="W143" i="11"/>
  <c r="X142" i="11"/>
  <c r="Y11" i="11"/>
  <c r="X145" i="11"/>
  <c r="X146" i="11" s="1"/>
  <c r="Y4" i="11"/>
  <c r="Y5" i="11" s="1"/>
  <c r="Y6" i="11" s="1"/>
  <c r="Y28" i="11" s="1"/>
  <c r="Y37" i="11" l="1"/>
  <c r="Y45" i="11"/>
  <c r="Z32" i="11"/>
  <c r="Z38" i="11" s="1"/>
  <c r="Y40" i="11"/>
  <c r="Y142" i="11"/>
  <c r="X143" i="11"/>
  <c r="Z11" i="11"/>
  <c r="Y145" i="11"/>
  <c r="Z4" i="11"/>
  <c r="Z5" i="11" s="1"/>
  <c r="Z6" i="11" s="1"/>
  <c r="Z28" i="11" s="1"/>
  <c r="Z37" i="11" l="1"/>
  <c r="Z45" i="11"/>
  <c r="AA32" i="11"/>
  <c r="AA37" i="11" s="1"/>
  <c r="Z40" i="11"/>
  <c r="Y146" i="11"/>
  <c r="Z145" i="11"/>
  <c r="Y143" i="11"/>
  <c r="Z142" i="11"/>
  <c r="AA11" i="11"/>
  <c r="AA4" i="11"/>
  <c r="AB32" i="11" l="1"/>
  <c r="AB37" i="11" s="1"/>
  <c r="AA40" i="11"/>
  <c r="Z143" i="11"/>
  <c r="AA142" i="11"/>
  <c r="Z146" i="11"/>
  <c r="AA145" i="11"/>
  <c r="AB11" i="11"/>
  <c r="AB4" i="11"/>
  <c r="AC32" i="11" l="1"/>
  <c r="AC37" i="11" s="1"/>
  <c r="AB40" i="11"/>
  <c r="AA146" i="11"/>
  <c r="AB145" i="11"/>
  <c r="AB142" i="11"/>
  <c r="AA143" i="11"/>
  <c r="AC11" i="11"/>
  <c r="AC4" i="11"/>
  <c r="AD32" i="11" l="1"/>
  <c r="AD37" i="11" s="1"/>
  <c r="AC40" i="11"/>
  <c r="AB146" i="11"/>
  <c r="AC145" i="11"/>
  <c r="AC142" i="11"/>
  <c r="AB143" i="11"/>
  <c r="AD11" i="11"/>
  <c r="AD4" i="11"/>
  <c r="AE32" i="11" l="1"/>
  <c r="AE37" i="11" s="1"/>
  <c r="AD40" i="11"/>
  <c r="AC146" i="11"/>
  <c r="AD145" i="11"/>
  <c r="AC143" i="11"/>
  <c r="AD142" i="11"/>
  <c r="AE11" i="11"/>
  <c r="AE4" i="11"/>
  <c r="AF32" i="11" l="1"/>
  <c r="AE40" i="11"/>
  <c r="AE142" i="11"/>
  <c r="AD143" i="11"/>
  <c r="AD146" i="11"/>
  <c r="AE145" i="11"/>
  <c r="AF11" i="11"/>
  <c r="AG11" i="11" s="1"/>
  <c r="AH11" i="11" s="1"/>
  <c r="AI11" i="11" s="1"/>
  <c r="AJ11" i="11" s="1"/>
  <c r="AF4" i="11"/>
  <c r="AG32" i="11" l="1"/>
  <c r="AF40" i="11"/>
  <c r="AE146" i="11"/>
  <c r="AF145" i="11"/>
  <c r="AF142" i="11"/>
  <c r="AE143" i="11"/>
  <c r="AG4" i="11"/>
  <c r="AH32" i="11" l="1"/>
  <c r="AG40" i="11"/>
  <c r="AF146" i="11"/>
  <c r="AG145" i="11"/>
  <c r="AF143" i="11"/>
  <c r="AG142" i="11"/>
  <c r="AH4" i="11"/>
  <c r="AI32" i="11" l="1"/>
  <c r="AH40" i="11"/>
  <c r="AH142" i="11"/>
  <c r="AG143" i="11"/>
  <c r="AG146" i="11"/>
  <c r="AH145" i="11"/>
  <c r="AI4" i="11"/>
  <c r="AJ32" i="11" l="1"/>
  <c r="AI40" i="11"/>
  <c r="AH146" i="11"/>
  <c r="AI145" i="11"/>
  <c r="AI142" i="11"/>
  <c r="AH143" i="11"/>
  <c r="AJ4" i="11"/>
  <c r="AJ40" i="11" l="1"/>
  <c r="AI146" i="11"/>
  <c r="AJ145" i="11"/>
  <c r="AJ146" i="11" s="1"/>
  <c r="AI143" i="11"/>
  <c r="AJ142" i="11"/>
  <c r="AJ143" i="11" s="1"/>
  <c r="B80" i="12" l="1"/>
  <c r="D47" i="9"/>
  <c r="D43" i="9"/>
  <c r="D44" i="9"/>
  <c r="D26" i="9"/>
  <c r="D42" i="9"/>
  <c r="G89" i="7"/>
  <c r="D49" i="9" l="1"/>
  <c r="D48" i="9"/>
  <c r="D46" i="9"/>
  <c r="D45" i="9"/>
  <c r="AF24" i="11"/>
  <c r="AH24" i="11"/>
  <c r="AJ24" i="11"/>
  <c r="AG24" i="11"/>
  <c r="AI24" i="11"/>
  <c r="H24" i="11"/>
  <c r="I24" i="11"/>
  <c r="J24" i="11"/>
  <c r="K24" i="11"/>
  <c r="L24" i="11"/>
  <c r="M24" i="11"/>
  <c r="N24" i="11"/>
  <c r="O24" i="11"/>
  <c r="P24" i="11"/>
  <c r="V24" i="11"/>
  <c r="W24" i="11"/>
  <c r="X24" i="11"/>
  <c r="Y24" i="11"/>
  <c r="Z24" i="11"/>
  <c r="AA24" i="11"/>
  <c r="AB24" i="11"/>
  <c r="AC24" i="11"/>
  <c r="AD24" i="11"/>
  <c r="AE24" i="11"/>
  <c r="G24" i="11"/>
  <c r="U24" i="11" l="1"/>
  <c r="S24" i="11"/>
  <c r="Q24" i="11"/>
  <c r="T24" i="11"/>
  <c r="R24" i="11"/>
  <c r="P198" i="11"/>
  <c r="O198" i="11"/>
  <c r="M198" i="11"/>
  <c r="N198" i="11"/>
  <c r="L198" i="11"/>
  <c r="AG20" i="11"/>
  <c r="AG22" i="11"/>
  <c r="AI22" i="11"/>
  <c r="AI20" i="11"/>
  <c r="AJ22" i="11"/>
  <c r="AJ20" i="11"/>
  <c r="AF20" i="11"/>
  <c r="AF22" i="11"/>
  <c r="AH20" i="11"/>
  <c r="AH22" i="11"/>
  <c r="AE20" i="11"/>
  <c r="AA20" i="11"/>
  <c r="AD20" i="11"/>
  <c r="AB20" i="11"/>
  <c r="AC20" i="11"/>
  <c r="Z20" i="11"/>
  <c r="X20" i="11"/>
  <c r="V20" i="11"/>
  <c r="Y20" i="11"/>
  <c r="W20" i="11"/>
  <c r="AE22" i="11"/>
  <c r="AC22" i="11"/>
  <c r="AA22" i="11"/>
  <c r="AD22" i="11"/>
  <c r="AB22" i="11"/>
  <c r="Z22" i="11"/>
  <c r="X22" i="11"/>
  <c r="V22" i="11"/>
  <c r="T22" i="11"/>
  <c r="P22" i="11"/>
  <c r="N22" i="11"/>
  <c r="L22" i="11"/>
  <c r="J22" i="11"/>
  <c r="H22" i="11"/>
  <c r="Y22" i="11"/>
  <c r="W22" i="11"/>
  <c r="U22" i="11"/>
  <c r="S22" i="11"/>
  <c r="Q22" i="11"/>
  <c r="O22" i="11"/>
  <c r="M22" i="11"/>
  <c r="K22" i="11"/>
  <c r="I22" i="11"/>
  <c r="G22" i="11"/>
  <c r="R22" i="11"/>
  <c r="B105" i="12"/>
  <c r="F28" i="7" l="1"/>
  <c r="B55" i="12"/>
  <c r="B30" i="12"/>
  <c r="B5" i="12"/>
  <c r="AH98" i="11" l="1"/>
  <c r="AJ98" i="11"/>
  <c r="AH99" i="11"/>
  <c r="AJ99" i="11"/>
  <c r="AG98" i="11"/>
  <c r="AI98" i="11"/>
  <c r="AG99" i="11"/>
  <c r="AI99" i="11"/>
  <c r="AG104" i="11" l="1"/>
  <c r="AG58" i="11"/>
  <c r="AI55" i="11"/>
  <c r="AI97" i="11"/>
  <c r="F35" i="10" s="1"/>
  <c r="AH104" i="11"/>
  <c r="AH58" i="11"/>
  <c r="AJ55" i="11"/>
  <c r="AJ97" i="11"/>
  <c r="F36" i="10" s="1"/>
  <c r="AI104" i="11"/>
  <c r="AI58" i="11"/>
  <c r="AG55" i="11"/>
  <c r="AG97" i="11"/>
  <c r="F33" i="10" s="1"/>
  <c r="AJ104" i="11"/>
  <c r="AJ58" i="11"/>
  <c r="AH55" i="11"/>
  <c r="AH97" i="11"/>
  <c r="F34" i="10" s="1"/>
  <c r="U221" i="11" l="1"/>
  <c r="U59" i="11" s="1"/>
  <c r="G21" i="10" s="1"/>
  <c r="J236" i="11" l="1"/>
  <c r="N236" i="11" s="1"/>
  <c r="N226" i="11" l="1"/>
  <c r="N227" i="11" s="1"/>
  <c r="N228" i="11" s="1"/>
  <c r="N229" i="11" s="1"/>
  <c r="N230" i="11" s="1"/>
  <c r="N231" i="11" s="1"/>
  <c r="N232" i="11" s="1"/>
  <c r="N233" i="11" s="1"/>
  <c r="N234" i="11" s="1"/>
  <c r="N235" i="11" s="1"/>
  <c r="S225" i="11" l="1"/>
  <c r="R225" i="11"/>
  <c r="G84" i="11" s="1"/>
  <c r="G15" i="11" l="1"/>
  <c r="G16" i="11" l="1"/>
  <c r="H16" i="11" s="1"/>
  <c r="I16" i="11" s="1"/>
  <c r="J16" i="11" s="1"/>
  <c r="K16" i="11" s="1"/>
  <c r="L16" i="11" s="1"/>
  <c r="M16" i="11" s="1"/>
  <c r="N16" i="11" s="1"/>
  <c r="O16" i="11" s="1"/>
  <c r="P16" i="11" s="1"/>
  <c r="Q16" i="11" s="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D7" i="9"/>
  <c r="H15" i="11"/>
  <c r="I15" i="11" s="1"/>
  <c r="G17" i="11" l="1"/>
  <c r="C7" i="10" s="1"/>
  <c r="H17" i="11"/>
  <c r="C8" i="10" s="1"/>
  <c r="I17" i="11"/>
  <c r="J15" i="11"/>
  <c r="G18" i="11" l="1"/>
  <c r="H18" i="11"/>
  <c r="K15" i="11"/>
  <c r="J17" i="11"/>
  <c r="I18" i="11"/>
  <c r="C9" i="10"/>
  <c r="H46" i="11" l="1"/>
  <c r="I46" i="11"/>
  <c r="G46" i="11"/>
  <c r="G54" i="7" s="1"/>
  <c r="L15" i="11"/>
  <c r="K17" i="11"/>
  <c r="J18" i="11"/>
  <c r="C10" i="10"/>
  <c r="J46" i="11" l="1"/>
  <c r="M15" i="11"/>
  <c r="L17" i="11"/>
  <c r="K18" i="11"/>
  <c r="C11" i="10"/>
  <c r="K46" i="11" l="1"/>
  <c r="L18" i="11"/>
  <c r="C12" i="10"/>
  <c r="N15" i="11"/>
  <c r="M17" i="11"/>
  <c r="L46" i="11" l="1"/>
  <c r="C13" i="10"/>
  <c r="M18" i="11"/>
  <c r="O15" i="11"/>
  <c r="N17" i="11"/>
  <c r="M46" i="11" l="1"/>
  <c r="C14" i="10"/>
  <c r="N18" i="11"/>
  <c r="O17" i="11"/>
  <c r="P15" i="11"/>
  <c r="N46" i="11" l="1"/>
  <c r="P17" i="11"/>
  <c r="Q15" i="11"/>
  <c r="C15" i="10"/>
  <c r="O18" i="11"/>
  <c r="O46" i="11" l="1"/>
  <c r="P18" i="11"/>
  <c r="C16" i="10"/>
  <c r="Q17" i="11"/>
  <c r="R15" i="11"/>
  <c r="P46" i="11" l="1"/>
  <c r="S15" i="11"/>
  <c r="R17" i="11"/>
  <c r="C17" i="10"/>
  <c r="Q18" i="11"/>
  <c r="Q46" i="11" l="1"/>
  <c r="C18" i="10"/>
  <c r="R18" i="11"/>
  <c r="T15" i="11"/>
  <c r="S17" i="11"/>
  <c r="R46" i="11" l="1"/>
  <c r="U15" i="11"/>
  <c r="T17" i="11"/>
  <c r="C19" i="10"/>
  <c r="S18" i="11"/>
  <c r="S46" i="11" l="1"/>
  <c r="T18" i="11"/>
  <c r="C20" i="10"/>
  <c r="V15" i="11"/>
  <c r="U17" i="11"/>
  <c r="T46" i="11" l="1"/>
  <c r="V17" i="11"/>
  <c r="W15" i="11"/>
  <c r="U18" i="11"/>
  <c r="C21" i="10"/>
  <c r="U46" i="11" l="1"/>
  <c r="V18" i="11"/>
  <c r="C22" i="10"/>
  <c r="W17" i="11"/>
  <c r="X15" i="11"/>
  <c r="V46" i="11" l="1"/>
  <c r="X17" i="11"/>
  <c r="Y15" i="11"/>
  <c r="W18" i="11"/>
  <c r="C23" i="10"/>
  <c r="W46" i="11" l="1"/>
  <c r="X18" i="11"/>
  <c r="C24" i="10"/>
  <c r="Y17" i="11"/>
  <c r="Z15" i="11"/>
  <c r="X46" i="11" l="1"/>
  <c r="Y18" i="11"/>
  <c r="C25" i="10"/>
  <c r="AA15" i="11"/>
  <c r="Z17" i="11"/>
  <c r="Y46" i="11" l="1"/>
  <c r="AA17" i="11"/>
  <c r="AB15" i="11"/>
  <c r="Z18" i="11"/>
  <c r="C26" i="10"/>
  <c r="Z46" i="11" l="1"/>
  <c r="AC15" i="11"/>
  <c r="AB17" i="11"/>
  <c r="C27" i="10"/>
  <c r="AA18" i="11"/>
  <c r="AA46" i="11" l="1"/>
  <c r="AB18" i="11"/>
  <c r="C28" i="10"/>
  <c r="AC17" i="11"/>
  <c r="AD15" i="11"/>
  <c r="AB46" i="11" l="1"/>
  <c r="AC18" i="11"/>
  <c r="C29" i="10"/>
  <c r="AE15" i="11"/>
  <c r="AD17" i="11"/>
  <c r="AC46" i="11" l="1"/>
  <c r="AE17" i="11"/>
  <c r="AE18" i="11" s="1"/>
  <c r="AF15" i="11"/>
  <c r="C31" i="10"/>
  <c r="AD18" i="11"/>
  <c r="C30" i="10"/>
  <c r="AE46" i="11" l="1"/>
  <c r="AD46" i="11"/>
  <c r="AF17" i="11"/>
  <c r="AG15" i="11"/>
  <c r="AH15" i="11" l="1"/>
  <c r="AG17" i="11"/>
  <c r="AF18" i="11"/>
  <c r="C32" i="10"/>
  <c r="AD212" i="11"/>
  <c r="AD221" i="11" s="1"/>
  <c r="AD59" i="11" s="1"/>
  <c r="G30" i="10" s="1"/>
  <c r="AF46" i="11" l="1"/>
  <c r="C33" i="10"/>
  <c r="AG18" i="11"/>
  <c r="AI15" i="11"/>
  <c r="AH17" i="11"/>
  <c r="AF98" i="11"/>
  <c r="AE98" i="11"/>
  <c r="AD98" i="11"/>
  <c r="AB99" i="11"/>
  <c r="AF99" i="11"/>
  <c r="AC98" i="11"/>
  <c r="AA99" i="11"/>
  <c r="AE99" i="11"/>
  <c r="AB98" i="11"/>
  <c r="AD99" i="11"/>
  <c r="AA98" i="11"/>
  <c r="AC99" i="11"/>
  <c r="AG46" i="11" l="1"/>
  <c r="AJ15" i="11"/>
  <c r="AJ17" i="11" s="1"/>
  <c r="AI17" i="11"/>
  <c r="C34" i="10"/>
  <c r="AH18" i="11"/>
  <c r="AA55" i="11"/>
  <c r="AA97" i="11"/>
  <c r="F27" i="10" s="1"/>
  <c r="AB97" i="11"/>
  <c r="F28" i="10" s="1"/>
  <c r="AB55" i="11"/>
  <c r="AA104" i="11"/>
  <c r="AA58" i="11"/>
  <c r="AF58" i="11"/>
  <c r="AF104" i="11"/>
  <c r="AD97" i="11"/>
  <c r="F30" i="10" s="1"/>
  <c r="AD55" i="11"/>
  <c r="AF97" i="11"/>
  <c r="F32" i="10" s="1"/>
  <c r="AF55" i="11"/>
  <c r="AC104" i="11"/>
  <c r="AC58" i="11"/>
  <c r="AD58" i="11"/>
  <c r="AD104" i="11"/>
  <c r="AE104" i="11"/>
  <c r="AE58" i="11"/>
  <c r="AC55" i="11"/>
  <c r="AC97" i="11"/>
  <c r="F29" i="10" s="1"/>
  <c r="AB104" i="11"/>
  <c r="AB58" i="11"/>
  <c r="AE97" i="11"/>
  <c r="F31" i="10" s="1"/>
  <c r="AE55" i="11"/>
  <c r="AH46" i="11" l="1"/>
  <c r="D14" i="9"/>
  <c r="C36" i="10"/>
  <c r="AJ18" i="11"/>
  <c r="C35" i="10"/>
  <c r="AI18" i="11"/>
  <c r="H211" i="11"/>
  <c r="H221" i="11" s="1"/>
  <c r="H59" i="11" s="1"/>
  <c r="G8" i="10" s="1"/>
  <c r="AG211" i="11"/>
  <c r="AG221" i="11" s="1"/>
  <c r="AG59" i="11" s="1"/>
  <c r="AF211" i="11"/>
  <c r="AF221" i="11" s="1"/>
  <c r="AF59" i="11" s="1"/>
  <c r="G32" i="10" s="1"/>
  <c r="G33" i="10"/>
  <c r="AI46" i="11" l="1"/>
  <c r="AJ46" i="11"/>
  <c r="P27" i="10"/>
  <c r="P32" i="10" l="1"/>
  <c r="P28" i="10"/>
  <c r="P29" i="10" l="1"/>
  <c r="P30" i="10" l="1"/>
  <c r="P31" i="10" l="1"/>
  <c r="G211" i="11" l="1"/>
  <c r="AE212" i="11" l="1"/>
  <c r="AE221" i="11" s="1"/>
  <c r="AE59" i="11" s="1"/>
  <c r="G31" i="10" s="1"/>
  <c r="V98" i="11" l="1"/>
  <c r="V55" i="11" s="1"/>
  <c r="V99" i="11"/>
  <c r="V104" i="11" s="1"/>
  <c r="X98" i="11"/>
  <c r="X55" i="11" s="1"/>
  <c r="Y99" i="11"/>
  <c r="Y104" i="11" s="1"/>
  <c r="W99" i="11"/>
  <c r="W104" i="11" s="1"/>
  <c r="W98" i="11"/>
  <c r="Z99" i="11"/>
  <c r="X99" i="11"/>
  <c r="Y98" i="11"/>
  <c r="V97" i="11" l="1"/>
  <c r="F22" i="10" s="1"/>
  <c r="V58" i="11"/>
  <c r="Y58" i="11"/>
  <c r="W58" i="11"/>
  <c r="X58" i="11"/>
  <c r="X104" i="11"/>
  <c r="X97" i="11"/>
  <c r="F24" i="10" s="1"/>
  <c r="Z104" i="11"/>
  <c r="Z58" i="11"/>
  <c r="Y55" i="11"/>
  <c r="Y97" i="11"/>
  <c r="F25" i="10" s="1"/>
  <c r="W55" i="11"/>
  <c r="W97" i="11"/>
  <c r="F23" i="10" s="1"/>
  <c r="AD201" i="11" l="1"/>
  <c r="AH201" i="11"/>
  <c r="AC201" i="11"/>
  <c r="AG201" i="11"/>
  <c r="AB201" i="11"/>
  <c r="AF201" i="11"/>
  <c r="AE201" i="11"/>
  <c r="AI201" i="11"/>
  <c r="AJ201" i="11"/>
  <c r="Y211" i="11"/>
  <c r="Y221" i="11" s="1"/>
  <c r="Y59" i="11" s="1"/>
  <c r="G25" i="10" s="1"/>
  <c r="AA211" i="11"/>
  <c r="AA221" i="11" s="1"/>
  <c r="AA59" i="11" s="1"/>
  <c r="G27" i="10" s="1"/>
  <c r="AJ191" i="11" l="1"/>
  <c r="AJ190" i="11"/>
  <c r="AI191" i="11"/>
  <c r="AI190" i="11"/>
  <c r="AF191" i="11"/>
  <c r="AF190" i="11"/>
  <c r="AB191" i="11"/>
  <c r="AB190" i="11"/>
  <c r="AG191" i="11"/>
  <c r="AG190" i="11"/>
  <c r="AC191" i="11"/>
  <c r="AC190" i="11"/>
  <c r="AH190" i="11"/>
  <c r="AH191" i="11"/>
  <c r="AD191" i="11"/>
  <c r="AD190" i="11"/>
  <c r="AE191" i="11"/>
  <c r="AE190" i="11"/>
  <c r="AJ204" i="11"/>
  <c r="AJ205" i="11"/>
  <c r="AJ78" i="11" s="1"/>
  <c r="AI205" i="11"/>
  <c r="AI78" i="11" s="1"/>
  <c r="AI204" i="11"/>
  <c r="AE205" i="11"/>
  <c r="AE78" i="11" s="1"/>
  <c r="AE204" i="11"/>
  <c r="AF205" i="11"/>
  <c r="AF78" i="11" s="1"/>
  <c r="AF204" i="11"/>
  <c r="AB205" i="11"/>
  <c r="AB78" i="11" s="1"/>
  <c r="AB204" i="11"/>
  <c r="AG204" i="11"/>
  <c r="AG205" i="11"/>
  <c r="AG78" i="11" s="1"/>
  <c r="AC205" i="11"/>
  <c r="AC78" i="11" s="1"/>
  <c r="AC204" i="11"/>
  <c r="AH205" i="11"/>
  <c r="AH78" i="11" s="1"/>
  <c r="AH204" i="11"/>
  <c r="AD204" i="11"/>
  <c r="AD205" i="11"/>
  <c r="AD78" i="11" s="1"/>
  <c r="P22" i="10" l="1"/>
  <c r="P23" i="10" l="1"/>
  <c r="P24" i="10" l="1"/>
  <c r="P26" i="10" l="1"/>
  <c r="P25" i="10"/>
  <c r="Z98" i="11"/>
  <c r="Z55" i="11" s="1"/>
  <c r="Z97" i="11" l="1"/>
  <c r="F26" i="10" s="1"/>
  <c r="I195" i="11" l="1"/>
  <c r="I198" i="11" s="1"/>
  <c r="K195" i="11"/>
  <c r="K198" i="11" s="1"/>
  <c r="H195" i="11"/>
  <c r="H198" i="11" s="1"/>
  <c r="J195" i="11"/>
  <c r="J198" i="11" s="1"/>
  <c r="G201" i="11" l="1"/>
  <c r="G187" i="11" l="1"/>
  <c r="G204" i="11"/>
  <c r="G205" i="11"/>
  <c r="H201" i="11"/>
  <c r="H187" i="11" l="1"/>
  <c r="G190" i="11"/>
  <c r="G191" i="11" s="1"/>
  <c r="H204" i="11"/>
  <c r="H205" i="11"/>
  <c r="H78" i="11" s="1"/>
  <c r="I201" i="11"/>
  <c r="G206" i="11"/>
  <c r="H203" i="11" s="1"/>
  <c r="I187" i="11" l="1"/>
  <c r="G192" i="11"/>
  <c r="H189" i="11" s="1"/>
  <c r="H190" i="11"/>
  <c r="H191" i="11"/>
  <c r="H206" i="11"/>
  <c r="I203" i="11" s="1"/>
  <c r="I204" i="11"/>
  <c r="I205" i="11"/>
  <c r="I78" i="11" s="1"/>
  <c r="H192" i="11" l="1"/>
  <c r="I189" i="11" s="1"/>
  <c r="I190" i="11"/>
  <c r="I191" i="11"/>
  <c r="J201" i="11"/>
  <c r="I206" i="11"/>
  <c r="J203" i="11" s="1"/>
  <c r="I192" i="11" l="1"/>
  <c r="J189" i="11" s="1"/>
  <c r="J190" i="11"/>
  <c r="J191" i="11"/>
  <c r="J204" i="11"/>
  <c r="J205" i="11"/>
  <c r="J78" i="11" s="1"/>
  <c r="K201" i="11"/>
  <c r="K190" i="11" l="1"/>
  <c r="K191" i="11"/>
  <c r="J192" i="11"/>
  <c r="K189" i="11" s="1"/>
  <c r="J206" i="11"/>
  <c r="K203" i="11" s="1"/>
  <c r="K204" i="11"/>
  <c r="K205" i="11"/>
  <c r="K78" i="11" s="1"/>
  <c r="K192" i="11" l="1"/>
  <c r="L189" i="11" s="1"/>
  <c r="K206" i="11"/>
  <c r="L203" i="11" s="1"/>
  <c r="K187" i="11" l="1"/>
  <c r="L201" i="11"/>
  <c r="L190" i="11" l="1"/>
  <c r="L191" i="11"/>
  <c r="L205" i="11"/>
  <c r="L78" i="11" s="1"/>
  <c r="L204" i="11"/>
  <c r="M201" i="11"/>
  <c r="M190" i="11" l="1"/>
  <c r="M191" i="11"/>
  <c r="L192" i="11"/>
  <c r="M189" i="11" s="1"/>
  <c r="L206" i="11"/>
  <c r="M203" i="11" s="1"/>
  <c r="M205" i="11"/>
  <c r="M78" i="11" s="1"/>
  <c r="M204" i="11"/>
  <c r="M206" i="11" l="1"/>
  <c r="N203" i="11" s="1"/>
  <c r="M192" i="11"/>
  <c r="N189" i="11" s="1"/>
  <c r="N201" i="11"/>
  <c r="N191" i="11" l="1"/>
  <c r="N190" i="11"/>
  <c r="N205" i="11"/>
  <c r="N78" i="11" s="1"/>
  <c r="N204" i="11"/>
  <c r="N192" i="11" l="1"/>
  <c r="O189" i="11" s="1"/>
  <c r="N206" i="11"/>
  <c r="O203" i="11" s="1"/>
  <c r="O201" i="11"/>
  <c r="O190" i="11" l="1"/>
  <c r="O191" i="11"/>
  <c r="O204" i="11"/>
  <c r="O205" i="11"/>
  <c r="O78" i="11" s="1"/>
  <c r="O192" i="11" l="1"/>
  <c r="P189" i="11" s="1"/>
  <c r="O206" i="11"/>
  <c r="P203" i="11" s="1"/>
  <c r="P201" i="11"/>
  <c r="P190" i="11" l="1"/>
  <c r="P191" i="11"/>
  <c r="P204" i="11"/>
  <c r="P205" i="11"/>
  <c r="P78" i="11" s="1"/>
  <c r="P192" i="11" l="1"/>
  <c r="Q189" i="11" s="1"/>
  <c r="P206" i="11"/>
  <c r="Q203" i="11" s="1"/>
  <c r="Q201" i="11"/>
  <c r="Q191" i="11" l="1"/>
  <c r="Q190" i="11"/>
  <c r="Q204" i="11"/>
  <c r="Q205" i="11"/>
  <c r="Q78" i="11" s="1"/>
  <c r="R201" i="11"/>
  <c r="R190" i="11" l="1"/>
  <c r="R191" i="11"/>
  <c r="Q192" i="11"/>
  <c r="R189" i="11" s="1"/>
  <c r="R204" i="11"/>
  <c r="R205" i="11"/>
  <c r="R78" i="11" s="1"/>
  <c r="Q206" i="11"/>
  <c r="R203" i="11" s="1"/>
  <c r="R192" i="11" l="1"/>
  <c r="S189" i="11" s="1"/>
  <c r="R206" i="11"/>
  <c r="S203" i="11" s="1"/>
  <c r="S201" i="11" l="1"/>
  <c r="S190" i="11" l="1"/>
  <c r="S191" i="11"/>
  <c r="T201" i="11"/>
  <c r="S204" i="11"/>
  <c r="S205" i="11"/>
  <c r="S78" i="11" s="1"/>
  <c r="T190" i="11" l="1"/>
  <c r="S192" i="11"/>
  <c r="T189" i="11" s="1"/>
  <c r="S206" i="11"/>
  <c r="T203" i="11" s="1"/>
  <c r="U201" i="11"/>
  <c r="T204" i="11"/>
  <c r="T205" i="11"/>
  <c r="T78" i="11" s="1"/>
  <c r="T191" i="11" l="1"/>
  <c r="U190" i="11"/>
  <c r="T206" i="11"/>
  <c r="U203" i="11" s="1"/>
  <c r="U205" i="11"/>
  <c r="U78" i="11" s="1"/>
  <c r="U204" i="11"/>
  <c r="U206" i="11" l="1"/>
  <c r="V203" i="11" s="1"/>
  <c r="T192" i="11"/>
  <c r="V201" i="11"/>
  <c r="V190" i="11" l="1"/>
  <c r="U189" i="11"/>
  <c r="U191" i="11"/>
  <c r="W201" i="11"/>
  <c r="V204" i="11"/>
  <c r="V205" i="11"/>
  <c r="V78" i="11" s="1"/>
  <c r="U192" i="11" l="1"/>
  <c r="W190" i="11"/>
  <c r="V206" i="11"/>
  <c r="W203" i="11" s="1"/>
  <c r="W204" i="11"/>
  <c r="V189" i="11" l="1"/>
  <c r="V191" i="11"/>
  <c r="W205" i="11"/>
  <c r="W78" i="11" s="1"/>
  <c r="W206" i="11" l="1"/>
  <c r="X203" i="11" s="1"/>
  <c r="V192" i="11"/>
  <c r="X201" i="11"/>
  <c r="W189" i="11" l="1"/>
  <c r="W191" i="11"/>
  <c r="X190" i="11"/>
  <c r="Y201" i="11"/>
  <c r="X204" i="11"/>
  <c r="X205" i="11"/>
  <c r="X78" i="11" s="1"/>
  <c r="Y190" i="11" l="1"/>
  <c r="W192" i="11"/>
  <c r="Y204" i="11"/>
  <c r="Z201" i="11"/>
  <c r="X206" i="11"/>
  <c r="Y203" i="11" s="1"/>
  <c r="Z190" i="11" l="1"/>
  <c r="X189" i="11"/>
  <c r="X191" i="11"/>
  <c r="AA201" i="11"/>
  <c r="Z204" i="11"/>
  <c r="Y205" i="11"/>
  <c r="Y78" i="11" s="1"/>
  <c r="X192" i="11" l="1"/>
  <c r="AA190" i="11"/>
  <c r="Y206" i="11"/>
  <c r="Z203" i="11" s="1"/>
  <c r="AA204" i="11"/>
  <c r="AA205" i="11"/>
  <c r="AA78" i="11" s="1"/>
  <c r="Y189" i="11" l="1"/>
  <c r="Y191" i="11"/>
  <c r="Z205" i="11"/>
  <c r="Z78" i="11" s="1"/>
  <c r="Y192" i="11" l="1"/>
  <c r="Z206" i="11"/>
  <c r="AA203" i="11" s="1"/>
  <c r="AA206" i="11" s="1"/>
  <c r="AB203" i="11" s="1"/>
  <c r="AB206" i="11" s="1"/>
  <c r="AC203" i="11" s="1"/>
  <c r="AC206" i="11" s="1"/>
  <c r="AD203" i="11" s="1"/>
  <c r="AD206" i="11" s="1"/>
  <c r="AE203" i="11" s="1"/>
  <c r="AE206" i="11" s="1"/>
  <c r="AF203" i="11" s="1"/>
  <c r="AF206" i="11" s="1"/>
  <c r="AG203" i="11" s="1"/>
  <c r="AG206" i="11" s="1"/>
  <c r="AH203" i="11" s="1"/>
  <c r="AH206" i="11" s="1"/>
  <c r="AI203" i="11" s="1"/>
  <c r="AI206" i="11" s="1"/>
  <c r="AJ203" i="11" s="1"/>
  <c r="AJ206" i="11" s="1"/>
  <c r="Z189" i="11" l="1"/>
  <c r="Z191" i="11"/>
  <c r="Z192" i="11" l="1"/>
  <c r="AA189" i="11" l="1"/>
  <c r="AA191" i="11"/>
  <c r="AA192" i="11" l="1"/>
  <c r="AB189" i="11" s="1"/>
  <c r="AB192" i="11" s="1"/>
  <c r="AC189" i="11" s="1"/>
  <c r="AC192" i="11" s="1"/>
  <c r="AD189" i="11" s="1"/>
  <c r="AD192" i="11" s="1"/>
  <c r="AE189" i="11" s="1"/>
  <c r="AE192" i="11" s="1"/>
  <c r="AF189" i="11" s="1"/>
  <c r="AF192" i="11" s="1"/>
  <c r="AG189" i="11" s="1"/>
  <c r="AG192" i="11" s="1"/>
  <c r="AH189" i="11" s="1"/>
  <c r="AH192" i="11" s="1"/>
  <c r="AI189" i="11" s="1"/>
  <c r="AI192" i="11" s="1"/>
  <c r="AJ189" i="11" s="1"/>
  <c r="AJ192" i="11" s="1"/>
  <c r="Z187" i="11"/>
  <c r="Y187" i="11"/>
  <c r="X187" i="11"/>
  <c r="AA187" i="11"/>
  <c r="W187" i="11"/>
  <c r="V187" i="11"/>
  <c r="U187" i="11"/>
  <c r="T187" i="11"/>
  <c r="S187" i="11"/>
  <c r="R187" i="11"/>
  <c r="Q187" i="11"/>
  <c r="P187" i="11"/>
  <c r="O187" i="11"/>
  <c r="N187" i="11"/>
  <c r="L187" i="11"/>
  <c r="M187" i="11"/>
  <c r="J187" i="11"/>
  <c r="AI39" i="11" l="1"/>
  <c r="AI47" i="11" s="1"/>
  <c r="AH39" i="11"/>
  <c r="AH47" i="11" s="1"/>
  <c r="AG39" i="11"/>
  <c r="AG47" i="11" s="1"/>
  <c r="AE39" i="11"/>
  <c r="AE47" i="11" s="1"/>
  <c r="AC39" i="11"/>
  <c r="AC47" i="11" s="1"/>
  <c r="AF39" i="11"/>
  <c r="AF47" i="11" s="1"/>
  <c r="AJ39" i="11"/>
  <c r="AJ47" i="11" s="1"/>
  <c r="AD39" i="11"/>
  <c r="AD47" i="11" s="1"/>
  <c r="AB39" i="11"/>
  <c r="AB47" i="11" s="1"/>
  <c r="AA39" i="11"/>
  <c r="AA47" i="11" s="1"/>
  <c r="AA48" i="11" l="1"/>
  <c r="AA49" i="11"/>
  <c r="E27" i="10"/>
  <c r="S27" i="10" s="1"/>
  <c r="E30" i="10"/>
  <c r="S30" i="10" s="1"/>
  <c r="AD49" i="11"/>
  <c r="AD48" i="11"/>
  <c r="AF49" i="11"/>
  <c r="AF48" i="11"/>
  <c r="E32" i="10"/>
  <c r="S32" i="10" s="1"/>
  <c r="AE48" i="11"/>
  <c r="AE49" i="11"/>
  <c r="E31" i="10"/>
  <c r="S31" i="10" s="1"/>
  <c r="AH48" i="11"/>
  <c r="AH49" i="11"/>
  <c r="E34" i="10"/>
  <c r="S34" i="10" s="1"/>
  <c r="E28" i="10"/>
  <c r="S28" i="10" s="1"/>
  <c r="AB48" i="11"/>
  <c r="AB49" i="11"/>
  <c r="AJ49" i="11"/>
  <c r="AJ48" i="11"/>
  <c r="E36" i="10"/>
  <c r="AC48" i="11"/>
  <c r="AC49" i="11"/>
  <c r="E29" i="10"/>
  <c r="S29" i="10" s="1"/>
  <c r="AG48" i="11"/>
  <c r="AG49" i="11"/>
  <c r="E33" i="10"/>
  <c r="S33" i="10" s="1"/>
  <c r="E35" i="10"/>
  <c r="S35" i="10" s="1"/>
  <c r="AI48" i="11"/>
  <c r="AI49" i="11"/>
  <c r="G36" i="10" l="1"/>
  <c r="S36" i="10" s="1"/>
  <c r="G212" i="11"/>
  <c r="G221" i="11" s="1"/>
  <c r="G59" i="11" s="1"/>
  <c r="G7" i="10" s="1"/>
  <c r="AC154" i="11" l="1"/>
  <c r="AC69" i="11" s="1"/>
  <c r="AC156" i="11" l="1"/>
  <c r="AA218" i="11" l="1"/>
  <c r="AB210" i="11" s="1"/>
  <c r="AB218" i="11" l="1"/>
  <c r="AC210" i="11" s="1"/>
  <c r="D27" i="10" l="1"/>
  <c r="AB220" i="11"/>
  <c r="AB25" i="11" s="1"/>
  <c r="AB29" i="11" s="1"/>
  <c r="AC218" i="11"/>
  <c r="AD210" i="11" s="1"/>
  <c r="D28" i="10" l="1"/>
  <c r="AB51" i="11"/>
  <c r="AB56" i="11" s="1"/>
  <c r="AC220" i="11"/>
  <c r="AC25" i="11" s="1"/>
  <c r="AC29" i="11" s="1"/>
  <c r="AD218" i="11"/>
  <c r="AE210" i="11" s="1"/>
  <c r="H27" i="10"/>
  <c r="D29" i="10" l="1"/>
  <c r="AC51" i="11"/>
  <c r="AC56" i="11" s="1"/>
  <c r="H28" i="10"/>
  <c r="AD220" i="11"/>
  <c r="AD25" i="11" s="1"/>
  <c r="AD29" i="11" s="1"/>
  <c r="AE218" i="11"/>
  <c r="AF210" i="11" s="1"/>
  <c r="AB61" i="11"/>
  <c r="AB65" i="11" s="1"/>
  <c r="AB66" i="11" s="1"/>
  <c r="J27" i="10" l="1"/>
  <c r="I27" i="10"/>
  <c r="AF218" i="11"/>
  <c r="AG210" i="11" s="1"/>
  <c r="H29" i="10"/>
  <c r="AD51" i="11"/>
  <c r="AD56" i="11" s="1"/>
  <c r="D30" i="10"/>
  <c r="AC61" i="11"/>
  <c r="AC65" i="11" s="1"/>
  <c r="AC66" i="11" s="1"/>
  <c r="AC70" i="11"/>
  <c r="AC161" i="11" s="1"/>
  <c r="AE220" i="11"/>
  <c r="AE25" i="11" s="1"/>
  <c r="AE29" i="11" s="1"/>
  <c r="AD61" i="11" l="1"/>
  <c r="AD65" i="11" s="1"/>
  <c r="AD66" i="11" s="1"/>
  <c r="AE51" i="11"/>
  <c r="AE56" i="11" s="1"/>
  <c r="D31" i="10"/>
  <c r="AC173" i="11"/>
  <c r="AC165" i="11"/>
  <c r="H30" i="10"/>
  <c r="AF220" i="11"/>
  <c r="AF25" i="11" s="1"/>
  <c r="AF29" i="11" s="1"/>
  <c r="AG218" i="11"/>
  <c r="AH210" i="11" s="1"/>
  <c r="H31" i="10" l="1"/>
  <c r="AH218" i="11"/>
  <c r="AI210" i="11" s="1"/>
  <c r="K27" i="10"/>
  <c r="AF51" i="11"/>
  <c r="AF56" i="11" s="1"/>
  <c r="D32" i="10"/>
  <c r="AE61" i="11"/>
  <c r="AE65" i="11" s="1"/>
  <c r="AE66" i="11" s="1"/>
  <c r="AG220" i="11"/>
  <c r="AG25" i="11" s="1"/>
  <c r="AG29" i="11" s="1"/>
  <c r="AG51" i="11" l="1"/>
  <c r="AG56" i="11" s="1"/>
  <c r="D33" i="10"/>
  <c r="H33" i="10" s="1"/>
  <c r="H32" i="10"/>
  <c r="R27" i="10"/>
  <c r="M27" i="10"/>
  <c r="AH220" i="11"/>
  <c r="AH25" i="11" s="1"/>
  <c r="AH29" i="11" s="1"/>
  <c r="AF61" i="11"/>
  <c r="AF65" i="11" s="1"/>
  <c r="AF66" i="11" s="1"/>
  <c r="AI218" i="11"/>
  <c r="AJ210" i="11" s="1"/>
  <c r="AJ218" i="11" s="1"/>
  <c r="AJ220" i="11" s="1"/>
  <c r="AJ25" i="11" s="1"/>
  <c r="AJ29" i="11" s="1"/>
  <c r="AJ51" i="11" l="1"/>
  <c r="AJ56" i="11" s="1"/>
  <c r="D36" i="10"/>
  <c r="AG61" i="11"/>
  <c r="AG65" i="11" s="1"/>
  <c r="AG66" i="11" s="1"/>
  <c r="AI220" i="11"/>
  <c r="AI25" i="11" s="1"/>
  <c r="AI29" i="11" s="1"/>
  <c r="D34" i="10"/>
  <c r="AH51" i="11"/>
  <c r="AH56" i="11" s="1"/>
  <c r="AH61" i="11" l="1"/>
  <c r="AH65" i="11" s="1"/>
  <c r="AH66" i="11" s="1"/>
  <c r="AI51" i="11"/>
  <c r="AI56" i="11" s="1"/>
  <c r="D35" i="10"/>
  <c r="H36" i="10"/>
  <c r="H34" i="10"/>
  <c r="AI61" i="11" l="1"/>
  <c r="AI65" i="11" s="1"/>
  <c r="AI66" i="11" s="1"/>
  <c r="H35" i="10"/>
  <c r="I28" i="10" l="1"/>
  <c r="J28" i="10"/>
  <c r="AC174" i="11" l="1"/>
  <c r="AC166" i="11"/>
  <c r="AC169" i="11" s="1"/>
  <c r="AC72" i="11" s="1"/>
  <c r="AB187" i="11"/>
  <c r="K28" i="10"/>
  <c r="AC177" i="11" l="1"/>
  <c r="AC73" i="11" s="1"/>
  <c r="R28" i="10"/>
  <c r="M28" i="10"/>
  <c r="I29" i="10"/>
  <c r="AC76" i="11" l="1"/>
  <c r="J29" i="10"/>
  <c r="L29" i="10" l="1"/>
  <c r="AC75" i="11"/>
  <c r="I30" i="10"/>
  <c r="J30" i="10"/>
  <c r="AD187" i="11" l="1"/>
  <c r="K30" i="10"/>
  <c r="AC187" i="11"/>
  <c r="K29" i="10"/>
  <c r="AC79" i="11"/>
  <c r="R29" i="10" l="1"/>
  <c r="M29" i="10"/>
  <c r="R30" i="10"/>
  <c r="M30" i="10"/>
  <c r="I31" i="10"/>
  <c r="J31" i="10" l="1"/>
  <c r="I32" i="10" l="1"/>
  <c r="L31" i="10"/>
  <c r="J32" i="10"/>
  <c r="AE187" i="11" l="1"/>
  <c r="K31" i="10"/>
  <c r="AF187" i="11"/>
  <c r="K32" i="10"/>
  <c r="I33" i="10" l="1"/>
  <c r="R31" i="10"/>
  <c r="M31" i="10"/>
  <c r="R32" i="10"/>
  <c r="M32" i="10"/>
  <c r="J33" i="10" l="1"/>
  <c r="J34" i="10" l="1"/>
  <c r="L33" i="10"/>
  <c r="I34" i="10"/>
  <c r="AG187" i="11" l="1"/>
  <c r="K33" i="10"/>
  <c r="AH187" i="11"/>
  <c r="K34" i="10"/>
  <c r="R34" i="10" l="1"/>
  <c r="M34" i="10"/>
  <c r="I35" i="10"/>
  <c r="R33" i="10"/>
  <c r="M33" i="10"/>
  <c r="J35" i="10" l="1"/>
  <c r="J36" i="10" l="1"/>
  <c r="L35" i="10"/>
  <c r="I36" i="10"/>
  <c r="AI187" i="11" l="1"/>
  <c r="K35" i="10"/>
  <c r="AJ187" i="11"/>
  <c r="K36" i="10"/>
  <c r="R35" i="10" l="1"/>
  <c r="M35" i="10"/>
  <c r="R36" i="10"/>
  <c r="M36" i="10"/>
  <c r="AI154" i="11" l="1"/>
  <c r="AI69" i="11" s="1"/>
  <c r="AI70" i="11" s="1"/>
  <c r="AJ212" i="11"/>
  <c r="AJ221" i="11" s="1"/>
  <c r="AJ59" i="11" s="1"/>
  <c r="AJ61" i="11" s="1"/>
  <c r="AJ65" i="11" s="1"/>
  <c r="AJ66" i="11" s="1"/>
  <c r="AJ154" i="11"/>
  <c r="AJ69" i="11" s="1"/>
  <c r="AJ70" i="11" s="1"/>
  <c r="L36" i="10"/>
  <c r="AG154" i="11"/>
  <c r="AG69" i="11" s="1"/>
  <c r="AG70" i="11" s="1"/>
  <c r="AH154" i="11"/>
  <c r="AH69" i="11" s="1"/>
  <c r="AH70" i="11" s="1"/>
  <c r="L34" i="10"/>
  <c r="AE154" i="11"/>
  <c r="AE69" i="11" s="1"/>
  <c r="AE70" i="11" s="1"/>
  <c r="AF154" i="11"/>
  <c r="AF69" i="11" s="1"/>
  <c r="AF70" i="11" s="1"/>
  <c r="L32" i="10"/>
  <c r="AD154" i="11"/>
  <c r="AD69" i="11" s="1"/>
  <c r="AD70" i="11" s="1"/>
  <c r="L30" i="10"/>
  <c r="AB154" i="11"/>
  <c r="AB69" i="11" s="1"/>
  <c r="AB70" i="11" s="1"/>
  <c r="L28" i="10"/>
  <c r="AA154" i="11"/>
  <c r="AA69" i="11" s="1"/>
  <c r="L27" i="10"/>
  <c r="O36" i="10"/>
  <c r="O35" i="10"/>
  <c r="O33" i="10"/>
  <c r="O34" i="10"/>
  <c r="O32" i="10"/>
  <c r="O31" i="10"/>
  <c r="O29" i="10"/>
  <c r="O30" i="10"/>
  <c r="O28" i="10"/>
  <c r="O27" i="10"/>
  <c r="AA156" i="11" l="1"/>
  <c r="AE156" i="11"/>
  <c r="AH156" i="11"/>
  <c r="AD156" i="11"/>
  <c r="AG156" i="11"/>
  <c r="AJ156" i="11"/>
  <c r="AI156" i="11"/>
  <c r="AF156" i="11"/>
  <c r="AB156" i="11"/>
  <c r="AF73" i="11"/>
  <c r="AF76" i="11" s="1"/>
  <c r="AF72" i="11"/>
  <c r="AF161" i="11"/>
  <c r="AJ72" i="11"/>
  <c r="AJ73" i="11"/>
  <c r="AJ76" i="11" s="1"/>
  <c r="AJ161" i="11"/>
  <c r="AI72" i="11"/>
  <c r="AI73" i="11"/>
  <c r="AI76" i="11" s="1"/>
  <c r="AI161" i="11"/>
  <c r="AB73" i="11"/>
  <c r="AB76" i="11" s="1"/>
  <c r="AB72" i="11"/>
  <c r="AB161" i="11"/>
  <c r="AD72" i="11"/>
  <c r="AD73" i="11"/>
  <c r="AD76" i="11" s="1"/>
  <c r="AD161" i="11"/>
  <c r="AE73" i="11"/>
  <c r="AE76" i="11" s="1"/>
  <c r="AE161" i="11"/>
  <c r="AE72" i="11"/>
  <c r="AH72" i="11"/>
  <c r="AH161" i="11"/>
  <c r="AH73" i="11"/>
  <c r="AH76" i="11" s="1"/>
  <c r="AG72" i="11"/>
  <c r="AG161" i="11"/>
  <c r="AG73" i="11"/>
  <c r="AG76" i="11" s="1"/>
  <c r="AE75" i="11" l="1"/>
  <c r="AE79" i="11" s="1"/>
  <c r="AD75" i="11"/>
  <c r="AD79" i="11" s="1"/>
  <c r="AB75" i="11"/>
  <c r="AB79" i="11" s="1"/>
  <c r="AJ75" i="11"/>
  <c r="AJ79" i="11" s="1"/>
  <c r="AF75" i="11"/>
  <c r="AF79" i="11" s="1"/>
  <c r="AH173" i="11"/>
  <c r="AH166" i="11"/>
  <c r="AH174" i="11"/>
  <c r="AH165" i="11"/>
  <c r="AB166" i="11"/>
  <c r="AB173" i="11"/>
  <c r="AB165" i="11"/>
  <c r="AB174" i="11"/>
  <c r="AI173" i="11"/>
  <c r="AI165" i="11"/>
  <c r="AI174" i="11"/>
  <c r="AI166" i="11"/>
  <c r="AF166" i="11"/>
  <c r="AF173" i="11"/>
  <c r="AF165" i="11"/>
  <c r="AF174" i="11"/>
  <c r="AG75" i="11"/>
  <c r="AG79" i="11" s="1"/>
  <c r="AI75" i="11"/>
  <c r="AI79" i="11" s="1"/>
  <c r="AG174" i="11"/>
  <c r="AG166" i="11"/>
  <c r="AG173" i="11"/>
  <c r="AG165" i="11"/>
  <c r="AE174" i="11"/>
  <c r="AE166" i="11"/>
  <c r="AE173" i="11"/>
  <c r="AE165" i="11"/>
  <c r="AD174" i="11"/>
  <c r="AD165" i="11"/>
  <c r="AD173" i="11"/>
  <c r="AD166" i="11"/>
  <c r="AJ174" i="11"/>
  <c r="AJ165" i="11"/>
  <c r="AJ173" i="11"/>
  <c r="AJ166" i="11"/>
  <c r="AH75" i="11"/>
  <c r="AH79" i="11" s="1"/>
  <c r="AE169" i="11" l="1"/>
  <c r="AB169" i="11"/>
  <c r="AJ177" i="11"/>
  <c r="AG169" i="11"/>
  <c r="AD177" i="11"/>
  <c r="AH177" i="11"/>
  <c r="AF169" i="11"/>
  <c r="AI177" i="11"/>
  <c r="AE177" i="11"/>
  <c r="AG177" i="11"/>
  <c r="AH169" i="11"/>
  <c r="AD169" i="11"/>
  <c r="AI169" i="11"/>
  <c r="AJ169" i="11"/>
  <c r="AB177" i="11"/>
  <c r="AF177" i="11"/>
  <c r="T99" i="11" l="1"/>
  <c r="T58" i="11" s="1"/>
  <c r="U99" i="11"/>
  <c r="U98" i="11"/>
  <c r="T104" i="11" l="1"/>
  <c r="G195" i="11"/>
  <c r="U58" i="11"/>
  <c r="U104" i="11"/>
  <c r="U55" i="11"/>
  <c r="U97" i="11"/>
  <c r="F21" i="10" s="1"/>
  <c r="Q51" i="7" l="1"/>
  <c r="G198" i="11"/>
  <c r="G78" i="11" s="1"/>
  <c r="V211" i="11" l="1"/>
  <c r="V221" i="11" s="1"/>
  <c r="V59" i="11" s="1"/>
  <c r="G22" i="10" s="1"/>
  <c r="T98" i="11" l="1"/>
  <c r="T55" i="11" l="1"/>
  <c r="T97" i="11"/>
  <c r="F20" i="10" s="1"/>
  <c r="T53" i="11" l="1"/>
  <c r="U53" i="11" l="1"/>
  <c r="P21" i="10" s="1"/>
  <c r="P20" i="10"/>
  <c r="G29" i="7" l="1"/>
  <c r="F92" i="11" s="1"/>
  <c r="F94" i="11" s="1"/>
  <c r="H99" i="11" s="1"/>
  <c r="D121" i="12"/>
  <c r="G28" i="7"/>
  <c r="R99" i="11" l="1"/>
  <c r="R58" i="11" s="1"/>
  <c r="D29" i="9"/>
  <c r="D30" i="9" s="1"/>
  <c r="O182" i="11"/>
  <c r="O184" i="11" s="1"/>
  <c r="O77" i="11" s="1"/>
  <c r="G78" i="7"/>
  <c r="P182" i="11"/>
  <c r="P184" i="11" s="1"/>
  <c r="P77" i="11" s="1"/>
  <c r="N182" i="11"/>
  <c r="N184" i="11" s="1"/>
  <c r="N77" i="11" s="1"/>
  <c r="G30" i="7"/>
  <c r="F103" i="11"/>
  <c r="F105" i="11" s="1"/>
  <c r="G102" i="11" s="1"/>
  <c r="S99" i="11"/>
  <c r="S58" i="11" s="1"/>
  <c r="Q99" i="11"/>
  <c r="P99" i="11"/>
  <c r="O99" i="11"/>
  <c r="M182" i="11"/>
  <c r="M184" i="11" s="1"/>
  <c r="M77" i="11" s="1"/>
  <c r="N99" i="11"/>
  <c r="L182" i="11"/>
  <c r="L184" i="11" s="1"/>
  <c r="L77" i="11" s="1"/>
  <c r="M99" i="11"/>
  <c r="K182" i="11"/>
  <c r="K184" i="11" s="1"/>
  <c r="K77" i="11" s="1"/>
  <c r="L99" i="11"/>
  <c r="J182" i="11"/>
  <c r="J184" i="11" s="1"/>
  <c r="J77" i="11" s="1"/>
  <c r="I182" i="11"/>
  <c r="I184" i="11" s="1"/>
  <c r="I77" i="11" s="1"/>
  <c r="K99" i="11"/>
  <c r="J99" i="11"/>
  <c r="H182" i="11"/>
  <c r="H184" i="11" s="1"/>
  <c r="H77" i="11" s="1"/>
  <c r="G182" i="11"/>
  <c r="C118" i="11"/>
  <c r="C114" i="11"/>
  <c r="H58" i="11"/>
  <c r="H104" i="11"/>
  <c r="I99" i="11"/>
  <c r="F64" i="11"/>
  <c r="C116" i="11"/>
  <c r="C112" i="11"/>
  <c r="C120" i="11"/>
  <c r="C117" i="11"/>
  <c r="C115" i="11"/>
  <c r="C113" i="11"/>
  <c r="C111" i="11"/>
  <c r="Q37" i="7" s="1"/>
  <c r="G40" i="7"/>
  <c r="I39" i="11" s="1"/>
  <c r="I47" i="11" s="1"/>
  <c r="G99" i="11"/>
  <c r="H98" i="11"/>
  <c r="I98" i="11"/>
  <c r="J98" i="11"/>
  <c r="K98" i="11"/>
  <c r="L98" i="11"/>
  <c r="M98" i="11"/>
  <c r="N98" i="11"/>
  <c r="O98" i="11"/>
  <c r="P98" i="11"/>
  <c r="Q98" i="11"/>
  <c r="R98" i="11"/>
  <c r="S98" i="11"/>
  <c r="G98" i="11"/>
  <c r="C124" i="11" l="1"/>
  <c r="G181" i="11"/>
  <c r="G184" i="11" s="1"/>
  <c r="G77" i="11" s="1"/>
  <c r="R104" i="11"/>
  <c r="S104" i="11"/>
  <c r="P58" i="11"/>
  <c r="P104" i="11"/>
  <c r="O58" i="11"/>
  <c r="O104" i="11"/>
  <c r="Q58" i="11"/>
  <c r="Q104" i="11"/>
  <c r="N58" i="11"/>
  <c r="N104" i="11"/>
  <c r="M58" i="11"/>
  <c r="M104" i="11"/>
  <c r="L58" i="11"/>
  <c r="L104" i="11"/>
  <c r="K58" i="11"/>
  <c r="K104" i="11"/>
  <c r="J58" i="11"/>
  <c r="J104" i="11"/>
  <c r="C122" i="11"/>
  <c r="D113" i="11" s="1"/>
  <c r="I58" i="11"/>
  <c r="I104" i="11"/>
  <c r="F66" i="11"/>
  <c r="F79" i="11" s="1"/>
  <c r="M6" i="10" s="1"/>
  <c r="N6" i="10" s="1"/>
  <c r="G79" i="7"/>
  <c r="G39" i="11"/>
  <c r="G47" i="11" s="1"/>
  <c r="H39" i="11"/>
  <c r="H47" i="11" s="1"/>
  <c r="K39" i="11"/>
  <c r="K47" i="11" s="1"/>
  <c r="L39" i="11"/>
  <c r="L47" i="11" s="1"/>
  <c r="O39" i="11"/>
  <c r="O47" i="11" s="1"/>
  <c r="P39" i="11"/>
  <c r="P47" i="11" s="1"/>
  <c r="S39" i="11"/>
  <c r="S47" i="11" s="1"/>
  <c r="T39" i="11"/>
  <c r="T47" i="11" s="1"/>
  <c r="W39" i="11"/>
  <c r="W47" i="11" s="1"/>
  <c r="X39" i="11"/>
  <c r="X47" i="11" s="1"/>
  <c r="J39" i="11"/>
  <c r="J47" i="11" s="1"/>
  <c r="M39" i="11"/>
  <c r="M47" i="11" s="1"/>
  <c r="N39" i="11"/>
  <c r="N47" i="11" s="1"/>
  <c r="Q39" i="11"/>
  <c r="Q47" i="11" s="1"/>
  <c r="R39" i="11"/>
  <c r="R47" i="11" s="1"/>
  <c r="U39" i="11"/>
  <c r="U47" i="11" s="1"/>
  <c r="V39" i="11"/>
  <c r="V47" i="11" s="1"/>
  <c r="Y39" i="11"/>
  <c r="Y47" i="11" s="1"/>
  <c r="Z39" i="11"/>
  <c r="Z47" i="11" s="1"/>
  <c r="C123" i="11"/>
  <c r="I48" i="11"/>
  <c r="E9" i="10"/>
  <c r="I49" i="11"/>
  <c r="Q55" i="11"/>
  <c r="Q97" i="11"/>
  <c r="F17" i="10" s="1"/>
  <c r="M55" i="11"/>
  <c r="M97" i="11"/>
  <c r="F13" i="10" s="1"/>
  <c r="G55" i="11"/>
  <c r="G97" i="11"/>
  <c r="R55" i="11"/>
  <c r="R97" i="11"/>
  <c r="F18" i="10" s="1"/>
  <c r="P55" i="11"/>
  <c r="P97" i="11"/>
  <c r="F16" i="10" s="1"/>
  <c r="N55" i="11"/>
  <c r="N97" i="11"/>
  <c r="F14" i="10" s="1"/>
  <c r="L55" i="11"/>
  <c r="L97" i="11"/>
  <c r="F12" i="10" s="1"/>
  <c r="J55" i="11"/>
  <c r="J97" i="11"/>
  <c r="F10" i="10" s="1"/>
  <c r="H55" i="11"/>
  <c r="H97" i="11"/>
  <c r="F8" i="10" s="1"/>
  <c r="S55" i="11"/>
  <c r="S97" i="11"/>
  <c r="F19" i="10" s="1"/>
  <c r="O55" i="11"/>
  <c r="O97" i="11"/>
  <c r="F15" i="10" s="1"/>
  <c r="K55" i="11"/>
  <c r="K97" i="11"/>
  <c r="F11" i="10" s="1"/>
  <c r="I55" i="11"/>
  <c r="I97" i="11"/>
  <c r="F9" i="10" s="1"/>
  <c r="G58" i="11"/>
  <c r="G104" i="11"/>
  <c r="G105" i="11" s="1"/>
  <c r="H102" i="11" s="1"/>
  <c r="H105" i="11" s="1"/>
  <c r="I102" i="11" s="1"/>
  <c r="I105" i="11" l="1"/>
  <c r="J102" i="11" s="1"/>
  <c r="J105" i="11" s="1"/>
  <c r="K102" i="11" s="1"/>
  <c r="K105" i="11" s="1"/>
  <c r="L102" i="11" s="1"/>
  <c r="L105" i="11" s="1"/>
  <c r="M102" i="11" s="1"/>
  <c r="M105" i="11" s="1"/>
  <c r="N102" i="11" s="1"/>
  <c r="N105" i="11" s="1"/>
  <c r="O102" i="11" s="1"/>
  <c r="O105" i="11" s="1"/>
  <c r="P102" i="11" s="1"/>
  <c r="P105" i="11" s="1"/>
  <c r="Q102" i="11" s="1"/>
  <c r="Q105" i="11" s="1"/>
  <c r="R102" i="11" s="1"/>
  <c r="R105" i="11" s="1"/>
  <c r="S102" i="11" s="1"/>
  <c r="S105" i="11" s="1"/>
  <c r="T102" i="11" s="1"/>
  <c r="T105" i="11" s="1"/>
  <c r="U102" i="11" s="1"/>
  <c r="U105" i="11" s="1"/>
  <c r="V102" i="11" s="1"/>
  <c r="V105" i="11" s="1"/>
  <c r="W102" i="11" s="1"/>
  <c r="W105" i="11" s="1"/>
  <c r="X102" i="11" s="1"/>
  <c r="X105" i="11" s="1"/>
  <c r="Y102" i="11" s="1"/>
  <c r="Y105" i="11" s="1"/>
  <c r="Z102" i="11" s="1"/>
  <c r="Z105" i="11" s="1"/>
  <c r="AA102" i="11" s="1"/>
  <c r="AA105" i="11" s="1"/>
  <c r="AB102" i="11" s="1"/>
  <c r="AB105" i="11" s="1"/>
  <c r="AC102" i="11" s="1"/>
  <c r="AC105" i="11" s="1"/>
  <c r="AD102" i="11" s="1"/>
  <c r="AD105" i="11" s="1"/>
  <c r="AE102" i="11" s="1"/>
  <c r="AE105" i="11" s="1"/>
  <c r="AF102" i="11" s="1"/>
  <c r="AF105" i="11" s="1"/>
  <c r="AG102" i="11" s="1"/>
  <c r="AG105" i="11" s="1"/>
  <c r="AH102" i="11" s="1"/>
  <c r="AH105" i="11" s="1"/>
  <c r="AI102" i="11" s="1"/>
  <c r="AI105" i="11" s="1"/>
  <c r="AJ102" i="11" s="1"/>
  <c r="AJ105" i="11" s="1"/>
  <c r="D117" i="11"/>
  <c r="E117" i="11" s="1"/>
  <c r="AJ134" i="11" s="1"/>
  <c r="D114" i="11"/>
  <c r="E114" i="11" s="1"/>
  <c r="AC131" i="11" s="1"/>
  <c r="D120" i="11"/>
  <c r="E120" i="11" s="1"/>
  <c r="E137" i="11" s="1"/>
  <c r="E113" i="11"/>
  <c r="D116" i="11"/>
  <c r="E116" i="11" s="1"/>
  <c r="D118" i="11"/>
  <c r="E118" i="11" s="1"/>
  <c r="D112" i="11"/>
  <c r="E112" i="11" s="1"/>
  <c r="D115" i="11"/>
  <c r="E115" i="11" s="1"/>
  <c r="D111" i="11"/>
  <c r="E119" i="11"/>
  <c r="G81" i="7"/>
  <c r="F79" i="7" s="1"/>
  <c r="Z48" i="11"/>
  <c r="Z49" i="11"/>
  <c r="E26" i="10"/>
  <c r="V48" i="11"/>
  <c r="E22" i="10"/>
  <c r="S22" i="10" s="1"/>
  <c r="V49" i="11"/>
  <c r="R48" i="11"/>
  <c r="E18" i="10"/>
  <c r="S18" i="10" s="1"/>
  <c r="R49" i="11"/>
  <c r="N48" i="11"/>
  <c r="E14" i="10"/>
  <c r="S14" i="10" s="1"/>
  <c r="N49" i="11"/>
  <c r="J48" i="11"/>
  <c r="E10" i="10"/>
  <c r="S10" i="10" s="1"/>
  <c r="J49" i="11"/>
  <c r="W48" i="11"/>
  <c r="W49" i="11"/>
  <c r="E23" i="10"/>
  <c r="S23" i="10" s="1"/>
  <c r="S48" i="11"/>
  <c r="S49" i="11"/>
  <c r="E19" i="10"/>
  <c r="S19" i="10" s="1"/>
  <c r="O48" i="11"/>
  <c r="O49" i="11"/>
  <c r="E15" i="10"/>
  <c r="S15" i="10" s="1"/>
  <c r="K48" i="11"/>
  <c r="K49" i="11"/>
  <c r="E11" i="10"/>
  <c r="S11" i="10" s="1"/>
  <c r="G48" i="11"/>
  <c r="E7" i="10"/>
  <c r="G49" i="11"/>
  <c r="D40" i="9" s="1"/>
  <c r="Y48" i="11"/>
  <c r="Y49" i="11"/>
  <c r="E25" i="10"/>
  <c r="S25" i="10" s="1"/>
  <c r="U48" i="11"/>
  <c r="U49" i="11"/>
  <c r="E21" i="10"/>
  <c r="S21" i="10" s="1"/>
  <c r="Q48" i="11"/>
  <c r="E17" i="10"/>
  <c r="S17" i="10" s="1"/>
  <c r="Q49" i="11"/>
  <c r="M48" i="11"/>
  <c r="M49" i="11"/>
  <c r="E13" i="10"/>
  <c r="S13" i="10" s="1"/>
  <c r="X48" i="11"/>
  <c r="E24" i="10"/>
  <c r="S24" i="10" s="1"/>
  <c r="X49" i="11"/>
  <c r="T48" i="11"/>
  <c r="E20" i="10"/>
  <c r="T49" i="11"/>
  <c r="P48" i="11"/>
  <c r="E16" i="10"/>
  <c r="S16" i="10" s="1"/>
  <c r="P49" i="11"/>
  <c r="L48" i="11"/>
  <c r="E12" i="10"/>
  <c r="S12" i="10" s="1"/>
  <c r="L49" i="11"/>
  <c r="H48" i="11"/>
  <c r="H49" i="11"/>
  <c r="E8" i="10"/>
  <c r="S8" i="10" s="1"/>
  <c r="Q81" i="7"/>
  <c r="F7" i="10"/>
  <c r="S9" i="10"/>
  <c r="N134" i="11" l="1"/>
  <c r="AD134" i="11"/>
  <c r="T134" i="11"/>
  <c r="U134" i="11"/>
  <c r="W134" i="11"/>
  <c r="Y134" i="11"/>
  <c r="J134" i="11"/>
  <c r="R134" i="11"/>
  <c r="AE134" i="11"/>
  <c r="M134" i="11"/>
  <c r="AB134" i="11"/>
  <c r="U131" i="11"/>
  <c r="N131" i="11"/>
  <c r="AF131" i="11"/>
  <c r="H134" i="11"/>
  <c r="L134" i="11"/>
  <c r="P134" i="11"/>
  <c r="X134" i="11"/>
  <c r="AA134" i="11"/>
  <c r="AI134" i="11"/>
  <c r="AH134" i="11"/>
  <c r="I134" i="11"/>
  <c r="Q134" i="11"/>
  <c r="AC134" i="11"/>
  <c r="G134" i="11"/>
  <c r="V134" i="11"/>
  <c r="O134" i="11"/>
  <c r="Z134" i="11"/>
  <c r="AF134" i="11"/>
  <c r="K134" i="11"/>
  <c r="S134" i="11"/>
  <c r="AG134" i="11"/>
  <c r="J131" i="11"/>
  <c r="R131" i="11"/>
  <c r="X131" i="11"/>
  <c r="H131" i="11"/>
  <c r="I131" i="11"/>
  <c r="M131" i="11"/>
  <c r="Q131" i="11"/>
  <c r="T131" i="11"/>
  <c r="Z131" i="11"/>
  <c r="AD131" i="11"/>
  <c r="AA131" i="11"/>
  <c r="AI131" i="11"/>
  <c r="K131" i="11"/>
  <c r="O131" i="11"/>
  <c r="S131" i="11"/>
  <c r="V131" i="11"/>
  <c r="Y131" i="11"/>
  <c r="AH131" i="11"/>
  <c r="AE131" i="11"/>
  <c r="L131" i="11"/>
  <c r="P131" i="11"/>
  <c r="G131" i="11"/>
  <c r="W131" i="11"/>
  <c r="AB131" i="11"/>
  <c r="AJ131" i="11"/>
  <c r="AG131" i="11"/>
  <c r="S7" i="10"/>
  <c r="H133" i="11"/>
  <c r="J133" i="11"/>
  <c r="L133" i="11"/>
  <c r="N133" i="11"/>
  <c r="P133" i="11"/>
  <c r="R133" i="11"/>
  <c r="G133" i="11"/>
  <c r="U133" i="11"/>
  <c r="W133" i="11"/>
  <c r="X133" i="11"/>
  <c r="AB133" i="11"/>
  <c r="AF133" i="11"/>
  <c r="AJ133" i="11"/>
  <c r="AC133" i="11"/>
  <c r="AG133" i="11"/>
  <c r="K133" i="11"/>
  <c r="Z133" i="11"/>
  <c r="AH133" i="11"/>
  <c r="AE133" i="11"/>
  <c r="I133" i="11"/>
  <c r="M133" i="11"/>
  <c r="O133" i="11"/>
  <c r="Q133" i="11"/>
  <c r="S133" i="11"/>
  <c r="T133" i="11"/>
  <c r="V133" i="11"/>
  <c r="Y133" i="11"/>
  <c r="AD133" i="11"/>
  <c r="AA133" i="11"/>
  <c r="AI133" i="11"/>
  <c r="H135" i="11"/>
  <c r="J135" i="11"/>
  <c r="L135" i="11"/>
  <c r="N135" i="11"/>
  <c r="P135" i="11"/>
  <c r="R135" i="11"/>
  <c r="G135" i="11"/>
  <c r="U135" i="11"/>
  <c r="W135" i="11"/>
  <c r="X135" i="11"/>
  <c r="AB135" i="11"/>
  <c r="AF135" i="11"/>
  <c r="AJ135" i="11"/>
  <c r="AC135" i="11"/>
  <c r="AG135" i="11"/>
  <c r="I135" i="11"/>
  <c r="K135" i="11"/>
  <c r="M135" i="11"/>
  <c r="O135" i="11"/>
  <c r="Q135" i="11"/>
  <c r="S135" i="11"/>
  <c r="T135" i="11"/>
  <c r="V135" i="11"/>
  <c r="Z135" i="11"/>
  <c r="Y135" i="11"/>
  <c r="AD135" i="11"/>
  <c r="AH135" i="11"/>
  <c r="AA135" i="11"/>
  <c r="AE135" i="11"/>
  <c r="AI135" i="11"/>
  <c r="G130" i="11"/>
  <c r="U130" i="11"/>
  <c r="H130" i="11"/>
  <c r="J130" i="11"/>
  <c r="L130" i="11"/>
  <c r="N130" i="11"/>
  <c r="P130" i="11"/>
  <c r="R130" i="11"/>
  <c r="X130" i="11"/>
  <c r="W130" i="11"/>
  <c r="AA130" i="11"/>
  <c r="AE130" i="11"/>
  <c r="AI130" i="11"/>
  <c r="AD130" i="11"/>
  <c r="AH130" i="11"/>
  <c r="T130" i="11"/>
  <c r="V130" i="11"/>
  <c r="I130" i="11"/>
  <c r="K130" i="11"/>
  <c r="M130" i="11"/>
  <c r="O130" i="11"/>
  <c r="Q130" i="11"/>
  <c r="S130" i="11"/>
  <c r="Y130" i="11"/>
  <c r="Z130" i="11"/>
  <c r="AC130" i="11"/>
  <c r="AG130" i="11"/>
  <c r="AB130" i="11"/>
  <c r="AF130" i="11"/>
  <c r="AJ130" i="11"/>
  <c r="U136" i="11"/>
  <c r="G136" i="11"/>
  <c r="I136" i="11"/>
  <c r="K136" i="11"/>
  <c r="M136" i="11"/>
  <c r="O136" i="11"/>
  <c r="Q136" i="11"/>
  <c r="S136" i="11"/>
  <c r="X136" i="11"/>
  <c r="Z136" i="11"/>
  <c r="AC136" i="11"/>
  <c r="AG136" i="11"/>
  <c r="AB136" i="11"/>
  <c r="AF136" i="11"/>
  <c r="AJ136" i="11"/>
  <c r="T136" i="11"/>
  <c r="V136" i="11"/>
  <c r="H136" i="11"/>
  <c r="J136" i="11"/>
  <c r="L136" i="11"/>
  <c r="N136" i="11"/>
  <c r="P136" i="11"/>
  <c r="R136" i="11"/>
  <c r="W136" i="11"/>
  <c r="Y136" i="11"/>
  <c r="AA136" i="11"/>
  <c r="AE136" i="11"/>
  <c r="AI136" i="11"/>
  <c r="AD136" i="11"/>
  <c r="AH136" i="11"/>
  <c r="G132" i="11"/>
  <c r="U132" i="11"/>
  <c r="H132" i="11"/>
  <c r="J132" i="11"/>
  <c r="L132" i="11"/>
  <c r="N132" i="11"/>
  <c r="P132" i="11"/>
  <c r="R132" i="11"/>
  <c r="W132" i="11"/>
  <c r="Y132" i="11"/>
  <c r="AA132" i="11"/>
  <c r="AE132" i="11"/>
  <c r="AI132" i="11"/>
  <c r="AD132" i="11"/>
  <c r="AH132" i="11"/>
  <c r="T132" i="11"/>
  <c r="V132" i="11"/>
  <c r="I132" i="11"/>
  <c r="K132" i="11"/>
  <c r="M132" i="11"/>
  <c r="O132" i="11"/>
  <c r="Q132" i="11"/>
  <c r="S132" i="11"/>
  <c r="X132" i="11"/>
  <c r="Z132" i="11"/>
  <c r="AC132" i="11"/>
  <c r="AG132" i="11"/>
  <c r="AB132" i="11"/>
  <c r="AF132" i="11"/>
  <c r="AJ132" i="11"/>
  <c r="I129" i="11"/>
  <c r="K129" i="11"/>
  <c r="M129" i="11"/>
  <c r="O129" i="11"/>
  <c r="Q129" i="11"/>
  <c r="S129" i="11"/>
  <c r="T129" i="11"/>
  <c r="V129" i="11"/>
  <c r="Z129" i="11"/>
  <c r="Y129" i="11"/>
  <c r="AD129" i="11"/>
  <c r="AH129" i="11"/>
  <c r="AA129" i="11"/>
  <c r="AE129" i="11"/>
  <c r="AI129" i="11"/>
  <c r="H129" i="11"/>
  <c r="J129" i="11"/>
  <c r="L129" i="11"/>
  <c r="N129" i="11"/>
  <c r="P129" i="11"/>
  <c r="R129" i="11"/>
  <c r="G129" i="11"/>
  <c r="U129" i="11"/>
  <c r="W129" i="11"/>
  <c r="X129" i="11"/>
  <c r="AB129" i="11"/>
  <c r="AF129" i="11"/>
  <c r="AJ129" i="11"/>
  <c r="AC129" i="11"/>
  <c r="AG129" i="11"/>
  <c r="E111" i="11"/>
  <c r="D122" i="11"/>
  <c r="D123" i="11" s="1"/>
  <c r="F80" i="7"/>
  <c r="F78" i="7"/>
  <c r="G74" i="7" s="1"/>
  <c r="Q84" i="7"/>
  <c r="F212" i="11" s="1"/>
  <c r="Z212" i="11" s="1"/>
  <c r="Z221" i="11" s="1"/>
  <c r="Z59" i="11" s="1"/>
  <c r="G26" i="10" s="1"/>
  <c r="S26" i="10" s="1"/>
  <c r="F211" i="11"/>
  <c r="E134" i="11" l="1"/>
  <c r="E131" i="11"/>
  <c r="C109" i="12"/>
  <c r="C110" i="12" s="1"/>
  <c r="D110" i="12" s="1"/>
  <c r="E130" i="11"/>
  <c r="E135" i="11"/>
  <c r="E133" i="11"/>
  <c r="G128" i="11"/>
  <c r="U128" i="11"/>
  <c r="U154" i="11" s="1"/>
  <c r="H128" i="11"/>
  <c r="H154" i="11" s="1"/>
  <c r="J128" i="11"/>
  <c r="J154" i="11" s="1"/>
  <c r="L128" i="11"/>
  <c r="L154" i="11" s="1"/>
  <c r="N128" i="11"/>
  <c r="N154" i="11" s="1"/>
  <c r="P128" i="11"/>
  <c r="P154" i="11" s="1"/>
  <c r="R128" i="11"/>
  <c r="R154" i="11" s="1"/>
  <c r="W128" i="11"/>
  <c r="W154" i="11" s="1"/>
  <c r="Y128" i="11"/>
  <c r="Y154" i="11" s="1"/>
  <c r="AA128" i="11"/>
  <c r="AE128" i="11"/>
  <c r="AI128" i="11"/>
  <c r="AD128" i="11"/>
  <c r="AH128" i="11"/>
  <c r="E122" i="11"/>
  <c r="E123" i="11" s="1"/>
  <c r="T128" i="11"/>
  <c r="T154" i="11" s="1"/>
  <c r="V128" i="11"/>
  <c r="V154" i="11" s="1"/>
  <c r="I128" i="11"/>
  <c r="I154" i="11" s="1"/>
  <c r="K128" i="11"/>
  <c r="K154" i="11" s="1"/>
  <c r="M128" i="11"/>
  <c r="M154" i="11" s="1"/>
  <c r="O128" i="11"/>
  <c r="O154" i="11" s="1"/>
  <c r="Q128" i="11"/>
  <c r="Q154" i="11" s="1"/>
  <c r="S128" i="11"/>
  <c r="S154" i="11" s="1"/>
  <c r="X128" i="11"/>
  <c r="X154" i="11" s="1"/>
  <c r="Z128" i="11"/>
  <c r="Z154" i="11" s="1"/>
  <c r="AC128" i="11"/>
  <c r="AG128" i="11"/>
  <c r="AB128" i="11"/>
  <c r="AF128" i="11"/>
  <c r="AJ128" i="11"/>
  <c r="E132" i="11"/>
  <c r="E129" i="11"/>
  <c r="E136" i="11"/>
  <c r="G27" i="7"/>
  <c r="F218" i="11"/>
  <c r="G210" i="11" s="1"/>
  <c r="T211" i="11"/>
  <c r="T221" i="11" s="1"/>
  <c r="T59" i="11" s="1"/>
  <c r="G20" i="10" s="1"/>
  <c r="S20" i="10" s="1"/>
  <c r="N120" i="12" l="1"/>
  <c r="N121" i="12" s="1"/>
  <c r="X69" i="11"/>
  <c r="X156" i="11"/>
  <c r="Q69" i="11"/>
  <c r="Q156" i="11"/>
  <c r="M69" i="11"/>
  <c r="M156" i="11"/>
  <c r="I69" i="11"/>
  <c r="I156" i="11"/>
  <c r="T69" i="11"/>
  <c r="T156" i="11"/>
  <c r="W69" i="11"/>
  <c r="W156" i="11"/>
  <c r="P69" i="11"/>
  <c r="P156" i="11"/>
  <c r="L69" i="11"/>
  <c r="L156" i="11"/>
  <c r="H69" i="11"/>
  <c r="H156" i="11"/>
  <c r="E128" i="11"/>
  <c r="E138" i="11" s="1"/>
  <c r="F138" i="11" s="1"/>
  <c r="G154" i="11"/>
  <c r="Z69" i="11"/>
  <c r="Z156" i="11"/>
  <c r="S69" i="11"/>
  <c r="S156" i="11"/>
  <c r="O69" i="11"/>
  <c r="O156" i="11"/>
  <c r="K69" i="11"/>
  <c r="K156" i="11"/>
  <c r="V69" i="11"/>
  <c r="V156" i="11"/>
  <c r="Y69" i="11"/>
  <c r="Y156" i="11"/>
  <c r="R69" i="11"/>
  <c r="R156" i="11"/>
  <c r="N69" i="11"/>
  <c r="N156" i="11"/>
  <c r="J69" i="11"/>
  <c r="J156" i="11"/>
  <c r="U69" i="11"/>
  <c r="U156" i="11"/>
  <c r="G218" i="11"/>
  <c r="H210" i="11" s="1"/>
  <c r="D120" i="12"/>
  <c r="C120" i="12"/>
  <c r="C121" i="12" s="1"/>
  <c r="G69" i="11" l="1"/>
  <c r="G156" i="11"/>
  <c r="H218" i="11"/>
  <c r="I210" i="11" s="1"/>
  <c r="G220" i="11"/>
  <c r="G25" i="11" s="1"/>
  <c r="G29" i="11" s="1"/>
  <c r="I218" i="11" l="1"/>
  <c r="J210" i="11" s="1"/>
  <c r="G51" i="11"/>
  <c r="D7" i="10"/>
  <c r="H220" i="11"/>
  <c r="H25" i="11" s="1"/>
  <c r="H29" i="11" s="1"/>
  <c r="H7" i="10" l="1"/>
  <c r="J218" i="11"/>
  <c r="K210" i="11" s="1"/>
  <c r="H51" i="11"/>
  <c r="D8" i="10"/>
  <c r="G56" i="11"/>
  <c r="G53" i="11"/>
  <c r="I220" i="11"/>
  <c r="I25" i="11" s="1"/>
  <c r="I29" i="11" s="1"/>
  <c r="J220" i="11" l="1"/>
  <c r="J25" i="11" s="1"/>
  <c r="J29" i="11" s="1"/>
  <c r="J51" i="11" s="1"/>
  <c r="I51" i="11"/>
  <c r="D9" i="10"/>
  <c r="H56" i="11"/>
  <c r="H53" i="11"/>
  <c r="G70" i="11"/>
  <c r="G61" i="11"/>
  <c r="G65" i="11" s="1"/>
  <c r="G66" i="11" s="1"/>
  <c r="P7" i="10"/>
  <c r="H8" i="10"/>
  <c r="K218" i="11"/>
  <c r="L210" i="11" s="1"/>
  <c r="D10" i="10" l="1"/>
  <c r="H10" i="10" s="1"/>
  <c r="K220" i="11"/>
  <c r="K25" i="11" s="1"/>
  <c r="K29" i="11" s="1"/>
  <c r="K51" i="11" s="1"/>
  <c r="L218" i="11"/>
  <c r="M210" i="11" s="1"/>
  <c r="G67" i="11"/>
  <c r="J56" i="11"/>
  <c r="J53" i="11"/>
  <c r="H70" i="11"/>
  <c r="H61" i="11"/>
  <c r="H65" i="11" s="1"/>
  <c r="H66" i="11" s="1"/>
  <c r="I56" i="11"/>
  <c r="I53" i="11"/>
  <c r="G161" i="11"/>
  <c r="G72" i="11"/>
  <c r="G73" i="11"/>
  <c r="P8" i="10"/>
  <c r="H9" i="10"/>
  <c r="D11" i="10" l="1"/>
  <c r="H11" i="10" s="1"/>
  <c r="P9" i="10"/>
  <c r="P10" i="10"/>
  <c r="G76" i="11"/>
  <c r="L7" i="10" s="1"/>
  <c r="J7" i="10"/>
  <c r="G165" i="11"/>
  <c r="G166" i="11"/>
  <c r="G174" i="11"/>
  <c r="G173" i="11"/>
  <c r="I70" i="11"/>
  <c r="I61" i="11"/>
  <c r="I65" i="11" s="1"/>
  <c r="I66" i="11" s="1"/>
  <c r="I67" i="11" s="1"/>
  <c r="H161" i="11"/>
  <c r="H73" i="11"/>
  <c r="H72" i="11"/>
  <c r="J70" i="11"/>
  <c r="J61" i="11"/>
  <c r="J65" i="11" s="1"/>
  <c r="J66" i="11" s="1"/>
  <c r="K56" i="11"/>
  <c r="K53" i="11"/>
  <c r="H67" i="11"/>
  <c r="L220" i="11"/>
  <c r="L25" i="11" s="1"/>
  <c r="L29" i="11" s="1"/>
  <c r="I7" i="10"/>
  <c r="M218" i="11"/>
  <c r="N210" i="11" s="1"/>
  <c r="G75" i="11" l="1"/>
  <c r="G79" i="11" s="1"/>
  <c r="J67" i="11"/>
  <c r="G177" i="11"/>
  <c r="G167" i="11"/>
  <c r="H164" i="11" s="1"/>
  <c r="N218" i="11"/>
  <c r="O210" i="11" s="1"/>
  <c r="K70" i="11"/>
  <c r="K61" i="11"/>
  <c r="K65" i="11" s="1"/>
  <c r="K66" i="11" s="1"/>
  <c r="J161" i="11"/>
  <c r="J73" i="11"/>
  <c r="J72" i="11"/>
  <c r="H76" i="11"/>
  <c r="L8" i="10" s="1"/>
  <c r="J8" i="10"/>
  <c r="M220" i="11"/>
  <c r="M25" i="11" s="1"/>
  <c r="M29" i="11" s="1"/>
  <c r="G169" i="11"/>
  <c r="G175" i="11"/>
  <c r="H172" i="11" s="1"/>
  <c r="L51" i="11"/>
  <c r="D12" i="10"/>
  <c r="P11" i="10"/>
  <c r="I8" i="10"/>
  <c r="H165" i="11"/>
  <c r="H166" i="11"/>
  <c r="H174" i="11"/>
  <c r="H173" i="11"/>
  <c r="I161" i="11"/>
  <c r="I72" i="11"/>
  <c r="I73" i="11"/>
  <c r="K7" i="10" l="1"/>
  <c r="R7" i="10" s="1"/>
  <c r="H75" i="11"/>
  <c r="H79" i="11" s="1"/>
  <c r="H80" i="11" s="1"/>
  <c r="O8" i="10" s="1"/>
  <c r="H167" i="11"/>
  <c r="I164" i="11" s="1"/>
  <c r="H169" i="11"/>
  <c r="H177" i="11"/>
  <c r="I76" i="11"/>
  <c r="L9" i="10" s="1"/>
  <c r="J9" i="10"/>
  <c r="I9" i="10"/>
  <c r="H12" i="10"/>
  <c r="M51" i="11"/>
  <c r="D13" i="10"/>
  <c r="I10" i="10"/>
  <c r="J165" i="11"/>
  <c r="J173" i="11"/>
  <c r="K161" i="11"/>
  <c r="K72" i="11"/>
  <c r="K73" i="11"/>
  <c r="N220" i="11"/>
  <c r="N25" i="11" s="1"/>
  <c r="N29" i="11" s="1"/>
  <c r="I165" i="11"/>
  <c r="I166" i="11"/>
  <c r="I174" i="11"/>
  <c r="I173" i="11"/>
  <c r="L56" i="11"/>
  <c r="L53" i="11"/>
  <c r="J76" i="11"/>
  <c r="L10" i="10" s="1"/>
  <c r="J10" i="10"/>
  <c r="K67" i="11"/>
  <c r="G80" i="11"/>
  <c r="O7" i="10" s="1"/>
  <c r="O218" i="11"/>
  <c r="P210" i="11" s="1"/>
  <c r="H175" i="11"/>
  <c r="I172" i="11" s="1"/>
  <c r="M7" i="10" l="1"/>
  <c r="N7" i="10" s="1"/>
  <c r="K8" i="10"/>
  <c r="R8" i="10" s="1"/>
  <c r="I75" i="11"/>
  <c r="I79" i="11" s="1"/>
  <c r="I175" i="11"/>
  <c r="J172" i="11" s="1"/>
  <c r="I167" i="11"/>
  <c r="I177" i="11"/>
  <c r="I169" i="11"/>
  <c r="P218" i="11"/>
  <c r="Q210" i="11" s="1"/>
  <c r="L70" i="11"/>
  <c r="L61" i="11"/>
  <c r="L65" i="11" s="1"/>
  <c r="L66" i="11" s="1"/>
  <c r="K76" i="11"/>
  <c r="L11" i="10" s="1"/>
  <c r="J11" i="10"/>
  <c r="K165" i="11"/>
  <c r="K173" i="11"/>
  <c r="M56" i="11"/>
  <c r="M53" i="11"/>
  <c r="O220" i="11"/>
  <c r="O25" i="11" s="1"/>
  <c r="O29" i="11" s="1"/>
  <c r="J75" i="11"/>
  <c r="P12" i="10"/>
  <c r="N51" i="11"/>
  <c r="D14" i="10"/>
  <c r="I11" i="10"/>
  <c r="H13" i="10"/>
  <c r="J164" i="11" l="1"/>
  <c r="J166" i="11"/>
  <c r="J169" i="11" s="1"/>
  <c r="J174" i="11"/>
  <c r="J177" i="11" s="1"/>
  <c r="K9" i="10"/>
  <c r="M9" i="10" s="1"/>
  <c r="M8" i="10"/>
  <c r="N8" i="10" s="1"/>
  <c r="K75" i="11"/>
  <c r="K79" i="11" s="1"/>
  <c r="N56" i="11"/>
  <c r="N53" i="11"/>
  <c r="H14" i="10"/>
  <c r="M70" i="11"/>
  <c r="M61" i="11"/>
  <c r="M65" i="11" s="1"/>
  <c r="M66" i="11" s="1"/>
  <c r="M67" i="11" s="1"/>
  <c r="L161" i="11"/>
  <c r="L73" i="11"/>
  <c r="L72" i="11"/>
  <c r="P220" i="11"/>
  <c r="P25" i="11" s="1"/>
  <c r="P29" i="11" s="1"/>
  <c r="K10" i="10"/>
  <c r="J79" i="11"/>
  <c r="J80" i="11" s="1"/>
  <c r="O10" i="10" s="1"/>
  <c r="O51" i="11"/>
  <c r="D15" i="10"/>
  <c r="I80" i="11"/>
  <c r="O9" i="10" s="1"/>
  <c r="P13" i="10"/>
  <c r="L67" i="11"/>
  <c r="Q218" i="11"/>
  <c r="R210" i="11" s="1"/>
  <c r="J167" i="11" l="1"/>
  <c r="K164" i="11" s="1"/>
  <c r="K11" i="10"/>
  <c r="R11" i="10" s="1"/>
  <c r="J175" i="11"/>
  <c r="K172" i="11" s="1"/>
  <c r="R9" i="10"/>
  <c r="N9" i="10"/>
  <c r="K80" i="11"/>
  <c r="O11" i="10" s="1"/>
  <c r="H15" i="10"/>
  <c r="P51" i="11"/>
  <c r="D16" i="10"/>
  <c r="I12" i="10"/>
  <c r="L165" i="11"/>
  <c r="L173" i="11"/>
  <c r="M161" i="11"/>
  <c r="M72" i="11"/>
  <c r="M73" i="11"/>
  <c r="N70" i="11"/>
  <c r="N61" i="11"/>
  <c r="N65" i="11" s="1"/>
  <c r="N66" i="11" s="1"/>
  <c r="R218" i="11"/>
  <c r="S210" i="11" s="1"/>
  <c r="O56" i="11"/>
  <c r="O53" i="11"/>
  <c r="R10" i="10"/>
  <c r="M10" i="10"/>
  <c r="L76" i="11"/>
  <c r="L12" i="10" s="1"/>
  <c r="J12" i="10"/>
  <c r="P14" i="10"/>
  <c r="Q220" i="11"/>
  <c r="Q25" i="11" s="1"/>
  <c r="Q29" i="11" s="1"/>
  <c r="K174" i="11" l="1"/>
  <c r="K175" i="11" s="1"/>
  <c r="L172" i="11" s="1"/>
  <c r="K166" i="11"/>
  <c r="K169" i="11" s="1"/>
  <c r="M11" i="10"/>
  <c r="N10" i="10"/>
  <c r="R220" i="11"/>
  <c r="R25" i="11" s="1"/>
  <c r="R29" i="11" s="1"/>
  <c r="D18" i="10" s="1"/>
  <c r="Q51" i="11"/>
  <c r="D17" i="10"/>
  <c r="P15" i="10"/>
  <c r="S218" i="11"/>
  <c r="T210" i="11" s="1"/>
  <c r="N161" i="11"/>
  <c r="N73" i="11"/>
  <c r="N72" i="11"/>
  <c r="I13" i="10"/>
  <c r="H16" i="10"/>
  <c r="O70" i="11"/>
  <c r="O61" i="11"/>
  <c r="O65" i="11" s="1"/>
  <c r="O66" i="11" s="1"/>
  <c r="N67" i="11"/>
  <c r="M76" i="11"/>
  <c r="L13" i="10" s="1"/>
  <c r="J13" i="10"/>
  <c r="M165" i="11"/>
  <c r="M173" i="11"/>
  <c r="P56" i="11"/>
  <c r="P53" i="11"/>
  <c r="L75" i="11"/>
  <c r="N11" i="10" l="1"/>
  <c r="K177" i="11"/>
  <c r="K167" i="11"/>
  <c r="L174" i="11" s="1"/>
  <c r="R51" i="11"/>
  <c r="R53" i="11" s="1"/>
  <c r="S220" i="11"/>
  <c r="S25" i="11" s="1"/>
  <c r="S29" i="11" s="1"/>
  <c r="D19" i="10" s="1"/>
  <c r="P70" i="11"/>
  <c r="P61" i="11"/>
  <c r="P65" i="11" s="1"/>
  <c r="P66" i="11" s="1"/>
  <c r="H18" i="10"/>
  <c r="O67" i="11"/>
  <c r="N76" i="11"/>
  <c r="L14" i="10" s="1"/>
  <c r="J14" i="10"/>
  <c r="T218" i="11"/>
  <c r="U210" i="11" s="1"/>
  <c r="H17" i="10"/>
  <c r="M75" i="11"/>
  <c r="K12" i="10"/>
  <c r="L79" i="11"/>
  <c r="P16" i="10"/>
  <c r="O161" i="11"/>
  <c r="O72" i="11"/>
  <c r="O73" i="11"/>
  <c r="I14" i="10"/>
  <c r="N165" i="11"/>
  <c r="N173" i="11"/>
  <c r="Q56" i="11"/>
  <c r="Q53" i="11"/>
  <c r="L164" i="11" l="1"/>
  <c r="L166" i="11"/>
  <c r="L169" i="11" s="1"/>
  <c r="L177" i="11"/>
  <c r="L175" i="11"/>
  <c r="M172" i="11" s="1"/>
  <c r="R56" i="11"/>
  <c r="R70" i="11" s="1"/>
  <c r="N75" i="11"/>
  <c r="K14" i="10" s="1"/>
  <c r="T220" i="11"/>
  <c r="T25" i="11" s="1"/>
  <c r="T29" i="11" s="1"/>
  <c r="T51" i="11" s="1"/>
  <c r="T56" i="11" s="1"/>
  <c r="S51" i="11"/>
  <c r="S56" i="11" s="1"/>
  <c r="P18" i="10"/>
  <c r="L80" i="11"/>
  <c r="O12" i="10" s="1"/>
  <c r="P17" i="10"/>
  <c r="H19" i="10"/>
  <c r="O76" i="11"/>
  <c r="L15" i="10" s="1"/>
  <c r="J15" i="10"/>
  <c r="O165" i="11"/>
  <c r="O173" i="11"/>
  <c r="R12" i="10"/>
  <c r="M12" i="10"/>
  <c r="N12" i="10" s="1"/>
  <c r="U218" i="11"/>
  <c r="V210" i="11" s="1"/>
  <c r="P161" i="11"/>
  <c r="P73" i="11"/>
  <c r="P72" i="11"/>
  <c r="Q70" i="11"/>
  <c r="Q61" i="11"/>
  <c r="Q65" i="11" s="1"/>
  <c r="Q66" i="11" s="1"/>
  <c r="I15" i="10"/>
  <c r="K13" i="10"/>
  <c r="M79" i="11"/>
  <c r="P67" i="11"/>
  <c r="L167" i="11" l="1"/>
  <c r="M174" i="11" s="1"/>
  <c r="M177" i="11" s="1"/>
  <c r="R61" i="11"/>
  <c r="R65" i="11" s="1"/>
  <c r="R66" i="11" s="1"/>
  <c r="R67" i="11" s="1"/>
  <c r="O75" i="11"/>
  <c r="O79" i="11" s="1"/>
  <c r="N79" i="11"/>
  <c r="N80" i="11" s="1"/>
  <c r="O14" i="10" s="1"/>
  <c r="D20" i="10"/>
  <c r="H20" i="10" s="1"/>
  <c r="S53" i="11"/>
  <c r="E53" i="11" s="1"/>
  <c r="G70" i="7" s="1"/>
  <c r="G71" i="7" s="1"/>
  <c r="D11" i="9" s="1"/>
  <c r="U220" i="11"/>
  <c r="U25" i="11" s="1"/>
  <c r="U29" i="11" s="1"/>
  <c r="D21" i="10" s="1"/>
  <c r="T70" i="11"/>
  <c r="T61" i="11"/>
  <c r="T65" i="11" s="1"/>
  <c r="T66" i="11" s="1"/>
  <c r="Q67" i="11"/>
  <c r="I16" i="10"/>
  <c r="P165" i="11"/>
  <c r="P173" i="11"/>
  <c r="V218" i="11"/>
  <c r="W210" i="11" s="1"/>
  <c r="R161" i="11"/>
  <c r="R72" i="11"/>
  <c r="R73" i="11"/>
  <c r="R13" i="10"/>
  <c r="M13" i="10"/>
  <c r="N13" i="10" s="1"/>
  <c r="Q161" i="11"/>
  <c r="Q72" i="11"/>
  <c r="Q73" i="11"/>
  <c r="P76" i="11"/>
  <c r="L16" i="10" s="1"/>
  <c r="J16" i="10"/>
  <c r="R14" i="10"/>
  <c r="M14" i="10"/>
  <c r="S70" i="11"/>
  <c r="S61" i="11"/>
  <c r="S65" i="11" s="1"/>
  <c r="S66" i="11" s="1"/>
  <c r="M80" i="11"/>
  <c r="O13" i="10" s="1"/>
  <c r="M164" i="11" l="1"/>
  <c r="M175" i="11"/>
  <c r="N172" i="11" s="1"/>
  <c r="M166" i="11"/>
  <c r="M169" i="11" s="1"/>
  <c r="K15" i="10"/>
  <c r="M15" i="10" s="1"/>
  <c r="P19" i="10"/>
  <c r="U51" i="11"/>
  <c r="U56" i="11" s="1"/>
  <c r="U61" i="11" s="1"/>
  <c r="U65" i="11" s="1"/>
  <c r="U66" i="11" s="1"/>
  <c r="O80" i="11"/>
  <c r="O15" i="10" s="1"/>
  <c r="F53" i="11"/>
  <c r="Z54" i="11" s="1"/>
  <c r="N14" i="10"/>
  <c r="V220" i="11"/>
  <c r="V25" i="11" s="1"/>
  <c r="V29" i="11" s="1"/>
  <c r="V51" i="11" s="1"/>
  <c r="V56" i="11" s="1"/>
  <c r="Q76" i="11"/>
  <c r="L17" i="10" s="1"/>
  <c r="J17" i="10"/>
  <c r="Q165" i="11"/>
  <c r="Q173" i="11"/>
  <c r="S161" i="11"/>
  <c r="S72" i="11"/>
  <c r="S73" i="11"/>
  <c r="I17" i="10"/>
  <c r="R76" i="11"/>
  <c r="L18" i="10" s="1"/>
  <c r="J18" i="10"/>
  <c r="R165" i="11"/>
  <c r="R173" i="11"/>
  <c r="W218" i="11"/>
  <c r="X210" i="11" s="1"/>
  <c r="T161" i="11"/>
  <c r="T72" i="11"/>
  <c r="T73" i="11"/>
  <c r="P75" i="11"/>
  <c r="S67" i="11"/>
  <c r="H21" i="10"/>
  <c r="I18" i="10"/>
  <c r="T67" i="11"/>
  <c r="M167" i="11" l="1"/>
  <c r="N164" i="11" s="1"/>
  <c r="V54" i="11"/>
  <c r="R15" i="10"/>
  <c r="AI54" i="11"/>
  <c r="I54" i="11"/>
  <c r="AD54" i="11"/>
  <c r="N54" i="11"/>
  <c r="G67" i="7"/>
  <c r="G68" i="7" s="1"/>
  <c r="D10" i="9" s="1"/>
  <c r="Q54" i="11"/>
  <c r="AA54" i="11"/>
  <c r="R54" i="11"/>
  <c r="J54" i="11"/>
  <c r="Y54" i="11"/>
  <c r="AB54" i="11"/>
  <c r="M54" i="11"/>
  <c r="AG54" i="11"/>
  <c r="AJ54" i="11"/>
  <c r="U70" i="11"/>
  <c r="U72" i="11" s="1"/>
  <c r="T54" i="11"/>
  <c r="O54" i="11"/>
  <c r="K54" i="11"/>
  <c r="G54" i="11"/>
  <c r="AC54" i="11"/>
  <c r="U54" i="11"/>
  <c r="AF54" i="11"/>
  <c r="X54" i="11"/>
  <c r="S54" i="11"/>
  <c r="P54" i="11"/>
  <c r="L54" i="11"/>
  <c r="H54" i="11"/>
  <c r="AE54" i="11"/>
  <c r="W54" i="11"/>
  <c r="AH54" i="11"/>
  <c r="D22" i="10"/>
  <c r="H22" i="10" s="1"/>
  <c r="N15" i="10"/>
  <c r="Q75" i="11"/>
  <c r="Q79" i="11" s="1"/>
  <c r="R75" i="11"/>
  <c r="R79" i="11" s="1"/>
  <c r="I20" i="10"/>
  <c r="X218" i="11"/>
  <c r="Y210" i="11" s="1"/>
  <c r="U67" i="11"/>
  <c r="S76" i="11"/>
  <c r="L19" i="10" s="1"/>
  <c r="J19" i="10"/>
  <c r="S165" i="11"/>
  <c r="S173" i="11"/>
  <c r="V70" i="11"/>
  <c r="V61" i="11"/>
  <c r="V65" i="11" s="1"/>
  <c r="V66" i="11" s="1"/>
  <c r="K16" i="10"/>
  <c r="P79" i="11"/>
  <c r="T76" i="11"/>
  <c r="L20" i="10" s="1"/>
  <c r="J20" i="10"/>
  <c r="T165" i="11"/>
  <c r="T173" i="11"/>
  <c r="I19" i="10"/>
  <c r="W220" i="11"/>
  <c r="W25" i="11" s="1"/>
  <c r="W29" i="11" s="1"/>
  <c r="N166" i="11" l="1"/>
  <c r="N169" i="11" s="1"/>
  <c r="N174" i="11"/>
  <c r="N177" i="11" s="1"/>
  <c r="U73" i="11"/>
  <c r="J21" i="10" s="1"/>
  <c r="K17" i="10"/>
  <c r="R17" i="10" s="1"/>
  <c r="U161" i="11"/>
  <c r="U165" i="11" s="1"/>
  <c r="F67" i="7"/>
  <c r="S75" i="11"/>
  <c r="S79" i="11" s="1"/>
  <c r="S80" i="11" s="1"/>
  <c r="O19" i="10" s="1"/>
  <c r="K18" i="10"/>
  <c r="R18" i="10" s="1"/>
  <c r="Q80" i="11"/>
  <c r="O17" i="10" s="1"/>
  <c r="I21" i="10"/>
  <c r="P80" i="11"/>
  <c r="O16" i="10" s="1"/>
  <c r="V67" i="11"/>
  <c r="R80" i="11"/>
  <c r="O18" i="10" s="1"/>
  <c r="X220" i="11"/>
  <c r="X25" i="11" s="1"/>
  <c r="X29" i="11" s="1"/>
  <c r="T75" i="11"/>
  <c r="W51" i="11"/>
  <c r="W56" i="11" s="1"/>
  <c r="D23" i="10"/>
  <c r="R16" i="10"/>
  <c r="M16" i="10"/>
  <c r="N16" i="10" s="1"/>
  <c r="V161" i="11"/>
  <c r="V72" i="11"/>
  <c r="V73" i="11"/>
  <c r="Y218" i="11"/>
  <c r="Z210" i="11" s="1"/>
  <c r="N167" i="11" l="1"/>
  <c r="N175" i="11"/>
  <c r="O172" i="11" s="1"/>
  <c r="U76" i="11"/>
  <c r="L21" i="10" s="1"/>
  <c r="M18" i="10"/>
  <c r="U173" i="11"/>
  <c r="M17" i="10"/>
  <c r="N17" i="10" s="1"/>
  <c r="K19" i="10"/>
  <c r="M19" i="10" s="1"/>
  <c r="Y220" i="11"/>
  <c r="Y25" i="11" s="1"/>
  <c r="Y29" i="11" s="1"/>
  <c r="D25" i="10" s="1"/>
  <c r="V165" i="11"/>
  <c r="V173" i="11"/>
  <c r="W70" i="11"/>
  <c r="W61" i="11"/>
  <c r="W65" i="11" s="1"/>
  <c r="W66" i="11" s="1"/>
  <c r="X51" i="11"/>
  <c r="X56" i="11" s="1"/>
  <c r="D24" i="10"/>
  <c r="V76" i="11"/>
  <c r="L22" i="10" s="1"/>
  <c r="J22" i="10"/>
  <c r="Z218" i="11"/>
  <c r="AA210" i="11" s="1"/>
  <c r="AA220" i="11" s="1"/>
  <c r="AA25" i="11" s="1"/>
  <c r="AA29" i="11" s="1"/>
  <c r="AA51" i="11" s="1"/>
  <c r="AA56" i="11" s="1"/>
  <c r="I22" i="10"/>
  <c r="H23" i="10"/>
  <c r="K20" i="10"/>
  <c r="T79" i="11"/>
  <c r="T80" i="11" s="1"/>
  <c r="O20" i="10" s="1"/>
  <c r="O166" i="11" l="1"/>
  <c r="O169" i="11" s="1"/>
  <c r="O174" i="11"/>
  <c r="O177" i="11" s="1"/>
  <c r="O164" i="11"/>
  <c r="U75" i="11"/>
  <c r="U79" i="11" s="1"/>
  <c r="U80" i="11" s="1"/>
  <c r="O21" i="10" s="1"/>
  <c r="N18" i="10"/>
  <c r="N19" i="10" s="1"/>
  <c r="R19" i="10"/>
  <c r="Y51" i="11"/>
  <c r="Y56" i="11" s="1"/>
  <c r="Y61" i="11" s="1"/>
  <c r="Y65" i="11" s="1"/>
  <c r="Y66" i="11" s="1"/>
  <c r="V75" i="11"/>
  <c r="V79" i="11" s="1"/>
  <c r="AA70" i="11"/>
  <c r="AA61" i="11"/>
  <c r="AA65" i="11" s="1"/>
  <c r="AA66" i="11" s="1"/>
  <c r="H24" i="10"/>
  <c r="W67" i="11"/>
  <c r="H25" i="10"/>
  <c r="R20" i="10"/>
  <c r="M20" i="10"/>
  <c r="X70" i="11"/>
  <c r="X61" i="11"/>
  <c r="X65" i="11" s="1"/>
  <c r="X66" i="11" s="1"/>
  <c r="W161" i="11"/>
  <c r="W72" i="11"/>
  <c r="W73" i="11"/>
  <c r="Z220" i="11"/>
  <c r="Z25" i="11" s="1"/>
  <c r="Z29" i="11" s="1"/>
  <c r="O175" i="11" l="1"/>
  <c r="P172" i="11" s="1"/>
  <c r="O167" i="11"/>
  <c r="K21" i="10"/>
  <c r="M21" i="10" s="1"/>
  <c r="V80" i="11"/>
  <c r="O22" i="10" s="1"/>
  <c r="N20" i="10"/>
  <c r="K22" i="10"/>
  <c r="M22" i="10" s="1"/>
  <c r="Y70" i="11"/>
  <c r="Y73" i="11" s="1"/>
  <c r="Y67" i="11"/>
  <c r="W76" i="11"/>
  <c r="L23" i="10" s="1"/>
  <c r="J23" i="10"/>
  <c r="W165" i="11"/>
  <c r="W173" i="11"/>
  <c r="X161" i="11"/>
  <c r="X72" i="11"/>
  <c r="X73" i="11"/>
  <c r="AA72" i="11"/>
  <c r="AA161" i="11"/>
  <c r="AA73" i="11"/>
  <c r="AA76" i="11" s="1"/>
  <c r="Z51" i="11"/>
  <c r="Z56" i="11" s="1"/>
  <c r="D26" i="10"/>
  <c r="I23" i="10"/>
  <c r="X67" i="11"/>
  <c r="P166" i="11" l="1"/>
  <c r="P169" i="11" s="1"/>
  <c r="P174" i="11"/>
  <c r="P177" i="11" s="1"/>
  <c r="P164" i="11"/>
  <c r="R21" i="10"/>
  <c r="N21" i="10"/>
  <c r="N22" i="10" s="1"/>
  <c r="R22" i="10"/>
  <c r="W75" i="11"/>
  <c r="K23" i="10" s="1"/>
  <c r="Y161" i="11"/>
  <c r="Y165" i="11" s="1"/>
  <c r="Y72" i="11"/>
  <c r="I25" i="10" s="1"/>
  <c r="H26" i="10"/>
  <c r="AA165" i="11"/>
  <c r="AA174" i="11"/>
  <c r="AA166" i="11"/>
  <c r="AA173" i="11"/>
  <c r="X76" i="11"/>
  <c r="L24" i="10" s="1"/>
  <c r="J24" i="10"/>
  <c r="X165" i="11"/>
  <c r="X173" i="11"/>
  <c r="Y76" i="11"/>
  <c r="L25" i="10" s="1"/>
  <c r="J25" i="10"/>
  <c r="Z70" i="11"/>
  <c r="Z61" i="11"/>
  <c r="Z65" i="11" s="1"/>
  <c r="Z66" i="11" s="1"/>
  <c r="I24" i="10"/>
  <c r="AA75" i="11"/>
  <c r="AA79" i="11" s="1"/>
  <c r="P175" i="11" l="1"/>
  <c r="Q172" i="11" s="1"/>
  <c r="P167" i="11"/>
  <c r="W79" i="11"/>
  <c r="W80" i="11" s="1"/>
  <c r="O23" i="10" s="1"/>
  <c r="Y173" i="11"/>
  <c r="AA169" i="11"/>
  <c r="X75" i="11"/>
  <c r="K24" i="10" s="1"/>
  <c r="AA177" i="11"/>
  <c r="Z72" i="11"/>
  <c r="Z161" i="11"/>
  <c r="Z73" i="11"/>
  <c r="R23" i="10"/>
  <c r="M23" i="10"/>
  <c r="N23" i="10" s="1"/>
  <c r="Y75" i="11"/>
  <c r="Z67" i="11"/>
  <c r="AC67" i="11"/>
  <c r="AG67" i="11"/>
  <c r="AJ67" i="11"/>
  <c r="AB67" i="11"/>
  <c r="AD67" i="11"/>
  <c r="AA67" i="11"/>
  <c r="AH67" i="11"/>
  <c r="D82" i="11"/>
  <c r="AE67" i="11"/>
  <c r="AI67" i="11"/>
  <c r="AF67" i="11"/>
  <c r="Q166" i="11" l="1"/>
  <c r="Q169" i="11" s="1"/>
  <c r="Q164" i="11"/>
  <c r="Q174" i="11"/>
  <c r="X79" i="11"/>
  <c r="X80" i="11" s="1"/>
  <c r="O24" i="10" s="1"/>
  <c r="K25" i="10"/>
  <c r="Y79" i="11"/>
  <c r="Z76" i="11"/>
  <c r="L26" i="10" s="1"/>
  <c r="J26" i="10"/>
  <c r="I26" i="10"/>
  <c r="R24" i="10"/>
  <c r="M24" i="10"/>
  <c r="N24" i="10" s="1"/>
  <c r="Z165" i="11"/>
  <c r="Z173" i="11"/>
  <c r="Q167" i="11" l="1"/>
  <c r="Q177" i="11"/>
  <c r="Q175" i="11"/>
  <c r="R172" i="11" s="1"/>
  <c r="Z75" i="11"/>
  <c r="Z79" i="11" s="1"/>
  <c r="Y80" i="11"/>
  <c r="O25" i="10" s="1"/>
  <c r="R25" i="10"/>
  <c r="M25" i="10"/>
  <c r="N25" i="10" s="1"/>
  <c r="R166" i="11" l="1"/>
  <c r="R169" i="11" s="1"/>
  <c r="R164" i="11"/>
  <c r="R174" i="11"/>
  <c r="R177" i="11" s="1"/>
  <c r="K26" i="10"/>
  <c r="M26" i="10" s="1"/>
  <c r="N26" i="10" s="1"/>
  <c r="N27" i="10" s="1"/>
  <c r="N28" i="10" s="1"/>
  <c r="N29" i="10" s="1"/>
  <c r="N30" i="10" s="1"/>
  <c r="N31" i="10" s="1"/>
  <c r="N32" i="10" s="1"/>
  <c r="N33" i="10" s="1"/>
  <c r="N34" i="10" s="1"/>
  <c r="N35" i="10" s="1"/>
  <c r="N36" i="10" s="1"/>
  <c r="Z80" i="11"/>
  <c r="O26" i="10" s="1"/>
  <c r="AE80" i="11"/>
  <c r="AJ80" i="11"/>
  <c r="AA80" i="11"/>
  <c r="D83" i="11"/>
  <c r="AB80" i="11"/>
  <c r="AH80" i="11"/>
  <c r="AC80" i="11"/>
  <c r="AF80" i="11"/>
  <c r="AD80" i="11"/>
  <c r="AG80" i="11"/>
  <c r="AI80" i="11"/>
  <c r="D84" i="11"/>
  <c r="R167" i="11" l="1"/>
  <c r="R175" i="11"/>
  <c r="S172" i="11" s="1"/>
  <c r="R26" i="10"/>
  <c r="K225" i="11"/>
  <c r="G225" i="11"/>
  <c r="O225" i="11"/>
  <c r="S164" i="11" l="1"/>
  <c r="S174" i="11"/>
  <c r="S177" i="11" s="1"/>
  <c r="S166" i="11"/>
  <c r="S169" i="11" s="1"/>
  <c r="S167" i="11" l="1"/>
  <c r="T174" i="11" s="1"/>
  <c r="T177" i="11" s="1"/>
  <c r="S175" i="11"/>
  <c r="T172" i="11" s="1"/>
  <c r="T164" i="11" l="1"/>
  <c r="T166" i="11"/>
  <c r="T169" i="11" s="1"/>
  <c r="T175" i="11"/>
  <c r="U172" i="11" s="1"/>
  <c r="T167" i="11" l="1"/>
  <c r="U166" i="11" s="1"/>
  <c r="U169" i="11" s="1"/>
  <c r="U164" i="11" l="1"/>
  <c r="U167" i="11" s="1"/>
  <c r="V164" i="11" s="1"/>
  <c r="U174" i="11"/>
  <c r="U177" i="11" s="1"/>
  <c r="U175" i="11" l="1"/>
  <c r="V172" i="11" s="1"/>
  <c r="V174" i="11"/>
  <c r="V177" i="11" s="1"/>
  <c r="V166" i="11"/>
  <c r="V169" i="11" s="1"/>
  <c r="V175" i="11" l="1"/>
  <c r="W172" i="11" s="1"/>
  <c r="V167" i="11"/>
  <c r="W166" i="11" s="1"/>
  <c r="W169" i="11" s="1"/>
  <c r="W174" i="11" l="1"/>
  <c r="W177" i="11" s="1"/>
  <c r="W164" i="11"/>
  <c r="W167" i="11" s="1"/>
  <c r="X166" i="11" s="1"/>
  <c r="X169" i="11" s="1"/>
  <c r="X174" i="11" l="1"/>
  <c r="X177" i="11" s="1"/>
  <c r="W175" i="11"/>
  <c r="X172" i="11" s="1"/>
  <c r="X164" i="11"/>
  <c r="X167" i="11" s="1"/>
  <c r="Y164" i="11" s="1"/>
  <c r="Y174" i="11" l="1"/>
  <c r="Y177" i="11" s="1"/>
  <c r="X175" i="11"/>
  <c r="Y172" i="11" s="1"/>
  <c r="Y166" i="11"/>
  <c r="Y169" i="11" s="1"/>
  <c r="Y175" i="11" l="1"/>
  <c r="Z172" i="11" s="1"/>
  <c r="Y167" i="11"/>
  <c r="Z164" i="11" l="1"/>
  <c r="Z166" i="11"/>
  <c r="Z169" i="11" s="1"/>
  <c r="Z174" i="11"/>
  <c r="Z167" i="11" l="1"/>
  <c r="AA164" i="11" s="1"/>
  <c r="AA167" i="11" s="1"/>
  <c r="AB164" i="11" s="1"/>
  <c r="AB167" i="11" s="1"/>
  <c r="AC164" i="11" s="1"/>
  <c r="AC167" i="11" s="1"/>
  <c r="AD164" i="11" s="1"/>
  <c r="AD167" i="11" s="1"/>
  <c r="AE164" i="11" s="1"/>
  <c r="AE167" i="11" s="1"/>
  <c r="AF164" i="11" s="1"/>
  <c r="AF167" i="11" s="1"/>
  <c r="AG164" i="11" s="1"/>
  <c r="AG167" i="11" s="1"/>
  <c r="AH164" i="11" s="1"/>
  <c r="AH167" i="11" s="1"/>
  <c r="AI164" i="11" s="1"/>
  <c r="AI167" i="11" s="1"/>
  <c r="AJ164" i="11" s="1"/>
  <c r="AJ167" i="11" s="1"/>
  <c r="Z177" i="11"/>
  <c r="Z175" i="11"/>
  <c r="AA172" i="11" s="1"/>
  <c r="AA175" i="11" s="1"/>
  <c r="AB172" i="11" s="1"/>
  <c r="AB175" i="11" s="1"/>
  <c r="AC172" i="11" s="1"/>
  <c r="AC175" i="11" s="1"/>
  <c r="AD172" i="11" s="1"/>
  <c r="AD175" i="11" s="1"/>
  <c r="AE172" i="11" s="1"/>
  <c r="AE175" i="11" s="1"/>
  <c r="AF172" i="11" s="1"/>
  <c r="AF175" i="11" s="1"/>
  <c r="AG172" i="11" s="1"/>
  <c r="AG175" i="11" s="1"/>
  <c r="AH172" i="11" s="1"/>
  <c r="AH175" i="11" s="1"/>
  <c r="AI172" i="11" s="1"/>
  <c r="AI175" i="11" s="1"/>
  <c r="AJ172" i="11" s="1"/>
  <c r="AJ17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D23" authorId="0" shapeId="0" xr:uid="{00000000-0006-0000-0000-00000100000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Gifford</author>
    <author>Tyler Leeds</author>
  </authors>
  <commentList>
    <comment ref="C4" authorId="0" shapeId="0" xr:uid="{00000000-0006-0000-0100-000001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I4" authorId="0" shapeId="0" xr:uid="{00000000-0006-0000-0100-00000200000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xr:uid="{00000000-0006-0000-0100-000003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S4" authorId="0" shapeId="0" xr:uid="{00000000-0006-0000-0100-00000400000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F6" authorId="0" shapeId="0" xr:uid="{00000000-0006-0000-0100-000005000000}">
      <text>
        <r>
          <rPr>
            <b/>
            <sz val="8"/>
            <color indexed="81"/>
            <rFont val="Tahoma"/>
            <family val="2"/>
          </rPr>
          <t>See "unit" definitions at the bottom of this worksheet.</t>
        </r>
        <r>
          <rPr>
            <sz val="8"/>
            <color indexed="81"/>
            <rFont val="Tahoma"/>
            <family val="2"/>
          </rPr>
          <t xml:space="preserve">
</t>
        </r>
      </text>
    </comment>
    <comment ref="P6" authorId="0" shapeId="0" xr:uid="{00000000-0006-0000-0100-000006000000}">
      <text>
        <r>
          <rPr>
            <b/>
            <sz val="8"/>
            <color indexed="81"/>
            <rFont val="Tahoma"/>
            <family val="2"/>
          </rPr>
          <t>See "unit" definitions at the bottom of this worksheet.</t>
        </r>
        <r>
          <rPr>
            <sz val="8"/>
            <color indexed="81"/>
            <rFont val="Tahoma"/>
            <family val="2"/>
          </rPr>
          <t xml:space="preserve">
</t>
        </r>
      </text>
    </comment>
    <comment ref="I7" authorId="1" shapeId="0" xr:uid="{00000000-0006-0000-0100-000007000000}">
      <text>
        <r>
          <rPr>
            <b/>
            <sz val="14"/>
            <color indexed="81"/>
            <rFont val="Tahoma"/>
            <family val="2"/>
          </rPr>
          <t>Note:</t>
        </r>
        <r>
          <rPr>
            <sz val="14"/>
            <color indexed="81"/>
            <rFont val="Tahoma"/>
            <family val="2"/>
          </rPr>
          <t xml:space="preserve">
This is the aggregate nameplate rating for the entire generating facility.
Input must be greater than zero.
This value will be site specific but reasonable inputs are likely to fall in the range of 100-1,000 kW
</t>
        </r>
      </text>
    </comment>
    <comment ref="S7" authorId="0" shapeId="0" xr:uid="{00000000-0006-0000-0100-00000800000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
This value will be site specific.</t>
        </r>
      </text>
    </comment>
    <comment ref="I8" authorId="0" shapeId="0" xr:uid="{00000000-0006-0000-0100-000009000000}">
      <text>
        <r>
          <rPr>
            <b/>
            <sz val="14"/>
            <color indexed="81"/>
            <rFont val="Tahoma"/>
            <family val="2"/>
          </rPr>
          <t>NOTE:</t>
        </r>
        <r>
          <rPr>
            <sz val="14"/>
            <color indexed="81"/>
            <rFont val="Tahoma"/>
            <family val="2"/>
          </rPr>
          <t xml:space="preserve">
This represents the generator's daily consumption of digester gas.  </t>
        </r>
      </text>
    </comment>
    <comment ref="S8" authorId="0" shapeId="0" xr:uid="{00000000-0006-0000-0100-00000A000000}">
      <text>
        <r>
          <rPr>
            <b/>
            <sz val="14"/>
            <color indexed="81"/>
            <rFont val="Tahoma"/>
            <family val="2"/>
          </rPr>
          <t>NOTE:</t>
        </r>
        <r>
          <rPr>
            <sz val="14"/>
            <color indexed="81"/>
            <rFont val="Tahoma"/>
            <family val="2"/>
          </rPr>
          <t xml:space="preserve">
Tons of material recevied each year which are subject to the corresponding tipping fee.
This value will be site specific.</t>
        </r>
      </text>
    </comment>
    <comment ref="I9" authorId="0" shapeId="0" xr:uid="{00000000-0006-0000-0100-00000B000000}">
      <text>
        <r>
          <rPr>
            <b/>
            <sz val="14"/>
            <color indexed="81"/>
            <rFont val="Tahoma"/>
            <family val="2"/>
          </rPr>
          <t>NOTE:</t>
        </r>
        <r>
          <rPr>
            <sz val="14"/>
            <color indexed="81"/>
            <rFont val="Tahoma"/>
            <family val="2"/>
          </rPr>
          <t xml:space="preserve">
This is the daily value multiplied by 365.</t>
        </r>
      </text>
    </comment>
    <comment ref="S9" authorId="0" shapeId="0" xr:uid="{00000000-0006-0000-0100-00000C00000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t>
        </r>
      </text>
    </comment>
    <comment ref="I10" authorId="0" shapeId="0" xr:uid="{00000000-0006-0000-0100-00000D000000}">
      <text>
        <r>
          <rPr>
            <b/>
            <sz val="14"/>
            <color indexed="81"/>
            <rFont val="Tahoma"/>
            <family val="2"/>
          </rPr>
          <t>NOTE:</t>
        </r>
        <r>
          <rPr>
            <sz val="14"/>
            <color indexed="81"/>
            <rFont val="Tahoma"/>
            <family val="2"/>
          </rPr>
          <t xml:space="preserve">
The energy content in biogas varies based on methane content.  An input of 600 BTU per cubic foot assumes a 60% methane content
This value will be site specific but reasonable inputs are likely to fall in the range of 450-650 BTU/cubic foot</t>
        </r>
      </text>
    </comment>
    <comment ref="S10" authorId="0" shapeId="0" xr:uid="{00000000-0006-0000-0100-00000E000000}">
      <text>
        <r>
          <rPr>
            <b/>
            <sz val="14"/>
            <color indexed="81"/>
            <rFont val="Tahoma"/>
            <family val="2"/>
          </rPr>
          <t>NOTE:</t>
        </r>
        <r>
          <rPr>
            <sz val="14"/>
            <color indexed="81"/>
            <rFont val="Tahoma"/>
            <family val="2"/>
          </rPr>
          <t xml:space="preserve">
Tons of material recevied each year which are subject to the corresponding tipping fee.</t>
        </r>
      </text>
    </comment>
    <comment ref="I11" authorId="0" shapeId="0" xr:uid="{00000000-0006-0000-0100-00000F000000}">
      <text>
        <r>
          <rPr>
            <b/>
            <sz val="14"/>
            <color indexed="81"/>
            <rFont val="Tahoma"/>
            <family val="2"/>
          </rPr>
          <t>NOTE:</t>
        </r>
        <r>
          <rPr>
            <sz val="14"/>
            <color indexed="81"/>
            <rFont val="Tahoma"/>
            <family val="2"/>
          </rPr>
          <t xml:space="preserve">
Energy content per year, based on gas consumption and methane concentration.</t>
        </r>
      </text>
    </comment>
    <comment ref="S11" authorId="0" shapeId="0" xr:uid="{00000000-0006-0000-0100-00001000000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t>
        </r>
      </text>
    </comment>
    <comment ref="I12" authorId="0" shapeId="0" xr:uid="{00000000-0006-0000-0100-000011000000}">
      <text>
        <r>
          <rPr>
            <b/>
            <sz val="14"/>
            <color indexed="81"/>
            <rFont val="Tahoma"/>
            <family val="2"/>
          </rPr>
          <t>NOTE:</t>
        </r>
        <r>
          <rPr>
            <sz val="14"/>
            <color indexed="81"/>
            <rFont val="Tahoma"/>
            <family val="2"/>
          </rPr>
          <t xml:space="preserve">
Engines are not 100% efficient.  This input represents the efficiency with which the engine converts fuel to electricity. 
See the Waste Heat inputs to the right for taking the additional useable heat and potential revenue into account.
This value will be site specific but reasonable inputs are likely to fall in the range of 30-42%</t>
        </r>
      </text>
    </comment>
    <comment ref="S12" authorId="0" shapeId="0" xr:uid="{00000000-0006-0000-0100-000012000000}">
      <text>
        <r>
          <rPr>
            <b/>
            <sz val="14"/>
            <color indexed="81"/>
            <rFont val="Tahoma"/>
            <family val="2"/>
          </rPr>
          <t>NOTE:</t>
        </r>
        <r>
          <rPr>
            <sz val="14"/>
            <color indexed="81"/>
            <rFont val="Tahoma"/>
            <family val="2"/>
          </rPr>
          <t xml:space="preserve">
Tons of material recevied each year which are subject to the corresponding tipping fee.</t>
        </r>
      </text>
    </comment>
    <comment ref="I13" authorId="0" shapeId="0" xr:uid="{00000000-0006-0000-0100-000013000000}">
      <text>
        <r>
          <rPr>
            <b/>
            <sz val="14"/>
            <color indexed="81"/>
            <rFont val="Tahoma"/>
            <family val="2"/>
          </rPr>
          <t>NOTE:</t>
        </r>
        <r>
          <rPr>
            <sz val="14"/>
            <color indexed="81"/>
            <rFont val="Tahoma"/>
            <family val="2"/>
          </rPr>
          <t xml:space="preserve">
Heat rate is a measurement used to represent generator efficiency.  Heat rate is typically expressed as the number of BTUs of heat required to produce one kWh of electricity.</t>
        </r>
      </text>
    </comment>
    <comment ref="S13" authorId="1" shapeId="0" xr:uid="{00000000-0006-0000-0100-000014000000}">
      <text>
        <r>
          <rPr>
            <b/>
            <sz val="14"/>
            <color indexed="81"/>
            <rFont val="Tahoma"/>
            <family val="2"/>
          </rPr>
          <t>Note:</t>
        </r>
        <r>
          <rPr>
            <sz val="14"/>
            <color indexed="81"/>
            <rFont val="Tahoma"/>
            <family val="2"/>
          </rPr>
          <t xml:space="preserve">
Digestate is the solid material remaining after the anaerobic digestion of a biodegradable feedstock.
Depending on the characteristics of the plant, the disposition of this material can either become an additional expense or source of revenue.
If digestate is an expense for the subject plant, then zero should be enterred here.
This input is expressed in $/gallon.
If you price digestate in $/ton, the model will accommodate that as long as the cell located two rows below this one is  entered in tons per year.
Input cannot be less than zero.
This value will be site specific.
</t>
        </r>
      </text>
    </comment>
    <comment ref="I14" authorId="0" shapeId="0" xr:uid="{00000000-0006-0000-0100-000015000000}">
      <text>
        <r>
          <rPr>
            <b/>
            <sz val="14"/>
            <color indexed="81"/>
            <rFont val="Tahoma"/>
            <family val="2"/>
          </rPr>
          <t>NOTE:</t>
        </r>
        <r>
          <rPr>
            <sz val="14"/>
            <color indexed="81"/>
            <rFont val="Tahoma"/>
            <family val="2"/>
          </rPr>
          <t xml:space="preserve">
The 'availability factor' represents the percentage of annual hours in which the generator is operational and available to deliver electricity to the gris (or on-site host). 
This value will be site specific but reasonable inputs are likely to fall in the range of 85-95%</t>
        </r>
      </text>
    </comment>
    <comment ref="S14" authorId="0" shapeId="0" xr:uid="{00000000-0006-0000-0100-000016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I15" authorId="0" shapeId="0" xr:uid="{00000000-0006-0000-0100-000017000000}">
      <text>
        <r>
          <rPr>
            <b/>
            <sz val="14"/>
            <color indexed="81"/>
            <rFont val="Tahoma"/>
            <family val="2"/>
          </rPr>
          <t>NOTE:</t>
        </r>
        <r>
          <rPr>
            <sz val="14"/>
            <color indexed="81"/>
            <rFont val="Tahoma"/>
            <family val="2"/>
          </rPr>
          <t xml:space="preserve">
Station service is the electricity used in the operation of the power plant itself -- and is therefore subtracted from total production in order to calculate electricity available for sale, whether it be to the grid or to an on-site host.
Station service is also referred to as parasitic load.
This value will be site specific but reasonable inputs are likely to fall in the range of 3-17%</t>
        </r>
      </text>
    </comment>
    <comment ref="S15" authorId="1" shapeId="0" xr:uid="{00000000-0006-0000-0100-000018000000}">
      <text>
        <r>
          <rPr>
            <b/>
            <sz val="14"/>
            <color indexed="81"/>
            <rFont val="Tahoma"/>
            <family val="2"/>
          </rPr>
          <t>Note:</t>
        </r>
        <r>
          <rPr>
            <sz val="14"/>
            <color indexed="81"/>
            <rFont val="Tahoma"/>
            <family val="2"/>
          </rPr>
          <t xml:space="preserve">
Quantity of digestate to be disposed of - measured in gallons per year.
If you measure digestate in tons per year, the model will accommodate that as long as the cell located two rows above this one is entered in $/ton.
Input cannot be less than zero.
This value will be site specific.
</t>
        </r>
      </text>
    </comment>
    <comment ref="I16" authorId="1" shapeId="0" xr:uid="{00000000-0006-0000-0100-000019000000}">
      <text>
        <r>
          <rPr>
            <b/>
            <sz val="14"/>
            <color indexed="81"/>
            <rFont val="Tahoma"/>
            <family val="2"/>
          </rPr>
          <t>Note:</t>
        </r>
        <r>
          <rPr>
            <sz val="14"/>
            <color indexed="81"/>
            <rFont val="Tahoma"/>
            <family val="2"/>
          </rPr>
          <t xml:space="preserve">
This is a calculation, based on the system size and capacity factor provided above. 
</t>
        </r>
      </text>
    </comment>
    <comment ref="S16" authorId="0" shapeId="0" xr:uid="{00000000-0006-0000-0100-00001A000000}">
      <text>
        <r>
          <rPr>
            <b/>
            <sz val="14"/>
            <color indexed="81"/>
            <rFont val="Tahoma"/>
            <family val="2"/>
          </rPr>
          <t>NOTE:</t>
        </r>
        <r>
          <rPr>
            <sz val="14"/>
            <color indexed="81"/>
            <rFont val="Tahoma"/>
            <family val="2"/>
          </rPr>
          <t xml:space="preserve">
Heat exchangers are not 100% efficient.  This input represents the efficiency with which waste heat is converted into a usable format. 
This value will be site specific.</t>
        </r>
      </text>
    </comment>
    <comment ref="I17" authorId="1" shapeId="0" xr:uid="{00000000-0006-0000-0100-00001B000000}">
      <text>
        <r>
          <rPr>
            <b/>
            <sz val="14"/>
            <color indexed="81"/>
            <rFont val="Tahoma"/>
            <family val="2"/>
          </rPr>
          <t>Note:</t>
        </r>
        <r>
          <rPr>
            <sz val="14"/>
            <color indexed="81"/>
            <rFont val="Tahoma"/>
            <family val="2"/>
          </rPr>
          <t xml:space="preserve">
The natural aging of the mechanical components of a wind turbine generator may lead to a drop in turbine availability (or efficiency), and therefore production, over time.  
This input allows the user to model the potential for such degradation, which may be between 0% and 2% per year.
</t>
        </r>
        <r>
          <rPr>
            <b/>
            <sz val="14"/>
            <color indexed="81"/>
            <rFont val="Tahoma"/>
            <family val="2"/>
          </rPr>
          <t>If the modeled "Net Capacity Factor" is intented to take long-term average availability into account, then the user may wish to enter 0% in the Annual Production Degradation field.</t>
        </r>
        <r>
          <rPr>
            <sz val="14"/>
            <color indexed="81"/>
            <rFont val="Tahoma"/>
            <family val="2"/>
          </rPr>
          <t xml:space="preserve">
Input must be =&gt; 0%.
This value will be site specific but reasonable inputs are likely to fall in the range of 0-3%</t>
        </r>
      </text>
    </comment>
    <comment ref="S17" authorId="0" shapeId="0" xr:uid="{00000000-0006-0000-0100-00001C000000}">
      <text>
        <r>
          <rPr>
            <b/>
            <sz val="14"/>
            <color indexed="81"/>
            <rFont val="Tahoma"/>
            <family val="2"/>
          </rPr>
          <t>NOTE:</t>
        </r>
        <r>
          <rPr>
            <sz val="14"/>
            <color indexed="81"/>
            <rFont val="Tahoma"/>
            <family val="2"/>
          </rPr>
          <t xml:space="preserve">
This is the waste heat available for sale, and is calculated by first subtracting the BTUs used to generate 1 kWh from the total heat content required by the generator (it's heat rate) to produce that kWh, and then multiplying by the assumed heat capture efficiency.
This value will be site specific.</t>
        </r>
      </text>
    </comment>
    <comment ref="I18" authorId="1" shapeId="0" xr:uid="{00000000-0006-0000-0100-00001D000000}">
      <text>
        <r>
          <rPr>
            <b/>
            <sz val="14"/>
            <color indexed="81"/>
            <rFont val="Tahoma"/>
            <family val="2"/>
          </rPr>
          <t xml:space="preserve">Note:
</t>
        </r>
        <r>
          <rPr>
            <sz val="14"/>
            <color indexed="81"/>
            <rFont val="Tahoma"/>
            <family val="2"/>
          </rPr>
          <t>The Project Useful Life is the number of years that the project is expected to be fully operational, reliably delivering electricity to the grid, and generating revenue.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This value will be site specific but reasonable inputs are likely to fall in the range of 10-30 years</t>
        </r>
      </text>
    </comment>
    <comment ref="S18" authorId="0" shapeId="0" xr:uid="{00000000-0006-0000-0100-00001E000000}">
      <text>
        <r>
          <rPr>
            <b/>
            <sz val="14"/>
            <color indexed="81"/>
            <rFont val="Tahoma"/>
            <family val="2"/>
          </rPr>
          <t>NOTE:</t>
        </r>
        <r>
          <rPr>
            <sz val="14"/>
            <color indexed="81"/>
            <rFont val="Tahoma"/>
            <family val="2"/>
          </rPr>
          <t xml:space="preserve">
The price (or market value due to avoided cost) of heat sold (or offsetting retail purchases).
This value will be site specific.</t>
        </r>
      </text>
    </comment>
    <comment ref="S19" authorId="0" shapeId="0" xr:uid="{00000000-0006-0000-0100-00001F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This value will be site specific.
</t>
        </r>
      </text>
    </comment>
    <comment ref="F20" authorId="0" shapeId="0" xr:uid="{00000000-0006-0000-0100-000020000000}">
      <text>
        <r>
          <rPr>
            <b/>
            <sz val="8"/>
            <color indexed="81"/>
            <rFont val="Tahoma"/>
            <family val="2"/>
          </rPr>
          <t>See "unit" definitions at the bottom of this worksheet.</t>
        </r>
        <r>
          <rPr>
            <sz val="8"/>
            <color indexed="81"/>
            <rFont val="Tahoma"/>
            <family val="2"/>
          </rPr>
          <t xml:space="preserve">
</t>
        </r>
      </text>
    </comment>
    <comment ref="I21" authorId="1" shapeId="0" xr:uid="{00000000-0006-0000-0100-00002100000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$/kW, Intermediate offers five cost subcategories in total dollars, and Complex offers line-by-line project costing with user-defined categories and costs per line-item.  
Select your preferred method and use the cells below to enter your cost information. If you choose the "Complex" option, you will need to follow the link below to the "Complex Capital Costs" tab.</t>
        </r>
      </text>
    </comment>
    <comment ref="P21" authorId="0" shapeId="0" xr:uid="{00000000-0006-0000-0100-000022000000}">
      <text>
        <r>
          <rPr>
            <b/>
            <sz val="8"/>
            <color indexed="81"/>
            <rFont val="Tahoma"/>
            <family val="2"/>
          </rPr>
          <t>See "unit" definitions at the bottom of this worksheet.</t>
        </r>
        <r>
          <rPr>
            <sz val="8"/>
            <color indexed="81"/>
            <rFont val="Tahoma"/>
            <family val="2"/>
          </rPr>
          <t xml:space="preserve">
</t>
        </r>
      </text>
    </comment>
    <comment ref="I22" authorId="1" shapeId="0" xr:uid="{00000000-0006-0000-0100-000023000000}">
      <text>
        <r>
          <rPr>
            <b/>
            <sz val="14"/>
            <color indexed="81"/>
            <rFont val="Tahoma"/>
            <family val="2"/>
          </rPr>
          <t>Note:</t>
        </r>
        <r>
          <rPr>
            <sz val="14"/>
            <color indexed="81"/>
            <rFont val="Tahoma"/>
            <family val="2"/>
          </rPr>
          <t xml:space="preserve">
When "Simple" is selected in the Cost Level of Detail cell, this "Total Installed Cost" row represents the total expected all-in project cost, which should include all hardware, balance of plant, interconnection, design, construction, permitting, development (including developer fee), interest during construction and financing costs. This figure should not account for any tax incentives, grants, or other cash incentives, each of which will be addressed elsewhere in the model. This figure should, however, reflect any applicable sales tax or exemptions thereof.
Input must be greater than zero.
</t>
        </r>
      </text>
    </comment>
    <comment ref="S22" authorId="1" shapeId="0" xr:uid="{00000000-0006-0000-0100-00002400000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23" authorId="1" shapeId="0" xr:uid="{00000000-0006-0000-0100-000025000000}">
      <text>
        <r>
          <rPr>
            <b/>
            <sz val="14"/>
            <color indexed="81"/>
            <rFont val="Tahoma"/>
            <family val="2"/>
          </rPr>
          <t>Note:</t>
        </r>
        <r>
          <rPr>
            <sz val="14"/>
            <color indexed="81"/>
            <rFont val="Tahoma"/>
            <family val="2"/>
          </rPr>
          <t xml:space="preserve">
"Generation Equipment" should include hardware such as the generator, blades and tower.  
Caution: the model assumes that if "Intermediate" is selected as the level of detail section, the "Generation Equipment" row must have a value greater than zero. 
</t>
        </r>
      </text>
    </comment>
    <comment ref="S23" authorId="1" shapeId="0" xr:uid="{00000000-0006-0000-0100-00002600000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24" authorId="1" shapeId="0" xr:uid="{00000000-0006-0000-0100-000027000000}">
      <text>
        <r>
          <rPr>
            <b/>
            <sz val="14"/>
            <color indexed="81"/>
            <rFont val="Tahoma"/>
            <family val="2"/>
          </rPr>
          <t>Note:</t>
        </r>
        <r>
          <rPr>
            <sz val="14"/>
            <color indexed="81"/>
            <rFont val="Tahoma"/>
            <family val="2"/>
          </rPr>
          <t xml:space="preserve">
Balance of Plant (also known as Balance of System) represents all infrastructure, site prep and labor supporting the installation of the generation equipment. BOP costs include foundations, mounting devices, other hardware, and labor not already accounted for in the "Generation Equipment" row.
Input cannot be less than zero.
</t>
        </r>
      </text>
    </comment>
    <comment ref="S24" authorId="1" shapeId="0" xr:uid="{00000000-0006-0000-0100-000028000000}">
      <text>
        <r>
          <rPr>
            <b/>
            <sz val="14"/>
            <color indexed="81"/>
            <rFont val="Tahoma"/>
            <family val="2"/>
          </rPr>
          <t xml:space="preserve">Note:
</t>
        </r>
        <r>
          <rPr>
            <sz val="14"/>
            <color indexed="81"/>
            <rFont val="Tahoma"/>
            <family val="2"/>
          </rPr>
          <t xml:space="preserve">To calculate a </t>
        </r>
        <r>
          <rPr>
            <b/>
            <sz val="14"/>
            <color indexed="81"/>
            <rFont val="Tahoma"/>
            <family val="2"/>
          </rPr>
          <t>nominal levelized tariff rate</t>
        </r>
        <r>
          <rPr>
            <sz val="14"/>
            <color indexed="81"/>
            <rFont val="Tahoma"/>
            <family val="2"/>
          </rPr>
          <t xml:space="preserve">, the "feed-in tariff escalation rate" field should be </t>
        </r>
        <r>
          <rPr>
            <b/>
            <sz val="14"/>
            <color indexed="81"/>
            <rFont val="Tahoma"/>
            <family val="2"/>
          </rPr>
          <t>set to zero</t>
        </r>
        <r>
          <rPr>
            <sz val="14"/>
            <color indexed="81"/>
            <rFont val="Tahoma"/>
            <family val="2"/>
          </rPr>
          <t>.</t>
        </r>
        <r>
          <rPr>
            <b/>
            <sz val="14"/>
            <color indexed="81"/>
            <rFont val="Tahoma"/>
            <family val="2"/>
          </rPr>
          <t xml:space="preserv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25" authorId="1" shapeId="0" xr:uid="{00000000-0006-0000-0100-00002900000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I26" authorId="1" shapeId="0" xr:uid="{00000000-0006-0000-0100-00002A000000}">
      <text>
        <r>
          <rPr>
            <b/>
            <sz val="14"/>
            <color indexed="81"/>
            <rFont val="Tahoma"/>
            <family val="2"/>
          </rPr>
          <t>Note:</t>
        </r>
        <r>
          <rPr>
            <sz val="8"/>
            <color indexed="81"/>
            <rFont val="Tahoma"/>
            <family val="2"/>
          </rPr>
          <t xml:space="preserve">
</t>
        </r>
        <r>
          <rPr>
            <sz val="14"/>
            <color indexed="81"/>
            <rFont val="Tahoma"/>
            <family val="2"/>
          </rPr>
          <t xml:space="preserve">The "Development Costs" row should include all costs relating to project management, studies, engineering, permitting, contingencies, success fees, and other soft costs not accounted for elsewhere in the "Intermediate" cost breakdown. 
Input cannot be less than zero.
</t>
        </r>
      </text>
    </comment>
    <comment ref="S26" authorId="1" shapeId="0" xr:uid="{00000000-0006-0000-0100-00002B00000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I27" authorId="1" shapeId="0" xr:uid="{00000000-0006-0000-0100-00002C00000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S27" authorId="1" shapeId="0" xr:uid="{00000000-0006-0000-0100-00002D00000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I28" authorId="1" shapeId="0" xr:uid="{00000000-0006-0000-0100-00002E00000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S28" authorId="1" shapeId="0" xr:uid="{00000000-0006-0000-0100-00002F00000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I29" authorId="1" shapeId="0" xr:uid="{00000000-0006-0000-0100-000030000000}">
      <text>
        <r>
          <rPr>
            <b/>
            <sz val="14"/>
            <color indexed="81"/>
            <rFont val="Tahoma"/>
            <family val="2"/>
          </rPr>
          <t>Note:</t>
        </r>
        <r>
          <rPr>
            <sz val="14"/>
            <color indexed="81"/>
            <rFont val="Tahoma"/>
            <family val="2"/>
          </rPr>
          <t xml:space="preserve">
The total system cost is a calculation, based on the level of detail selected and the assocated inputs.
</t>
        </r>
      </text>
    </comment>
    <comment ref="S29" authorId="1" shapeId="0" xr:uid="{00000000-0006-0000-0100-00003100000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I30" authorId="1" shapeId="0" xr:uid="{00000000-0006-0000-0100-000032000000}">
      <text>
        <r>
          <rPr>
            <b/>
            <sz val="14"/>
            <color indexed="81"/>
            <rFont val="Tahoma"/>
            <family val="2"/>
          </rPr>
          <t>Note:</t>
        </r>
        <r>
          <rPr>
            <sz val="14"/>
            <color indexed="81"/>
            <rFont val="Tahoma"/>
            <family val="2"/>
          </rPr>
          <t xml:space="preserve">
Calculation based on the total system cost in the cell above and the system size reported. 
This value will be site specific but reasonable inputs are likely to fall in the range of $3,000-$12,000</t>
        </r>
        <r>
          <rPr>
            <sz val="8"/>
            <color indexed="81"/>
            <rFont val="Tahoma"/>
            <family val="2"/>
          </rPr>
          <t xml:space="preserve">
</t>
        </r>
      </text>
    </comment>
    <comment ref="S30" authorId="1" shapeId="0" xr:uid="{00000000-0006-0000-0100-00003300000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F32" authorId="0" shapeId="0" xr:uid="{00000000-0006-0000-0100-000034000000}">
      <text>
        <r>
          <rPr>
            <b/>
            <sz val="8"/>
            <color indexed="81"/>
            <rFont val="Tahoma"/>
            <family val="2"/>
          </rPr>
          <t>See "unit" definitions at the bottom of this worksheet.</t>
        </r>
        <r>
          <rPr>
            <sz val="8"/>
            <color indexed="81"/>
            <rFont val="Tahoma"/>
            <family val="2"/>
          </rPr>
          <t xml:space="preserve">
</t>
        </r>
      </text>
    </comment>
    <comment ref="P32" authorId="0" shapeId="0" xr:uid="{00000000-0006-0000-0100-000035000000}">
      <text>
        <r>
          <rPr>
            <b/>
            <sz val="8"/>
            <color indexed="81"/>
            <rFont val="Tahoma"/>
            <family val="2"/>
          </rPr>
          <t>See "unit" definitions at the bottom of this worksheet.</t>
        </r>
        <r>
          <rPr>
            <sz val="8"/>
            <color indexed="81"/>
            <rFont val="Tahoma"/>
            <family val="2"/>
          </rPr>
          <t xml:space="preserve">
</t>
        </r>
      </text>
    </comment>
    <comment ref="I33" authorId="0" shapeId="0" xr:uid="{00000000-0006-0000-0100-00003600000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S33" authorId="0" shapeId="0" xr:uid="{00000000-0006-0000-0100-00003700000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34" authorId="1" shapeId="0" xr:uid="{00000000-0006-0000-0100-000038000000}">
      <text>
        <r>
          <rPr>
            <b/>
            <sz val="14"/>
            <color indexed="81"/>
            <rFont val="Tahoma"/>
            <family val="2"/>
          </rPr>
          <t>Note:</t>
        </r>
        <r>
          <rPr>
            <sz val="14"/>
            <color indexed="81"/>
            <rFont val="Tahoma"/>
            <family val="2"/>
          </rPr>
          <t xml:space="preserve">
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This value will be site specific but reasonable inputs are likely to fall in the range of $125-$300
</t>
        </r>
      </text>
    </comment>
    <comment ref="S34" authorId="1" shapeId="0" xr:uid="{00000000-0006-0000-0100-000039000000}">
      <text>
        <r>
          <rPr>
            <b/>
            <sz val="14"/>
            <color indexed="81"/>
            <rFont val="Tahoma"/>
            <family val="2"/>
          </rPr>
          <t xml:space="preserve">Note:
</t>
        </r>
        <r>
          <rPr>
            <sz val="14"/>
            <color indexed="81"/>
            <rFont val="Tahoma"/>
            <family val="2"/>
          </rPr>
          <t>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
*See bottom of introduction page for a list of links</t>
        </r>
        <r>
          <rPr>
            <b/>
            <sz val="14"/>
            <color indexed="81"/>
            <rFont val="Tahoma"/>
            <family val="2"/>
          </rPr>
          <t xml:space="preserve">
</t>
        </r>
        <r>
          <rPr>
            <sz val="14"/>
            <color indexed="81"/>
            <rFont val="Tahoma"/>
            <family val="2"/>
          </rPr>
          <t xml:space="preserve">
</t>
        </r>
      </text>
    </comment>
    <comment ref="I35" authorId="1" shapeId="0" xr:uid="{00000000-0006-0000-0100-00003A000000}">
      <text>
        <r>
          <rPr>
            <b/>
            <sz val="14"/>
            <color indexed="81"/>
            <rFont val="Tahoma"/>
            <family val="2"/>
          </rPr>
          <t>Note:</t>
        </r>
        <r>
          <rPr>
            <sz val="14"/>
            <color indexed="81"/>
            <rFont val="Tahoma"/>
            <family val="2"/>
          </rPr>
          <t xml:space="preserve">
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This value will be site specific but reasonable inputs are likely to fall in the range of $2.50-$5.00
</t>
        </r>
      </text>
    </comment>
    <comment ref="S35" authorId="0" shapeId="0" xr:uid="{00000000-0006-0000-0100-00003B000000}">
      <text>
        <r>
          <rPr>
            <b/>
            <sz val="14"/>
            <color indexed="81"/>
            <rFont val="Tahoma"/>
            <family val="2"/>
          </rPr>
          <t xml:space="preserve">NOTE:
</t>
        </r>
        <r>
          <rPr>
            <sz val="14"/>
            <color indexed="81"/>
            <rFont val="Tahoma"/>
            <family val="2"/>
          </rPr>
          <t xml:space="preserve">The maximum potential Investment Tax Credit (ITC) benefit is assumed to be 30% of those project costs which are depreciable on the 5-year MACRS schedule.  This 'eligible costs' assumption is purposefully simplified for this analysis.  Project costs depreciated on other bases may also be eligible for the ITC.  Developers should consult with tax counsel for project-specific depreciation and ITC treatment of each project cost.
</t>
        </r>
        <r>
          <rPr>
            <sz val="8"/>
            <color indexed="81"/>
            <rFont val="Tahoma"/>
            <family val="2"/>
          </rPr>
          <t xml:space="preserve">
</t>
        </r>
      </text>
    </comment>
    <comment ref="I36" authorId="0" shapeId="0" xr:uid="{00000000-0006-0000-0100-00003C000000}">
      <text>
        <r>
          <rPr>
            <b/>
            <sz val="14"/>
            <color indexed="81"/>
            <rFont val="Tahoma"/>
            <family val="2"/>
          </rPr>
          <t>Note:</t>
        </r>
        <r>
          <rPr>
            <sz val="14"/>
            <color indexed="81"/>
            <rFont val="Tahoma"/>
            <family val="2"/>
          </rPr>
          <t xml:space="preserve">
This inflation rate applies to both fixed and variable O&amp;M expense, insurance, and project management costs entered above, if applicable. 
The model allows the user to specify an inflation assumption for an "initial period" and a second inflation assumption "thereafter." These inputs can be used to account for inflation which might be fixed during an initial O&amp;M service contract, but are unknown thereafter.  The final year of the "initial period" is  user-defined (e.g. final year of an O&amp;M service contract). 
The purpose of this feature is also to recognize that inflationary trends may change over time, or that some projects may not expect inflation of O&amp;M expenses for the first several years, but may expect inflation thereafter.
This inflation rate does not apply to PILOT or Royalty costs. Input cannot be less than zero.
</t>
        </r>
      </text>
    </comment>
    <comment ref="I37" authorId="0" shapeId="0" xr:uid="{00000000-0006-0000-0100-00003D00000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S37" authorId="0" shapeId="0" xr:uid="{00000000-0006-0000-0100-00003E00000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38" authorId="0" shapeId="0" xr:uid="{00000000-0006-0000-0100-00003F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38" authorId="0" shapeId="0" xr:uid="{00000000-0006-0000-0100-000040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39" authorId="1" shapeId="0" xr:uid="{00000000-0006-0000-0100-00004100000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modeled power generating facility.
Input cannot be less than zero.
This value will be site specific but reasonable inputs are likely to fall in the range of 0%-2%
</t>
        </r>
      </text>
    </comment>
    <comment ref="S39" authorId="0" shapeId="0" xr:uid="{00000000-0006-0000-0100-000042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40" authorId="0" shapeId="0" xr:uid="{00000000-0006-0000-0100-00004300000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I41" authorId="1" shapeId="0" xr:uid="{00000000-0006-0000-0100-000044000000}">
      <text>
        <r>
          <rPr>
            <b/>
            <sz val="14"/>
            <color indexed="81"/>
            <rFont val="Tahoma"/>
            <family val="2"/>
          </rPr>
          <t>Note:</t>
        </r>
        <r>
          <rPr>
            <sz val="14"/>
            <color indexed="81"/>
            <rFont val="Tahoma"/>
            <family val="2"/>
          </rPr>
          <t xml:space="preserve">
"Project Management" accounts for the cost of staff time related to managing the project's Power Purchase Agreements, grid integration, and periodic reporting to the system operator and policymakers.  
Input cannot be less than zero.
This value will be site specific but reasonable inputs are likely to fall in the range of $0-$150,000
</t>
        </r>
      </text>
    </comment>
    <comment ref="S41" authorId="0" shapeId="0" xr:uid="{00000000-0006-0000-0100-000045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42" authorId="1" shapeId="0" xr:uid="{00000000-0006-0000-0100-000046000000}">
      <text>
        <r>
          <rPr>
            <b/>
            <sz val="14"/>
            <color indexed="81"/>
            <rFont val="Tahoma"/>
            <family val="2"/>
          </rPr>
          <t>Note:</t>
        </r>
        <r>
          <rPr>
            <sz val="14"/>
            <color indexed="81"/>
            <rFont val="Tahoma"/>
            <family val="2"/>
          </rPr>
          <t xml:space="preserve">
Some projects will use energy crops or accept feedstocks for no tipping fee but have to incur transportation costs for their delivery.
This input expressed that cost in $/ton.
Input cannot be less than zero.
This value will be site specific.
</t>
        </r>
      </text>
    </comment>
    <comment ref="S42" authorId="0" shapeId="0" xr:uid="{00000000-0006-0000-0100-000047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I43" authorId="0" shapeId="0" xr:uid="{00000000-0006-0000-0100-000048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43" authorId="1" shapeId="0" xr:uid="{00000000-0006-0000-0100-00004900000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44" authorId="1" shapeId="0" xr:uid="{00000000-0006-0000-0100-00004A000000}">
      <text>
        <r>
          <rPr>
            <b/>
            <sz val="14"/>
            <color indexed="81"/>
            <rFont val="Tahoma"/>
            <family val="2"/>
          </rPr>
          <t>Note:</t>
        </r>
        <r>
          <rPr>
            <sz val="14"/>
            <color indexed="81"/>
            <rFont val="Tahoma"/>
            <family val="2"/>
          </rPr>
          <t xml:space="preserve">
Quantity of feedstock purchases (or quantity on which tonnage-based transportation expenses will apply) - measured in tons per year.
Input cannot be less than zero.
This value will be site specific.
</t>
        </r>
      </text>
    </comment>
    <comment ref="S44" authorId="0" shapeId="0" xr:uid="{00000000-0006-0000-0100-00004B000000}">
      <text>
        <r>
          <rPr>
            <b/>
            <sz val="14"/>
            <color indexed="81"/>
            <rFont val="Tahoma"/>
            <family val="2"/>
          </rPr>
          <t xml:space="preserve">Note:
</t>
        </r>
        <r>
          <rPr>
            <sz val="14"/>
            <color indexed="81"/>
            <rFont val="Tahoma"/>
            <family val="2"/>
          </rPr>
          <t xml:space="preserve">Select here whether federal grants (other than the section 1603 payment in lieu of the ITC/PTC) are treated as taxable income. If no, depreciation basis is reduced. 
</t>
        </r>
      </text>
    </comment>
    <comment ref="I45" authorId="1" shapeId="0" xr:uid="{00000000-0006-0000-0100-00004C000000}">
      <text>
        <r>
          <rPr>
            <b/>
            <sz val="14"/>
            <color indexed="81"/>
            <rFont val="Tahoma"/>
            <family val="2"/>
          </rPr>
          <t>Note:</t>
        </r>
        <r>
          <rPr>
            <sz val="14"/>
            <color indexed="81"/>
            <rFont val="Tahoma"/>
            <family val="2"/>
          </rPr>
          <t xml:space="preserve">
This annual expense relates to the use and treatment, respectively, of water certain water resources.
Input cannot be less than zero.
This value will be site specific.
</t>
        </r>
      </text>
    </comment>
    <comment ref="I46" authorId="0" shapeId="0" xr:uid="{00000000-0006-0000-0100-00004D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P46" authorId="0" shapeId="0" xr:uid="{00000000-0006-0000-0100-00004E000000}">
      <text>
        <r>
          <rPr>
            <b/>
            <sz val="8"/>
            <color indexed="81"/>
            <rFont val="Tahoma"/>
            <family val="2"/>
          </rPr>
          <t>See "unit" definitions at the bottom of this worksheet.</t>
        </r>
        <r>
          <rPr>
            <sz val="8"/>
            <color indexed="81"/>
            <rFont val="Tahoma"/>
            <family val="2"/>
          </rPr>
          <t xml:space="preserve">
</t>
        </r>
      </text>
    </comment>
    <comment ref="I47" authorId="1" shapeId="0" xr:uid="{00000000-0006-0000-0100-00004F000000}">
      <text>
        <r>
          <rPr>
            <b/>
            <sz val="14"/>
            <color indexed="81"/>
            <rFont val="Tahoma"/>
            <family val="2"/>
          </rPr>
          <t>Note:</t>
        </r>
        <r>
          <rPr>
            <sz val="14"/>
            <color indexed="81"/>
            <rFont val="Tahoma"/>
            <family val="2"/>
          </rPr>
          <t xml:space="preserve">
Digestate is the solid material remaining after the anaerobic digestion of a biodegradable feedstock.
Depending on the characteristics of the plant, the disposition of this material can either become an additional expense or source of revenue.
If digestate is a revenue source for the subject plant, then zero should be entered here.
Input cannot be less than zero.
This value will be site specific but reasonable inputs are likely to fall in the range of $0.02-$0.05
</t>
        </r>
      </text>
    </comment>
    <comment ref="S47" authorId="1" shapeId="0" xr:uid="{00000000-0006-0000-0100-00005000000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If no state incentive is available or useable by the modeled project, the user will select "Neither." The magnitude and terms of these incentives are set in the cells below.
For more information, a useful resource for researching federal and state incentives online is:  
http://dsireusa.org/
*See bottom of introduction page for a list of links</t>
        </r>
      </text>
    </comment>
    <comment ref="I48" authorId="0" shapeId="0" xr:uid="{00000000-0006-0000-0100-000051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48" authorId="0" shapeId="0" xr:uid="{00000000-0006-0000-0100-000052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Note that the state investment tax credit can only be applied to state-specific income tax liability.</t>
        </r>
      </text>
    </comment>
    <comment ref="I49" authorId="1" shapeId="0" xr:uid="{00000000-0006-0000-0100-000053000000}">
      <text>
        <r>
          <rPr>
            <b/>
            <sz val="14"/>
            <color indexed="81"/>
            <rFont val="Tahoma"/>
            <family val="2"/>
          </rPr>
          <t>Note:</t>
        </r>
        <r>
          <rPr>
            <sz val="14"/>
            <color indexed="81"/>
            <rFont val="Tahoma"/>
            <family val="2"/>
          </rPr>
          <t xml:space="preserve">
Quantity of digestate to be disposed of - measured in tons per year.
Input cannot be less than zero.
This value will be site specific.
</t>
        </r>
      </text>
    </comment>
    <comment ref="I50" authorId="1" shapeId="0" xr:uid="{00000000-0006-0000-0100-000054000000}">
      <text>
        <r>
          <rPr>
            <b/>
            <sz val="14"/>
            <color indexed="81"/>
            <rFont val="Tahoma"/>
            <family val="2"/>
          </rPr>
          <t xml:space="preserve">Note:
</t>
        </r>
        <r>
          <rPr>
            <sz val="14"/>
            <color indexed="81"/>
            <rFont val="Tahoma"/>
            <family val="2"/>
          </rPr>
          <t>"Property Tax or PILOT" accounts for costs associated with any local taxes incurred by the project. Many states offer tax exemptions for renewable energy systems; to check your local applicability, please visit: http://dsireusa.org/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
This value will be site specific.</t>
        </r>
      </text>
    </comment>
    <comment ref="S50" authorId="0" shapeId="0" xr:uid="{00000000-0006-0000-0100-00005500000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I51" authorId="1" shapeId="0" xr:uid="{00000000-0006-0000-0100-00005600000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S51" authorId="0" shapeId="0" xr:uid="{00000000-0006-0000-0100-00005700000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I52" authorId="1" shapeId="0" xr:uid="{00000000-0006-0000-0100-00005800000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 payments</t>
        </r>
        <r>
          <rPr>
            <sz val="14"/>
            <color indexed="81"/>
            <rFont val="Tahoma"/>
            <family val="2"/>
          </rPr>
          <t xml:space="preserve">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This value will be site specific.</t>
        </r>
      </text>
    </comment>
    <comment ref="S52" authorId="0" shapeId="0" xr:uid="{00000000-0006-0000-0100-000059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53" authorId="1" shapeId="0" xr:uid="{00000000-0006-0000-0100-00005A00000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However, if tariff escalation is selected, then the assumed royalty payment will increase over time since it is calculated as a function of revenue over time.
If the modeled project's royalty payments are not the same over time, then an average annual royalty payment should be calculated externally and entered in this cell. 
This input cannot be less than zero.
This value will be site specific and is typically negotiable.</t>
        </r>
      </text>
    </comment>
    <comment ref="S53" authorId="0" shapeId="0" xr:uid="{00000000-0006-0000-0100-00005B00000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54" authorId="0" shapeId="0" xr:uid="{00000000-0006-0000-0100-00005C00000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S54" authorId="0" shapeId="0" xr:uid="{00000000-0006-0000-0100-00005D000000}">
      <text>
        <r>
          <rPr>
            <b/>
            <sz val="14"/>
            <color indexed="81"/>
            <rFont val="Tahoma"/>
            <family val="2"/>
          </rPr>
          <t xml:space="preserve">Note:
</t>
        </r>
        <r>
          <rPr>
            <sz val="14"/>
            <color indexed="81"/>
            <rFont val="Tahoma"/>
            <family val="2"/>
          </rPr>
          <t xml:space="preserve">Impacts tax treatment of PBI if owner is a taxable entity.
</t>
        </r>
      </text>
    </comment>
    <comment ref="S55" authorId="0" shapeId="0" xr:uid="{00000000-0006-0000-0100-00005E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F56" authorId="0" shapeId="0" xr:uid="{00000000-0006-0000-0100-00005F000000}">
      <text>
        <r>
          <rPr>
            <b/>
            <sz val="8"/>
            <color indexed="81"/>
            <rFont val="Tahoma"/>
            <family val="2"/>
          </rPr>
          <t>See "unit" definitions at the bottom of this worksheet.</t>
        </r>
        <r>
          <rPr>
            <sz val="8"/>
            <color indexed="81"/>
            <rFont val="Tahoma"/>
            <family val="2"/>
          </rPr>
          <t xml:space="preserve">
</t>
        </r>
      </text>
    </comment>
    <comment ref="I57" authorId="0" shapeId="0" xr:uid="{00000000-0006-0000-0100-000060000000}">
      <text>
        <r>
          <rPr>
            <b/>
            <sz val="14"/>
            <color indexed="81"/>
            <rFont val="Tahoma"/>
            <family val="2"/>
          </rPr>
          <t xml:space="preserve">Note:
</t>
        </r>
        <r>
          <rPr>
            <sz val="14"/>
            <color indexed="81"/>
            <rFont val="Tahoma"/>
            <family val="2"/>
          </rPr>
          <t>The # of months from construction start to commercial operation. This input cannot be less than zero.
This value will be site specific but reasonable inputs are likely to fall in the range of 6-12</t>
        </r>
      </text>
    </comment>
    <comment ref="S57" authorId="0" shapeId="0" xr:uid="{00000000-0006-0000-0100-000061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58" authorId="0" shapeId="0" xr:uid="{00000000-0006-0000-0100-000062000000}">
      <text>
        <r>
          <rPr>
            <b/>
            <sz val="14"/>
            <color indexed="81"/>
            <rFont val="Tahoma"/>
            <family val="2"/>
          </rPr>
          <t xml:space="preserve">Note:
</t>
        </r>
        <r>
          <rPr>
            <sz val="14"/>
            <color indexed="81"/>
            <rFont val="Tahoma"/>
            <family val="2"/>
          </rPr>
          <t>The annual interest rate on construction debt. This input cannot be less than zero.
This value will be site specific but reasonable inputs are likely to fall in the range of 3-10%</t>
        </r>
      </text>
    </comment>
    <comment ref="S58" authorId="0" shapeId="0" xr:uid="{00000000-0006-0000-0100-000063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I59" authorId="0" shapeId="0" xr:uid="{00000000-0006-0000-0100-000064000000}">
      <text>
        <r>
          <rPr>
            <b/>
            <sz val="14"/>
            <color indexed="81"/>
            <rFont val="Tahoma"/>
            <family val="2"/>
          </rPr>
          <t xml:space="preserve">Note:
</t>
        </r>
        <r>
          <rPr>
            <sz val="14"/>
            <color indexed="81"/>
            <rFont val="Tahoma"/>
            <family val="2"/>
          </rPr>
          <t xml:space="preserve">A calculated value showing the interest accrued during the construction period. Rather than requiring the user to define a detailed construction draw-down schedule, this calculation makes the simplifying assumption that the total project cost is spent in equal parts in each month of the construction period.
IDC is calculated on total project cost, assuming that any grants are collected after construction financing is repaid at time of permanent financing.
This cell is only used with the "Intermediate" and "Complex" capital cost options. The "Simple" capital cost option assumes that all project costs, including IDC, are included in the single input.
</t>
        </r>
      </text>
    </comment>
    <comment ref="S59" authorId="0" shapeId="0" xr:uid="{00000000-0006-0000-0100-00006500000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S60" authorId="0" shapeId="0" xr:uid="{00000000-0006-0000-0100-00006600000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F61" authorId="0" shapeId="0" xr:uid="{00000000-0006-0000-0100-000067000000}">
      <text>
        <r>
          <rPr>
            <b/>
            <sz val="8"/>
            <color indexed="81"/>
            <rFont val="Tahoma"/>
            <family val="2"/>
          </rPr>
          <t>See "unit" definitions at the bottom of this worksheet.</t>
        </r>
        <r>
          <rPr>
            <sz val="8"/>
            <color indexed="81"/>
            <rFont val="Tahoma"/>
            <family val="2"/>
          </rPr>
          <t xml:space="preserve">
</t>
        </r>
      </text>
    </comment>
    <comment ref="S61" authorId="0" shapeId="0" xr:uid="{00000000-0006-0000-0100-00006800000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62" authorId="0" shapeId="0" xr:uid="{00000000-0006-0000-0100-00006900000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Cost of Energy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and will fall somewhere between 0 and 100%.
</t>
        </r>
      </text>
    </comment>
    <comment ref="I63" authorId="1" shapeId="0" xr:uid="{00000000-0006-0000-0100-00006A00000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This value will be site specific but reasonable inputs are likely to fall in the range of 10-20
</t>
        </r>
      </text>
    </comment>
    <comment ref="I64" authorId="1" shapeId="0" xr:uid="{00000000-0006-0000-0100-00006B00000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This value will be site specific but reasonable inputs are likely to fall in the range of 4%-10%</t>
        </r>
      </text>
    </comment>
    <comment ref="S64" authorId="0" shapeId="0" xr:uid="{00000000-0006-0000-0100-00006C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5" authorId="0" shapeId="0" xr:uid="{00000000-0006-0000-0100-00006D000000}">
      <text>
        <r>
          <rPr>
            <b/>
            <sz val="14"/>
            <color indexed="81"/>
            <rFont val="Tahoma"/>
            <family val="2"/>
          </rPr>
          <t xml:space="preserve">Note:
</t>
        </r>
        <r>
          <rPr>
            <sz val="14"/>
            <color indexed="81"/>
            <rFont val="Tahoma"/>
            <family val="2"/>
          </rPr>
          <t>A one-time fee collected by the lender and calculated as a % of the total loan amount. This value is typically between 1% and 4%.
This input cannot be less than zero.
This value will be site specific but reasonable inputs are likely to fall in the range of 1.0-5.0%</t>
        </r>
      </text>
    </comment>
    <comment ref="S65" authorId="0" shapeId="0" xr:uid="{00000000-0006-0000-0100-00006E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6" authorId="1" shapeId="0" xr:uid="{00000000-0006-0000-0100-00006F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S66" authorId="0" shapeId="0" xr:uid="{00000000-0006-0000-0100-000070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7" authorId="0" shapeId="0" xr:uid="{00000000-0006-0000-0100-000071000000}">
      <text>
        <r>
          <rPr>
            <b/>
            <sz val="14"/>
            <color indexed="81"/>
            <rFont val="Tahoma"/>
            <family val="2"/>
          </rPr>
          <t>Note:</t>
        </r>
        <r>
          <rPr>
            <sz val="14"/>
            <color indexed="81"/>
            <rFont val="Tahoma"/>
            <family val="2"/>
          </rPr>
          <t xml:space="preserve">
If "#N/A" appears, F9 should be pressed until the calculated COE achieves it's final value.</t>
        </r>
      </text>
    </comment>
    <comment ref="S67" authorId="0" shapeId="0" xr:uid="{00000000-0006-0000-0100-000072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8" authorId="1" shapeId="0" xr:uid="{00000000-0006-0000-0100-00007300000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Because the CREST model solves for the Levelized Cost of Energy (LCOE) that meets all project costs and minumum stated requirements, increasing the equity IRR requirements signals to the model that more revenue (e.g. a higher contract rate per kWh) is required.  This increased revenue translates into greater debt service coverage and a higher equity IRR.
Other possible, but less likely, mechanisms include:
3. increase the loan tenor
4. decrease the interest rate</t>
        </r>
      </text>
    </comment>
    <comment ref="S68" authorId="0" shapeId="0" xr:uid="{00000000-0006-0000-0100-000074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9" authorId="1" shapeId="0" xr:uid="{00000000-0006-0000-0100-000075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S69" authorId="0" shapeId="0" xr:uid="{00000000-0006-0000-0100-000076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70" authorId="0" shapeId="0" xr:uid="{00000000-0006-0000-0100-000077000000}">
      <text>
        <r>
          <rPr>
            <b/>
            <sz val="12"/>
            <color indexed="81"/>
            <rFont val="Tahoma"/>
            <family val="2"/>
          </rPr>
          <t>Note:</t>
        </r>
        <r>
          <rPr>
            <sz val="12"/>
            <color indexed="81"/>
            <rFont val="Tahoma"/>
            <family val="2"/>
          </rPr>
          <t xml:space="preserve">
If "#N/A" appears, F9 should be pressed until the calculated COE achieves it's final value.</t>
        </r>
      </text>
    </comment>
    <comment ref="S70" authorId="0" shapeId="0" xr:uid="{00000000-0006-0000-0100-000078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71" authorId="1" shapeId="0" xr:uid="{00000000-0006-0000-0100-00007900000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S71" authorId="0" shapeId="0" xr:uid="{00000000-0006-0000-0100-00007A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72" authorId="0" shapeId="0" xr:uid="{00000000-0006-0000-0100-00007B00000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I73" authorId="1" shapeId="0" xr:uid="{00000000-0006-0000-0100-00007C000000}">
      <text>
        <r>
          <rPr>
            <b/>
            <sz val="14"/>
            <color indexed="81"/>
            <rFont val="Tahoma"/>
            <family val="2"/>
          </rPr>
          <t>Note:</t>
        </r>
        <r>
          <rPr>
            <sz val="14"/>
            <color indexed="81"/>
            <rFont val="Tahoma"/>
            <family val="2"/>
          </rPr>
          <t xml:space="preserve">
The target after-tax equity IRR is the equity investor's cost of capital -- or "discount rate" -- and is the minimum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Cost of Energy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but reasonable inputs are likely to fall in the range of 5%-20%</t>
        </r>
      </text>
    </comment>
    <comment ref="P73" authorId="0" shapeId="0" xr:uid="{00000000-0006-0000-0100-00007D000000}">
      <text>
        <r>
          <rPr>
            <b/>
            <sz val="8"/>
            <color indexed="81"/>
            <rFont val="Tahoma"/>
            <family val="2"/>
          </rPr>
          <t>See "unit" definitions at the bottom of this worksheet.</t>
        </r>
        <r>
          <rPr>
            <sz val="8"/>
            <color indexed="81"/>
            <rFont val="Tahoma"/>
            <family val="2"/>
          </rPr>
          <t xml:space="preserve">
</t>
        </r>
      </text>
    </comment>
    <comment ref="I74" authorId="0" shapeId="0" xr:uid="{00000000-0006-0000-0100-00007E00000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I75" authorId="0" shapeId="0" xr:uid="{00000000-0006-0000-0100-00007F00000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S75" authorId="1" shapeId="0" xr:uid="{00000000-0006-0000-0100-00008000000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S76" authorId="0" shapeId="0" xr:uid="{00000000-0006-0000-0100-00008100000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78" authorId="0" shapeId="0" xr:uid="{00000000-0006-0000-0100-000082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P78" authorId="0" shapeId="0" xr:uid="{00000000-0006-0000-0100-000083000000}">
      <text>
        <r>
          <rPr>
            <b/>
            <sz val="8"/>
            <color indexed="81"/>
            <rFont val="Tahoma"/>
            <family val="2"/>
          </rPr>
          <t>See "unit" definitions at the bottom of this worksheet.</t>
        </r>
        <r>
          <rPr>
            <sz val="8"/>
            <color indexed="81"/>
            <rFont val="Tahoma"/>
            <family val="2"/>
          </rPr>
          <t xml:space="preserve">
</t>
        </r>
      </text>
    </comment>
    <comment ref="I79" authorId="0" shapeId="0" xr:uid="{00000000-0006-0000-0100-000084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I80" authorId="1" shapeId="0" xr:uid="{00000000-0006-0000-0100-000085000000}">
      <text>
        <r>
          <rPr>
            <b/>
            <sz val="14"/>
            <color indexed="81"/>
            <rFont val="Tahoma"/>
            <family val="2"/>
          </rPr>
          <t xml:space="preserve">Note:
</t>
        </r>
        <r>
          <rPr>
            <sz val="14"/>
            <color indexed="81"/>
            <rFont val="Tahoma"/>
            <family val="2"/>
          </rPr>
          <t xml:space="preserve">This cell calculates the total of all applicable grants, excluding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
  </t>
        </r>
        <r>
          <rPr>
            <sz val="8"/>
            <color indexed="81"/>
            <rFont val="Tahoma"/>
            <family val="2"/>
          </rPr>
          <t xml:space="preserve">
</t>
        </r>
      </text>
    </comment>
    <comment ref="S80" authorId="0" shapeId="0" xr:uid="{00000000-0006-0000-0100-000086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I81" authorId="0" shapeId="0" xr:uid="{00000000-0006-0000-0100-000087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81" authorId="0" shapeId="0" xr:uid="{00000000-0006-0000-0100-00008800000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F83" authorId="0" shapeId="0" xr:uid="{00000000-0006-0000-0100-000089000000}">
      <text>
        <r>
          <rPr>
            <b/>
            <sz val="8"/>
            <color indexed="81"/>
            <rFont val="Tahoma"/>
            <family val="2"/>
          </rPr>
          <t>See "unit" definitions at the bottom of this worksheet.</t>
        </r>
        <r>
          <rPr>
            <sz val="8"/>
            <color indexed="81"/>
            <rFont val="Tahoma"/>
            <family val="2"/>
          </rPr>
          <t xml:space="preserve">
</t>
        </r>
      </text>
    </comment>
    <comment ref="S83" authorId="0" shapeId="0" xr:uid="{00000000-0006-0000-0100-00008A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I84" authorId="0" shapeId="0" xr:uid="{00000000-0006-0000-0100-00008B00000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S84" authorId="0" shapeId="0" xr:uid="{00000000-0006-0000-0100-00008C00000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I85" authorId="0" shapeId="0" xr:uid="{00000000-0006-0000-0100-00008D00000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S85" authorId="0" shapeId="0" xr:uid="{00000000-0006-0000-0100-00008E000000}">
      <text>
        <r>
          <rPr>
            <b/>
            <sz val="14"/>
            <color indexed="81"/>
            <rFont val="Tahoma"/>
            <family val="2"/>
          </rPr>
          <t>Note:</t>
        </r>
        <r>
          <rPr>
            <sz val="14"/>
            <color indexed="81"/>
            <rFont val="Tahoma"/>
            <family val="2"/>
          </rPr>
          <t xml:space="preserve">
Unused reserves earn interest at this rate. Input cannot be less than zero.
</t>
        </r>
      </text>
    </comment>
    <comment ref="I86" authorId="0" shapeId="0" xr:uid="{00000000-0006-0000-0100-00008F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I87" authorId="0" shapeId="0" xr:uid="{00000000-0006-0000-0100-00009000000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I88" authorId="0" shapeId="0" xr:uid="{00000000-0006-0000-0100-000091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S88" authorId="0" shapeId="0" xr:uid="{00000000-0006-0000-0100-00009200000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I89" authorId="0" shapeId="0" xr:uid="{00000000-0006-0000-0100-00009300000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S89" authorId="0" shapeId="0" xr:uid="{00000000-0006-0000-0100-00009400000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I90" authorId="0" shapeId="0" xr:uid="{00000000-0006-0000-0100-00009500000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 ref="AB92" authorId="0" shapeId="0" xr:uid="{00000000-0006-0000-0100-00009600000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AB93" authorId="0" shapeId="0" xr:uid="{00000000-0006-0000-0100-000097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4" authorId="0" shapeId="0" xr:uid="{00000000-0006-0000-0100-000098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5" authorId="0" shapeId="0" xr:uid="{00000000-0006-0000-0100-000099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6" authorId="0" shapeId="0" xr:uid="{00000000-0006-0000-0100-00009A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7" authorId="0" shapeId="0" xr:uid="{00000000-0006-0000-0100-00009B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8" authorId="0" shapeId="0" xr:uid="{00000000-0006-0000-0100-00009C00000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B5" authorId="0" shapeId="0" xr:uid="{00000000-0006-0000-0200-00000100000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xr:uid="{00000000-0006-0000-0200-00000200000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C4" authorId="0" shapeId="0" xr:uid="{00000000-0006-0000-0300-00000100000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xr:uid="{00000000-0006-0000-0300-00000200000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xr:uid="{00000000-0006-0000-0300-000003000000}">
      <text>
        <r>
          <rPr>
            <b/>
            <sz val="14"/>
            <color indexed="81"/>
            <rFont val="Tahoma"/>
            <family val="2"/>
          </rPr>
          <t>Note:</t>
        </r>
        <r>
          <rPr>
            <sz val="14"/>
            <color indexed="81"/>
            <rFont val="Tahoma"/>
            <family val="2"/>
          </rPr>
          <t xml:space="preserve">
Includes all land lease, royalty and local tax or PILOT.
</t>
        </r>
      </text>
    </comment>
    <comment ref="F4" authorId="0" shapeId="0" xr:uid="{00000000-0006-0000-0300-000004000000}">
      <text>
        <r>
          <rPr>
            <b/>
            <sz val="12"/>
            <color indexed="81"/>
            <rFont val="Tahoma"/>
            <family val="2"/>
          </rPr>
          <t xml:space="preserve">Note:
</t>
        </r>
        <r>
          <rPr>
            <sz val="12"/>
            <color indexed="81"/>
            <rFont val="Tahoma"/>
            <family val="2"/>
          </rPr>
          <t>Includes principle and interest, if debt is used.</t>
        </r>
      </text>
    </comment>
    <comment ref="G4" authorId="0" shapeId="0" xr:uid="{00000000-0006-0000-0300-00000500000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xr:uid="{00000000-0006-0000-0300-00000600000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xr:uid="{00000000-0006-0000-0300-00000700000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xr:uid="{00000000-0006-0000-0300-00000800000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xr:uid="{00000000-0006-0000-0300-00000900000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E72" authorId="0" shapeId="0" xr:uid="{00000000-0006-0000-0400-00000100000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110" authorId="0" shapeId="0" xr:uid="{00000000-0006-0000-0400-00000200000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110" authorId="0" shapeId="0" xr:uid="{00000000-0006-0000-0400-00000300000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G191" authorId="0" shapeId="0" xr:uid="{00000000-0006-0000-0400-00000400000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218" authorId="0" shapeId="0" xr:uid="{00000000-0006-0000-0400-00000500000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<sst xmlns="http://schemas.openxmlformats.org/spreadsheetml/2006/main" count="1075" uniqueCount="488">
  <si>
    <t>$</t>
  </si>
  <si>
    <t>%</t>
  </si>
  <si>
    <t>kWh</t>
  </si>
  <si>
    <t>years</t>
  </si>
  <si>
    <t>Construction Period</t>
  </si>
  <si>
    <t>Federal Income Tax Rate</t>
  </si>
  <si>
    <t>State Income Tax Rate</t>
  </si>
  <si>
    <t>?</t>
  </si>
  <si>
    <t>Select Cost Level of Detail</t>
  </si>
  <si>
    <t>Operations &amp; Maintenance</t>
  </si>
  <si>
    <t>$/yr</t>
  </si>
  <si>
    <t>Operating Expenses</t>
  </si>
  <si>
    <t>Yes</t>
  </si>
  <si>
    <t>Technology Options</t>
  </si>
  <si>
    <t>Project Size and Performance</t>
  </si>
  <si>
    <t>Is owner a taxable entity?</t>
  </si>
  <si>
    <t>ITC utilization factor, if applicable</t>
  </si>
  <si>
    <t>Notes</t>
  </si>
  <si>
    <t>Check</t>
  </si>
  <si>
    <t>5-year MACRS</t>
  </si>
  <si>
    <t>15-year MACRS</t>
  </si>
  <si>
    <t>15-year SL</t>
  </si>
  <si>
    <t>20-year SL</t>
  </si>
  <si>
    <t>Non-Depreciable</t>
  </si>
  <si>
    <t>Federal Incentives</t>
  </si>
  <si>
    <t>Utilization Factor, if applicable</t>
  </si>
  <si>
    <t>Cost Category</t>
  </si>
  <si>
    <t>year</t>
  </si>
  <si>
    <t>Generator Nameplate Capacity</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</si>
  <si>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</si>
  <si>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</si>
  <si>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</si>
  <si>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</si>
  <si>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</si>
  <si>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</si>
  <si>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</si>
  <si>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</si>
  <si>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</si>
  <si>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</si>
  <si>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</si>
  <si>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</si>
  <si>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</si>
  <si>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</si>
  <si>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</si>
  <si>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</si>
  <si>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</si>
  <si>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</si>
  <si>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</si>
  <si>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</si>
  <si>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</si>
  <si>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</si>
  <si>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Years</t>
  </si>
  <si>
    <t>¢/kWh</t>
  </si>
  <si>
    <t>Annual Project Cash Flows, Returns &amp; Other Metrics</t>
  </si>
  <si>
    <t>Revenue</t>
  </si>
  <si>
    <t>Year</t>
  </si>
  <si>
    <t>Cumulative Cash Flow</t>
  </si>
  <si>
    <t>After Tax IRR</t>
  </si>
  <si>
    <t>Debt Service</t>
  </si>
  <si>
    <t>Coverage</t>
  </si>
  <si>
    <t>Current Model Run</t>
  </si>
  <si>
    <t>units</t>
  </si>
  <si>
    <t>O&amp;M Reserve/Working Capital</t>
  </si>
  <si>
    <t>1st Equipment Replacement</t>
  </si>
  <si>
    <t xml:space="preserve">2nd Equipment Replacement </t>
  </si>
  <si>
    <t>Insurance, Yr 1 (% of Total Cost)</t>
  </si>
  <si>
    <t>COD</t>
  </si>
  <si>
    <t>Production Degradation Factor</t>
  </si>
  <si>
    <t>Project Expenses</t>
  </si>
  <si>
    <t>Project Administration</t>
  </si>
  <si>
    <t>Insurance</t>
  </si>
  <si>
    <t>Operating Income After Interest Expense</t>
  </si>
  <si>
    <t>Pre-Tax Cash Flow to Equity</t>
  </si>
  <si>
    <t>Project Cash Flows</t>
  </si>
  <si>
    <t>Running IRR (Cash Only)</t>
  </si>
  <si>
    <t>Supporting Calculations</t>
  </si>
  <si>
    <t>5 Year MACRS</t>
  </si>
  <si>
    <t>15 Year MACRS</t>
  </si>
  <si>
    <t>20 Year MACRS</t>
  </si>
  <si>
    <t>20 Year SL</t>
  </si>
  <si>
    <t>39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</si>
  <si>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</si>
  <si>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</si>
  <si>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</si>
  <si>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</si>
  <si>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</si>
  <si>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</si>
  <si>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</si>
  <si>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</si>
  <si>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</si>
  <si>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</si>
  <si>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</si>
  <si>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</si>
  <si>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</si>
  <si>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</si>
  <si>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</si>
  <si>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</si>
  <si>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</si>
  <si>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Reserves &amp; Financing Costs</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</si>
  <si>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</si>
  <si>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</si>
  <si>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</si>
  <si>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</si>
  <si>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</si>
  <si>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</si>
  <si>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</si>
  <si>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</si>
  <si>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</si>
  <si>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</si>
  <si>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</si>
  <si>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</si>
  <si>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Fixed O&amp;M Expense</t>
  </si>
  <si>
    <t>Variable O&amp;M Expense</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</si>
  <si>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</si>
  <si>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</si>
  <si>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</si>
  <si>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</si>
  <si>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</si>
  <si>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</si>
  <si>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</si>
  <si>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</si>
  <si>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</si>
  <si>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</si>
  <si>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</si>
  <si>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</si>
  <si>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</si>
  <si>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</si>
  <si>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7 Year MACRS</t>
  </si>
  <si>
    <t>5 Year SL</t>
  </si>
  <si>
    <t>15 Year SL</t>
  </si>
  <si>
    <t>7-year MACRS</t>
  </si>
  <si>
    <t>20-year MACRS</t>
  </si>
  <si>
    <t>5-year SL</t>
  </si>
  <si>
    <t>39-year SL</t>
  </si>
  <si>
    <t>Allocation</t>
  </si>
  <si>
    <t xml:space="preserve">ITC or Cash Grant  </t>
  </si>
  <si>
    <t>check</t>
  </si>
  <si>
    <t>Total Installed Cost</t>
  </si>
  <si>
    <t>No</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</si>
  <si>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</si>
  <si>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</si>
  <si>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</si>
  <si>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</si>
  <si>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</si>
  <si>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</si>
  <si>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</si>
  <si>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</si>
  <si>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</si>
  <si>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</si>
  <si>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</si>
  <si>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</si>
  <si>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</si>
  <si>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</si>
  <si>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</si>
  <si>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</si>
  <si>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</si>
  <si>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</si>
  <si>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</si>
  <si>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After Tax Cash Flow</t>
  </si>
  <si>
    <t>Reserves</t>
  </si>
  <si>
    <t>PBI Utilization Factor, if applicable</t>
  </si>
  <si>
    <t>Capital Costs</t>
  </si>
  <si>
    <t>Generation Equipment</t>
  </si>
  <si>
    <t>Depreciation Classification</t>
  </si>
  <si>
    <t>Balance of Plant</t>
  </si>
  <si>
    <t>Interconnection</t>
  </si>
  <si>
    <t>Development Costs &amp; Fee</t>
  </si>
  <si>
    <t>Total Generation Equipment Cost</t>
  </si>
  <si>
    <t>Total Project Costs</t>
  </si>
  <si>
    <t>Total Balance of Plant Cost</t>
  </si>
  <si>
    <t>Total Interconnection Cost</t>
  </si>
  <si>
    <t>$ Eligible for ITC</t>
  </si>
  <si>
    <t>Lender Fee</t>
  </si>
  <si>
    <t>Initial Funding of Debt Service &amp; Working Capital/O&amp;M Reserves</t>
  </si>
  <si>
    <t>Total Development Costs &amp; Fees</t>
  </si>
  <si>
    <t>Other Closing Costs</t>
  </si>
  <si>
    <t>Other Grants or Rebates</t>
  </si>
  <si>
    <t>State Income Taxes Saved / (Paid), before ITC/PTC</t>
  </si>
  <si>
    <t>Title:</t>
  </si>
  <si>
    <t>Introduction:</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</si>
  <si>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</si>
  <si>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</si>
  <si>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</si>
  <si>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</si>
  <si>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</si>
  <si>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</si>
  <si>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</si>
  <si>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</si>
  <si>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</si>
  <si>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</si>
  <si>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</si>
  <si>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</si>
  <si>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</si>
  <si>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Construction Financing</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</si>
  <si>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</si>
  <si>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</si>
  <si>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</si>
  <si>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</si>
  <si>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</si>
  <si>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</si>
  <si>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Annual Production Degradation</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</si>
  <si>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</si>
  <si>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</si>
  <si>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</si>
  <si>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</si>
  <si>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</si>
  <si>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</si>
  <si>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</si>
  <si>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</si>
  <si>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</si>
  <si>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</si>
  <si>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</si>
  <si>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</si>
  <si>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</si>
  <si>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</si>
  <si>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</si>
  <si>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</si>
  <si>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</si>
  <si>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</si>
  <si>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</si>
  <si>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</si>
  <si>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</si>
  <si>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</si>
  <si>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</si>
  <si>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</si>
  <si>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</si>
  <si>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</si>
  <si>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</si>
  <si>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</si>
  <si>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</si>
  <si>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</si>
  <si>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</si>
  <si>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</si>
  <si>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</si>
  <si>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</si>
  <si>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</si>
  <si>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</si>
  <si>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</si>
  <si>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</si>
  <si>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</si>
  <si>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</si>
  <si>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State Grants Treated as Taxable Income?</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</si>
  <si>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</si>
  <si>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</si>
  <si>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</si>
  <si>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</si>
  <si>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</si>
  <si>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</si>
  <si>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</si>
  <si>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</si>
  <si>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</si>
  <si>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</si>
  <si>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</si>
  <si>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1st Replacement Cost  ($ in year replaced)</t>
  </si>
  <si>
    <t>2nd Replacement Cost ($ in year replaced)</t>
  </si>
  <si>
    <t>Bundled* Market Value of Production (¢/kWh)</t>
  </si>
  <si>
    <t>Avg. DSCR</t>
  </si>
  <si>
    <t>Tariff Rate (Fixed Portion)</t>
  </si>
  <si>
    <t>Tariff Rate (Total)</t>
  </si>
  <si>
    <t>Tariff Rate (Escalating Portion)</t>
  </si>
  <si>
    <t>Equity Investment</t>
  </si>
  <si>
    <t>Pre-Tax Cash Flow</t>
  </si>
  <si>
    <t>Expenses + Cash Obligations</t>
  </si>
  <si>
    <t>Graph Data</t>
  </si>
  <si>
    <t>Operating the Model:</t>
  </si>
  <si>
    <t>Understanding the Results:</t>
  </si>
  <si>
    <t>Cash Benefit of Federal ITC, Cash Grant, or PTC</t>
  </si>
  <si>
    <t>Target After-Tax Equity IRR</t>
  </si>
  <si>
    <t>COE Data Tables</t>
  </si>
  <si>
    <t>NPV</t>
  </si>
  <si>
    <t>(cents/kWh)</t>
  </si>
  <si>
    <t>Range Min</t>
  </si>
  <si>
    <t>Range Max</t>
  </si>
  <si>
    <t>Calculation of COE when tax benefits are "Carried Forward"</t>
  </si>
  <si>
    <t>Production, Yr 1</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</si>
  <si>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</si>
  <si>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</si>
  <si>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</si>
  <si>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</si>
  <si>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</si>
  <si>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r>
      <t>Taxable Income (Federal)</t>
    </r>
    <r>
      <rPr>
        <sz val="12"/>
        <rFont val="Arial"/>
        <family val="2"/>
      </rPr>
      <t>,           operating loss treatment ==&gt;&gt;</t>
    </r>
  </si>
  <si>
    <r>
      <t>Taxable Income (State),</t>
    </r>
    <r>
      <rPr>
        <sz val="12"/>
        <rFont val="Arial"/>
        <family val="2"/>
      </rPr>
      <t xml:space="preserve">               operating loss treatment ==&gt;&gt;</t>
    </r>
  </si>
  <si>
    <t>Federal Tax Benefits used as generated or carried forward?</t>
  </si>
  <si>
    <t>State Tax Benefits used as generated or carried forward?</t>
  </si>
  <si>
    <t>Federal Carry-Forward</t>
  </si>
  <si>
    <t>State Carry-Forward</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</si>
  <si>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</si>
  <si>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</si>
  <si>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</si>
  <si>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</si>
  <si>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</si>
  <si>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</si>
  <si>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</si>
  <si>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</si>
  <si>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</si>
  <si>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</si>
  <si>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</si>
  <si>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</si>
  <si>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</si>
  <si>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Investment Tax Credit (ITC) or Cash Grant?</t>
  </si>
  <si>
    <t>Type of Federal Incentive Assumed</t>
  </si>
  <si>
    <t>Is PBI Tax-Based (PTC) or Cash-Based (REPI)?</t>
  </si>
  <si>
    <t>Is Performance-Based Incentive Tax Credit or Cash Pmt?</t>
  </si>
  <si>
    <t>Click Here for Complex Input Worksheet</t>
  </si>
  <si>
    <t>($/kW-yr) – an annual expense (or revenue) based on generator capacity</t>
  </si>
  <si>
    <t>($) – All CREST model values are in nominal dollars</t>
  </si>
  <si>
    <t>Weighted Average Cost of Capital (WACC)</t>
  </si>
  <si>
    <t>Click Here for Complex Input Worksheets</t>
  </si>
  <si>
    <t>Year One</t>
  </si>
  <si>
    <t>As Generated</t>
  </si>
  <si>
    <r>
      <t>Total Value of Grants</t>
    </r>
    <r>
      <rPr>
        <sz val="10"/>
        <rFont val="Arial"/>
        <family val="2"/>
      </rPr>
      <t xml:space="preserve"> (excl. pmt in lieu of ITC, if applicable)</t>
    </r>
  </si>
  <si>
    <t>Did you confirm that all minimum required inputs have green check cells?</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</si>
  <si>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</si>
  <si>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</si>
  <si>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</si>
  <si>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</si>
  <si>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</si>
  <si>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</si>
  <si>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</si>
  <si>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</si>
  <si>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</si>
  <si>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</si>
  <si>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</si>
  <si>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</si>
  <si>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r>
      <t xml:space="preserve">% Equity (% hard costs) </t>
    </r>
    <r>
      <rPr>
        <sz val="11"/>
        <rFont val="Arial"/>
        <family val="2"/>
      </rPr>
      <t>(soft costs also equity funded)</t>
    </r>
  </si>
  <si>
    <t>$/kW-yr</t>
  </si>
  <si>
    <t>kW</t>
  </si>
  <si>
    <t>$/kW</t>
  </si>
  <si>
    <t>Cost of Renewable Energy Spreadsheet Tool (CREST)</t>
  </si>
  <si>
    <t>Land Lease</t>
  </si>
  <si>
    <t>Adjustment to Cost Basis for ITC &amp; Non-taxable Grants</t>
  </si>
  <si>
    <t>Bonus Depreciation</t>
  </si>
  <si>
    <t>% of Bonus Depreciation applied in Year 1</t>
  </si>
  <si>
    <t>Allocation of Costs</t>
  </si>
  <si>
    <t>Project Cost Allocation</t>
  </si>
  <si>
    <t>Before</t>
  </si>
  <si>
    <t xml:space="preserve">% </t>
  </si>
  <si>
    <t xml:space="preserve">After </t>
  </si>
  <si>
    <t>Adjustments</t>
  </si>
  <si>
    <t>Unadjusted</t>
  </si>
  <si>
    <t>Adjusted</t>
  </si>
  <si>
    <t>Project Cost Basis</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</si>
  <si>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</si>
  <si>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</si>
  <si>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</si>
  <si>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</si>
  <si>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</si>
  <si>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</si>
  <si>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PBI Utilization or Availability Factor, if applicable</t>
  </si>
  <si>
    <t>Federal Taxable Income</t>
  </si>
  <si>
    <t>State Taxable Income</t>
  </si>
  <si>
    <t>Federal Tax 
Benefit/ (Liability)</t>
  </si>
  <si>
    <t>State Tax 
Benefit/ (Liability)</t>
  </si>
  <si>
    <t>Revenue + Tax Benefit/(Liability)</t>
  </si>
  <si>
    <t>Pre-Tax (Cash-only) Equity IRR (over defined Useful Life)</t>
  </si>
  <si>
    <t>After Tax Equity IRR (over defined Useful Life)</t>
  </si>
  <si>
    <t>Notes: (Users may enter descriptive text about their model run)</t>
  </si>
  <si>
    <t xml:space="preserve">3rd Equipment Replacement </t>
  </si>
  <si>
    <t>3rd Replacement Cost ($ in year replaced)</t>
  </si>
  <si>
    <t xml:space="preserve">4th Equipment Replacement </t>
  </si>
  <si>
    <t>4th Replacement Cost ($ in year replaced)</t>
  </si>
  <si>
    <t>3rd Replacement</t>
  </si>
  <si>
    <t>4th Replacement</t>
  </si>
  <si>
    <t>Major Equipment Replacement Reserves #1</t>
  </si>
  <si>
    <t>Major Equipment Replacement Reserves #2</t>
  </si>
  <si>
    <t>Major Equipment Replacement Reserves #3</t>
  </si>
  <si>
    <t>Major Equipment Replacement Reserves #4</t>
  </si>
  <si>
    <t>(max funding period, yrs)</t>
  </si>
  <si>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</si>
  <si>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http://dsireusa.org/</t>
  </si>
  <si>
    <t>http://dsireusa.org/incentives/incentive.cfm?Incentive_Code=US02F&amp;re=1&amp;ee=1</t>
  </si>
  <si>
    <t>http://dsireusa.org/incentives/index.cfm?state=us&amp;re=1&amp;EE=1</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</si>
  <si>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</si>
  <si>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</si>
  <si>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DSIRE</t>
  </si>
  <si>
    <t>DSIRE: Tax/Grants</t>
  </si>
  <si>
    <t>DSIRE: Other Fed Incentives</t>
  </si>
  <si>
    <t>Total State ITC, over realization period</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</si>
  <si>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</si>
  <si>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</si>
  <si>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</si>
  <si>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</si>
  <si>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sz val="12"/>
        <color theme="1"/>
        <rFont val="Calibri"/>
        <family val="2"/>
        <scheme val="minor"/>
      </rPr>
      <t xml:space="preserve">
</t>
    </r>
  </si>
  <si>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</si>
  <si>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</si>
  <si>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</si>
  <si>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</si>
  <si>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</si>
  <si>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</si>
  <si>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</si>
  <si>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</si>
  <si>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</si>
  <si>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</si>
  <si>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r>
      <t xml:space="preserve">Forecasted Market Value of Production; applies </t>
    </r>
    <r>
      <rPr>
        <b/>
        <u/>
        <sz val="12"/>
        <rFont val="Arial"/>
        <family val="2"/>
      </rPr>
      <t>after</t>
    </r>
    <r>
      <rPr>
        <b/>
        <sz val="12"/>
        <rFont val="Arial"/>
        <family val="2"/>
      </rPr>
      <t xml:space="preserve"> Incentive Expiration</t>
    </r>
  </si>
  <si>
    <t>Author:</t>
  </si>
  <si>
    <t>Sustainable Energy Advantage, LLC</t>
  </si>
  <si>
    <t>For Technical Support, Please Contact:</t>
  </si>
  <si>
    <t xml:space="preserve">Michael Mendelsohn, NREL
(303) 384-7363
michael.mendelsohn@nrel.gov </t>
  </si>
  <si>
    <t>For Model Customization, Please Contact:</t>
  </si>
  <si>
    <t xml:space="preserve">Sustainable Energy Advantage, LLC
(508) 665-5850
CREST@seadvantage.com </t>
  </si>
  <si>
    <t>Total Installed Cost (before grants, if applicable)</t>
  </si>
  <si>
    <t>Cash</t>
  </si>
  <si>
    <t>Payment Duration for Cost-Based Tariff</t>
  </si>
  <si>
    <t>Tax Credit-  or Cash- Based?</t>
  </si>
  <si>
    <t>% of Year 1 Tariff Rate Escalated</t>
  </si>
  <si>
    <t>Net Installed Cost (Total Installed Cost less Grants)</t>
  </si>
  <si>
    <t>Operating Expenses, Aggregated, Yr 1</t>
  </si>
  <si>
    <t>Debt Term</t>
  </si>
  <si>
    <t>Federal Tax Benefts Used "as generated" or "carried forward"?</t>
  </si>
  <si>
    <t>State Tax Benefts Used "as generated" or "carried forward"?</t>
  </si>
  <si>
    <t>Total of Grants or Rebates</t>
  </si>
  <si>
    <t>Bonus Depreciation assumed?</t>
  </si>
  <si>
    <r>
      <rPr>
        <sz val="11"/>
        <color theme="1"/>
        <rFont val="Calibri"/>
        <family val="2"/>
      </rPr>
      <t>¢</t>
    </r>
    <r>
      <rPr>
        <i/>
        <sz val="11"/>
        <color theme="1"/>
        <rFont val="Arial"/>
        <family val="2"/>
      </rPr>
      <t>/kWh</t>
    </r>
  </si>
  <si>
    <t>Total $ Cap on State Rebates/Grants</t>
  </si>
  <si>
    <t>Annual $ Cap on Performance-Based Incentive</t>
  </si>
  <si>
    <t>PBI or REC Rate</t>
  </si>
  <si>
    <t>PBI or REC PaymentDuration</t>
  </si>
  <si>
    <t>PBI or REC Escalation Rate (pos. or neg.)</t>
  </si>
  <si>
    <t>State Rebates, Tax Credits and/or REC Revenue</t>
  </si>
  <si>
    <t>Net Year-One Cost of Energy (COE)</t>
  </si>
  <si>
    <t>Net Nominal Levelized Cost of Energy</t>
  </si>
  <si>
    <r>
      <t xml:space="preserve">Additional Federal Grants </t>
    </r>
    <r>
      <rPr>
        <b/>
        <sz val="10"/>
        <rFont val="Arial"/>
        <family val="2"/>
      </rPr>
      <t>(Other than Section 1603)</t>
    </r>
  </si>
  <si>
    <t>Select Form of Federal Incentives</t>
  </si>
  <si>
    <t>Additional State Rebates/Grants</t>
  </si>
  <si>
    <t>Select Form of State Incentive</t>
  </si>
  <si>
    <t>If cash, is state PBI or REC taxable?</t>
  </si>
  <si>
    <t>Summary of Models Reviewed During the Development of the CREST models:</t>
  </si>
  <si>
    <t>cubic feet/day</t>
  </si>
  <si>
    <t>BTU/cubic foot</t>
  </si>
  <si>
    <t>cubic feet/year</t>
  </si>
  <si>
    <t>MMBTU/year</t>
  </si>
  <si>
    <t>Heat Rate</t>
  </si>
  <si>
    <t>Intermediate</t>
  </si>
  <si>
    <t>BTU/kWh</t>
  </si>
  <si>
    <t>Energy Content per Cubic Foot</t>
  </si>
  <si>
    <t>Energy Content per Year</t>
  </si>
  <si>
    <t>Production, Year 1</t>
  </si>
  <si>
    <t>Availability</t>
  </si>
  <si>
    <t>Station Service (Parasitic Load)</t>
  </si>
  <si>
    <t>Biogas Consumption per Day</t>
  </si>
  <si>
    <t>Biogas Consumption per Year</t>
  </si>
  <si>
    <t>Tipping Fee - Source #1</t>
  </si>
  <si>
    <t>$/ton</t>
  </si>
  <si>
    <t>Tipping Fee - Source #2</t>
  </si>
  <si>
    <t>Tipping Fee - Source #3</t>
  </si>
  <si>
    <t>Tipping Fees</t>
  </si>
  <si>
    <t>Quantity Received Each Year</t>
  </si>
  <si>
    <t>tons per year</t>
  </si>
  <si>
    <t>Supplemental Revenue Streams: Tipping Fees</t>
  </si>
  <si>
    <t>Water &amp; Sewer Expenses</t>
  </si>
  <si>
    <t>Water &amp; Sewer Expense Escalation Factor</t>
  </si>
  <si>
    <t>Water &amp; Sewer Escalation Factor</t>
  </si>
  <si>
    <t>All inputs must be provided and validated by the user.</t>
  </si>
  <si>
    <t>Supplemental Revenue</t>
  </si>
  <si>
    <t>Capital Expenditures During Operations (capitalized and depreciated)</t>
  </si>
  <si>
    <t>Digestate Disposal (if handled as an expense)</t>
  </si>
  <si>
    <t>Digestate - Quantity</t>
  </si>
  <si>
    <t>Digestate (if treated as an expense</t>
  </si>
  <si>
    <t>Digestate Disposal Escalation Factor</t>
  </si>
  <si>
    <t>Digestate (if merchantable for additional revenue)</t>
  </si>
  <si>
    <t>Feedstock Expense, if applicable</t>
  </si>
  <si>
    <t>Feedstock Expense Escalation Factor</t>
  </si>
  <si>
    <t>Feedstock - Quantity</t>
  </si>
  <si>
    <t>Feedstock Expense</t>
  </si>
  <si>
    <t>Feedstock Escalation Factor</t>
  </si>
  <si>
    <t>Digestate Revenue Escalation Factor</t>
  </si>
  <si>
    <t>$/gallon</t>
  </si>
  <si>
    <t>gallons per year</t>
  </si>
  <si>
    <t>Salvage</t>
  </si>
  <si>
    <t>Performance-Based</t>
  </si>
  <si>
    <t>Tax Credit</t>
  </si>
  <si>
    <t>Electrical Conversion Efficiency</t>
  </si>
  <si>
    <t>Waste Heat -- Heat Capture Efficiency</t>
  </si>
  <si>
    <t>Waste Heat -- BTUs available for sale</t>
  </si>
  <si>
    <t>Waste Heat Selling Rate Escalation Factor</t>
  </si>
  <si>
    <t>Waste Heat -- Selling Price Escalation Factor</t>
  </si>
  <si>
    <t>$/therm</t>
  </si>
  <si>
    <t>Electricity Production</t>
  </si>
  <si>
    <t>Heat Available for Sale</t>
  </si>
  <si>
    <t>therms</t>
  </si>
  <si>
    <t>Waste Heat -- Selling Price/Avoided Cost</t>
  </si>
  <si>
    <t>Sale/Avoided Cost of Waste Heat</t>
  </si>
  <si>
    <t>% Equity (% hard costs) (soft costs also equity funded)</t>
  </si>
  <si>
    <t>Simple</t>
  </si>
  <si>
    <t>Anaerobic Digestion, version 1.4</t>
  </si>
  <si>
    <t>Update Notice:</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</si>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</sst>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Project&quot;\ #"/>
    <numFmt numFmtId="167" formatCode="0\ &quot;kW&quot;"/>
    <numFmt numFmtId="168" formatCode="#\ &quot;Years&quot;"/>
    <numFmt numFmtId="169" formatCode="&quot;$&quot;#,##0"/>
    <numFmt numFmtId="170" formatCode="&quot;$&quot;#.##&quot;/ Watt&quot;"/>
    <numFmt numFmtId="171" formatCode="&quot;$&quot;#,##0.00"/>
    <numFmt numFmtId="172" formatCode="0.0000"/>
    <numFmt numFmtId="173" formatCode="0.000"/>
    <numFmt numFmtId="174" formatCode="_(* #,##0_);_(* \(#,##0\);_(* &quot;-&quot;??_);_(@_)"/>
    <numFmt numFmtId="175" formatCode="0.000000"/>
    <numFmt numFmtId="176" formatCode="&quot;Year&quot;\ #"/>
    <numFmt numFmtId="177" formatCode="0.0"/>
    <numFmt numFmtId="178" formatCode="&quot;Net Present Value @&quot;\ ##.00%\ &quot;(over defined Useful Life)&quot;"/>
  </numFmts>
  <fonts count="95">
    <font>
      <sz val="11"/>
      <color theme="1"/>
      <name val="Calibri"/>
      <family val="2"/>
      <scheme val="minor"/>
    </font>
    <font>
      <sz val="12"/>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b/>
      <u/>
      <sz val="12"/>
      <color theme="0" tint="-0.1499984740745262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sz val="12"/>
      <color theme="3"/>
      <name val="Calibri"/>
      <family val="2"/>
      <scheme val="minor"/>
    </font>
    <font>
      <b/>
      <i/>
      <u/>
      <sz val="12"/>
      <color theme="1"/>
      <name val="Calibri"/>
      <family val="2"/>
      <scheme val="minor"/>
    </font>
    <font>
      <b/>
      <sz val="14"/>
      <color rgb="FFFF0000"/>
      <name val="Calibri"/>
      <family val="2"/>
      <scheme val="minor"/>
    </font>
    <font>
      <u/>
      <sz val="12"/>
      <color theme="10"/>
      <name val="Calibri"/>
      <family val="2"/>
    </font>
    <font>
      <b/>
      <i/>
      <sz val="12"/>
      <color theme="1"/>
      <name val="Calibri"/>
      <family val="2"/>
      <scheme val="minor"/>
    </font>
    <font>
      <b/>
      <sz val="11"/>
      <color rgb="FFFF0000"/>
      <name val="Arial"/>
      <family val="2"/>
    </font>
    <font>
      <sz val="11"/>
      <color theme="1"/>
      <name val="Calibri"/>
      <family val="2"/>
    </font>
    <font>
      <b/>
      <sz val="16"/>
      <color indexed="81"/>
      <name val="Tahoma"/>
      <family val="2"/>
    </font>
    <font>
      <i/>
      <sz val="14"/>
      <color theme="1"/>
      <name val="Arial"/>
      <family val="2"/>
    </font>
    <font>
      <sz val="14"/>
      <color theme="1"/>
      <name val="Arial"/>
      <family val="2"/>
    </font>
    <font>
      <b/>
      <sz val="10"/>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9" fontId="20" fillId="0" borderId="0" applyFont="0" applyFill="0" applyBorder="0" applyAlignment="0" applyProtection="0"/>
    <xf numFmtId="43" fontId="2" fillId="0" borderId="0" applyFont="0" applyFill="0" applyBorder="0" applyAlignment="0" applyProtection="0"/>
  </cellStyleXfs>
  <cellXfs count="822">
    <xf numFmtId="0" fontId="0" fillId="0" borderId="0" xfId="0"/>
    <xf numFmtId="0" fontId="6" fillId="0" borderId="0" xfId="0" applyFont="1" applyFill="1" applyBorder="1"/>
    <xf numFmtId="0" fontId="3" fillId="5" borderId="1" xfId="0" applyNumberFormat="1" applyFont="1" applyFill="1" applyBorder="1" applyAlignment="1">
      <alignment horizontal="left"/>
    </xf>
    <xf numFmtId="0" fontId="10" fillId="5" borderId="2" xfId="0" applyNumberFormat="1" applyFont="1" applyFill="1" applyBorder="1" applyAlignment="1">
      <alignment horizontal="center"/>
    </xf>
    <xf numFmtId="166" fontId="11" fillId="5" borderId="3" xfId="0" applyNumberFormat="1" applyFont="1" applyFill="1" applyBorder="1" applyAlignment="1">
      <alignment horizontal="center"/>
    </xf>
    <xf numFmtId="0" fontId="3" fillId="5" borderId="1" xfId="0" applyNumberFormat="1" applyFont="1" applyFill="1" applyBorder="1" applyAlignment="1"/>
    <xf numFmtId="0" fontId="4" fillId="2" borderId="5" xfId="0" applyNumberFormat="1" applyFont="1" applyFill="1" applyBorder="1" applyAlignment="1">
      <alignment horizontal="center"/>
    </xf>
    <xf numFmtId="0" fontId="4" fillId="2" borderId="4" xfId="0" applyNumberFormat="1" applyFont="1" applyFill="1" applyBorder="1" applyAlignment="1">
      <alignment horizontal="center"/>
    </xf>
    <xf numFmtId="0" fontId="6" fillId="2" borderId="4" xfId="0" applyNumberFormat="1" applyFont="1" applyFill="1" applyBorder="1" applyAlignment="1"/>
    <xf numFmtId="3" fontId="3" fillId="5" borderId="1" xfId="0" applyNumberFormat="1" applyFont="1" applyFill="1" applyBorder="1" applyAlignment="1">
      <alignment horizontal="left"/>
    </xf>
    <xf numFmtId="0" fontId="4" fillId="0" borderId="4" xfId="0" applyNumberFormat="1" applyFont="1" applyFill="1" applyBorder="1" applyAlignment="1">
      <alignment horizontal="center"/>
    </xf>
    <xf numFmtId="0" fontId="6" fillId="0" borderId="8" xfId="0" applyFont="1" applyFill="1" applyBorder="1"/>
    <xf numFmtId="0" fontId="6" fillId="0" borderId="0" xfId="0" applyFont="1" applyBorder="1"/>
    <xf numFmtId="0" fontId="15" fillId="0" borderId="4" xfId="0" applyFont="1" applyFill="1" applyBorder="1" applyAlignment="1">
      <alignment horizontal="center"/>
    </xf>
    <xf numFmtId="0" fontId="0" fillId="0" borderId="0" xfId="0" applyBorder="1"/>
    <xf numFmtId="0" fontId="15" fillId="0" borderId="0" xfId="0"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6" fillId="0" borderId="2" xfId="0" applyFont="1" applyBorder="1"/>
    <xf numFmtId="0" fontId="6" fillId="0" borderId="0" xfId="0" applyFont="1" applyFill="1" applyBorder="1" applyAlignment="1">
      <alignment horizontal="center"/>
    </xf>
    <xf numFmtId="0" fontId="6" fillId="2" borderId="0" xfId="0" applyNumberFormat="1" applyFont="1" applyFill="1" applyBorder="1" applyAlignment="1"/>
    <xf numFmtId="0" fontId="4" fillId="0" borderId="4" xfId="0" applyFont="1" applyFill="1" applyBorder="1" applyAlignment="1">
      <alignment horizontal="center"/>
    </xf>
    <xf numFmtId="0" fontId="24" fillId="0" borderId="2" xfId="0" applyFont="1" applyBorder="1" applyAlignment="1">
      <alignment horizontal="center" vertical="center"/>
    </xf>
    <xf numFmtId="0" fontId="8" fillId="0" borderId="2" xfId="0" applyFont="1" applyFill="1" applyBorder="1" applyAlignment="1">
      <alignment horizontal="left"/>
    </xf>
    <xf numFmtId="9" fontId="9" fillId="0" borderId="0" xfId="0" applyNumberFormat="1" applyFont="1" applyFill="1" applyBorder="1" applyAlignment="1">
      <alignment horizontal="center"/>
    </xf>
    <xf numFmtId="0" fontId="0" fillId="0" borderId="0" xfId="0" applyFill="1" applyBorder="1"/>
    <xf numFmtId="0" fontId="6" fillId="5" borderId="2" xfId="0" applyFont="1" applyFill="1" applyBorder="1"/>
    <xf numFmtId="0" fontId="3" fillId="0" borderId="14" xfId="0" applyFont="1" applyFill="1" applyBorder="1" applyAlignment="1">
      <alignment horizontal="center"/>
    </xf>
    <xf numFmtId="0" fontId="4" fillId="0" borderId="5" xfId="0" applyFont="1" applyFill="1" applyBorder="1" applyAlignment="1">
      <alignment horizontal="center"/>
    </xf>
    <xf numFmtId="0" fontId="6" fillId="0" borderId="0" xfId="0" applyNumberFormat="1" applyFont="1" applyAlignment="1"/>
    <xf numFmtId="0" fontId="3" fillId="0" borderId="0" xfId="0" applyNumberFormat="1" applyFont="1" applyAlignment="1">
      <alignment horizontal="center"/>
    </xf>
    <xf numFmtId="0" fontId="6" fillId="0" borderId="0" xfId="0" applyNumberFormat="1" applyFont="1" applyFill="1" applyAlignment="1"/>
    <xf numFmtId="0" fontId="6" fillId="0" borderId="0" xfId="0" applyNumberFormat="1" applyFont="1" applyAlignment="1">
      <alignment horizontal="center"/>
    </xf>
    <xf numFmtId="173" fontId="6" fillId="0" borderId="0" xfId="0" applyNumberFormat="1" applyFont="1" applyAlignment="1"/>
    <xf numFmtId="0" fontId="3" fillId="0" borderId="0" xfId="0" applyNumberFormat="1" applyFont="1" applyAlignment="1"/>
    <xf numFmtId="3" fontId="6" fillId="0" borderId="0" xfId="0" applyNumberFormat="1" applyFont="1" applyAlignment="1"/>
    <xf numFmtId="0" fontId="6" fillId="0" borderId="0" xfId="0" applyNumberFormat="1" applyFont="1" applyFill="1" applyBorder="1" applyAlignment="1"/>
    <xf numFmtId="169" fontId="6" fillId="0" borderId="0" xfId="0" applyNumberFormat="1" applyFont="1" applyBorder="1" applyAlignment="1"/>
    <xf numFmtId="0" fontId="6" fillId="0" borderId="0" xfId="0" applyNumberFormat="1" applyFont="1" applyBorder="1" applyAlignment="1"/>
    <xf numFmtId="0" fontId="6" fillId="0" borderId="9" xfId="0" applyNumberFormat="1" applyFont="1" applyFill="1" applyBorder="1" applyAlignment="1"/>
    <xf numFmtId="0" fontId="6" fillId="0" borderId="9" xfId="0" applyNumberFormat="1" applyFont="1" applyBorder="1" applyAlignment="1"/>
    <xf numFmtId="6" fontId="6" fillId="0" borderId="0" xfId="0" applyNumberFormat="1" applyFont="1" applyFill="1" applyBorder="1" applyAlignment="1"/>
    <xf numFmtId="6" fontId="6" fillId="0" borderId="9" xfId="0" applyNumberFormat="1" applyFont="1" applyFill="1" applyBorder="1" applyAlignment="1"/>
    <xf numFmtId="0" fontId="3" fillId="0" borderId="0" xfId="0" applyNumberFormat="1" applyFont="1" applyFill="1" applyBorder="1" applyAlignment="1"/>
    <xf numFmtId="6" fontId="3" fillId="0" borderId="0" xfId="0" applyNumberFormat="1" applyFont="1" applyAlignment="1"/>
    <xf numFmtId="0" fontId="4" fillId="0" borderId="0" xfId="0" applyNumberFormat="1" applyFont="1" applyFill="1" applyBorder="1" applyAlignment="1"/>
    <xf numFmtId="0" fontId="4" fillId="0" borderId="0" xfId="0" applyNumberFormat="1" applyFont="1" applyAlignment="1"/>
    <xf numFmtId="0" fontId="4" fillId="0" borderId="0" xfId="0" applyNumberFormat="1" applyFont="1" applyFill="1" applyAlignment="1"/>
    <xf numFmtId="40" fontId="4" fillId="0" borderId="0" xfId="0" applyNumberFormat="1" applyFont="1" applyFill="1" applyAlignment="1">
      <alignment horizontal="center"/>
    </xf>
    <xf numFmtId="0" fontId="3" fillId="0" borderId="0" xfId="0" applyNumberFormat="1" applyFont="1" applyFill="1" applyAlignment="1"/>
    <xf numFmtId="6" fontId="3" fillId="0" borderId="0" xfId="0" applyNumberFormat="1" applyFont="1" applyFill="1" applyAlignment="1"/>
    <xf numFmtId="0" fontId="3" fillId="0" borderId="0" xfId="0" applyNumberFormat="1" applyFont="1" applyAlignment="1">
      <alignment wrapText="1"/>
    </xf>
    <xf numFmtId="6" fontId="6" fillId="0" borderId="0" xfId="0" applyNumberFormat="1" applyFont="1" applyAlignment="1"/>
    <xf numFmtId="6" fontId="6" fillId="0" borderId="9" xfId="0" applyNumberFormat="1" applyFont="1" applyBorder="1" applyAlignment="1"/>
    <xf numFmtId="0" fontId="21" fillId="0" borderId="0" xfId="0" applyNumberFormat="1" applyFont="1" applyAlignment="1">
      <alignment wrapText="1"/>
    </xf>
    <xf numFmtId="164" fontId="4" fillId="0" borderId="0" xfId="2" applyNumberFormat="1" applyFont="1" applyAlignment="1"/>
    <xf numFmtId="6" fontId="31" fillId="0" borderId="0" xfId="0" applyNumberFormat="1" applyFont="1" applyFill="1" applyAlignment="1">
      <alignment horizontal="center"/>
    </xf>
    <xf numFmtId="0" fontId="3" fillId="0" borderId="22" xfId="0" applyNumberFormat="1" applyFont="1" applyBorder="1" applyAlignment="1"/>
    <xf numFmtId="0" fontId="6" fillId="0" borderId="22" xfId="0" applyNumberFormat="1" applyFont="1" applyBorder="1" applyAlignment="1"/>
    <xf numFmtId="0" fontId="3" fillId="9" borderId="0" xfId="0" applyNumberFormat="1" applyFont="1" applyFill="1" applyBorder="1" applyAlignment="1"/>
    <xf numFmtId="0" fontId="6" fillId="9" borderId="0" xfId="0" applyNumberFormat="1" applyFont="1" applyFill="1" applyBorder="1" applyAlignment="1"/>
    <xf numFmtId="6" fontId="6" fillId="9" borderId="0" xfId="0" applyNumberFormat="1" applyFont="1" applyFill="1" applyBorder="1" applyAlignment="1"/>
    <xf numFmtId="0" fontId="21" fillId="9" borderId="0" xfId="0" applyNumberFormat="1" applyFont="1" applyFill="1" applyBorder="1" applyAlignment="1">
      <alignment horizontal="center"/>
    </xf>
    <xf numFmtId="0" fontId="6" fillId="9" borderId="0" xfId="0" applyNumberFormat="1" applyFont="1" applyFill="1" applyAlignment="1"/>
    <xf numFmtId="0" fontId="0" fillId="0" borderId="0" xfId="0" applyNumberFormat="1" applyAlignment="1"/>
    <xf numFmtId="0" fontId="25" fillId="0" borderId="0" xfId="0" applyFont="1" applyFill="1" applyAlignment="1">
      <alignment horizontal="center"/>
    </xf>
    <xf numFmtId="0" fontId="0" fillId="0" borderId="0" xfId="0" applyFill="1"/>
    <xf numFmtId="3" fontId="3" fillId="9" borderId="1" xfId="0" applyNumberFormat="1" applyFont="1" applyFill="1" applyBorder="1" applyAlignment="1">
      <alignment horizontal="left" vertical="center"/>
    </xf>
    <xf numFmtId="3" fontId="4"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6" fillId="2" borderId="4" xfId="0" applyNumberFormat="1" applyFont="1" applyFill="1" applyBorder="1" applyAlignment="1">
      <alignment vertical="center"/>
    </xf>
    <xf numFmtId="0" fontId="6" fillId="0" borderId="4" xfId="0" applyNumberFormat="1" applyFont="1" applyFill="1" applyBorder="1" applyAlignment="1">
      <alignment vertical="center"/>
    </xf>
    <xf numFmtId="9" fontId="3" fillId="2" borderId="5" xfId="2" applyFont="1" applyFill="1" applyBorder="1" applyAlignment="1">
      <alignment horizontal="center"/>
    </xf>
    <xf numFmtId="0" fontId="34" fillId="0" borderId="0" xfId="3" applyNumberFormat="1" applyFont="1" applyBorder="1" applyAlignment="1" applyProtection="1">
      <alignment vertical="center"/>
    </xf>
    <xf numFmtId="9" fontId="35" fillId="2" borderId="5" xfId="2" applyFont="1" applyFill="1" applyBorder="1" applyAlignment="1">
      <alignment horizontal="center"/>
    </xf>
    <xf numFmtId="0" fontId="4" fillId="0" borderId="0" xfId="0" applyNumberFormat="1" applyFont="1" applyFill="1" applyBorder="1" applyAlignment="1">
      <alignment horizontal="center"/>
    </xf>
    <xf numFmtId="9" fontId="6" fillId="2" borderId="5" xfId="2" applyFont="1" applyFill="1" applyBorder="1" applyAlignment="1">
      <alignment horizontal="center" vertical="center"/>
    </xf>
    <xf numFmtId="166" fontId="11" fillId="0" borderId="0" xfId="0" applyNumberFormat="1" applyFont="1" applyFill="1" applyBorder="1" applyAlignment="1">
      <alignment horizontal="center"/>
    </xf>
    <xf numFmtId="0" fontId="4" fillId="0" borderId="0" xfId="0" applyNumberFormat="1" applyFont="1" applyAlignment="1">
      <alignment horizontal="center"/>
    </xf>
    <xf numFmtId="0" fontId="4" fillId="0" borderId="9" xfId="0" applyNumberFormat="1" applyFont="1" applyFill="1" applyBorder="1" applyAlignment="1">
      <alignment horizontal="center"/>
    </xf>
    <xf numFmtId="0" fontId="21" fillId="0" borderId="0" xfId="0" applyNumberFormat="1" applyFont="1" applyAlignment="1">
      <alignment horizontal="center"/>
    </xf>
    <xf numFmtId="0" fontId="4" fillId="0" borderId="0" xfId="0" applyNumberFormat="1" applyFont="1" applyFill="1" applyAlignment="1">
      <alignment horizontal="center"/>
    </xf>
    <xf numFmtId="172" fontId="6" fillId="0" borderId="0" xfId="0" applyNumberFormat="1" applyFont="1" applyFill="1" applyAlignment="1">
      <alignment horizontal="center"/>
    </xf>
    <xf numFmtId="6" fontId="6" fillId="0" borderId="0" xfId="0" applyNumberFormat="1" applyFont="1" applyBorder="1" applyAlignment="1"/>
    <xf numFmtId="10" fontId="6" fillId="0" borderId="0" xfId="2" applyNumberFormat="1" applyFont="1" applyAlignment="1"/>
    <xf numFmtId="9" fontId="6" fillId="0" borderId="0" xfId="0" applyNumberFormat="1" applyFont="1" applyAlignment="1"/>
    <xf numFmtId="41" fontId="6" fillId="0" borderId="0" xfId="0" applyNumberFormat="1" applyFont="1" applyAlignment="1"/>
    <xf numFmtId="2" fontId="31" fillId="0" borderId="0" xfId="0" applyNumberFormat="1" applyFont="1" applyFill="1" applyAlignment="1">
      <alignment horizontal="center"/>
    </xf>
    <xf numFmtId="0" fontId="6" fillId="9" borderId="22" xfId="0" applyNumberFormat="1" applyFont="1" applyFill="1" applyBorder="1" applyAlignment="1"/>
    <xf numFmtId="2" fontId="4" fillId="0" borderId="0" xfId="0" applyNumberFormat="1" applyFont="1" applyBorder="1" applyAlignment="1"/>
    <xf numFmtId="0" fontId="6" fillId="0" borderId="22" xfId="0" applyFont="1" applyFill="1" applyBorder="1"/>
    <xf numFmtId="8" fontId="4" fillId="0" borderId="0" xfId="0" applyNumberFormat="1" applyFont="1" applyFill="1" applyBorder="1" applyAlignment="1">
      <alignment horizontal="center"/>
    </xf>
    <xf numFmtId="0" fontId="38" fillId="4" borderId="1" xfId="0" applyFont="1" applyFill="1" applyBorder="1" applyAlignment="1">
      <alignment horizontal="left" vertical="center"/>
    </xf>
    <xf numFmtId="0" fontId="25" fillId="4" borderId="2" xfId="0" applyFont="1" applyFill="1" applyBorder="1" applyAlignment="1">
      <alignment horizontal="center"/>
    </xf>
    <xf numFmtId="0" fontId="39" fillId="6" borderId="1" xfId="0" applyFont="1" applyFill="1" applyBorder="1"/>
    <xf numFmtId="0" fontId="40" fillId="6" borderId="2" xfId="0" applyFont="1" applyFill="1" applyBorder="1"/>
    <xf numFmtId="0" fontId="41" fillId="6" borderId="2" xfId="0" applyFont="1" applyFill="1" applyBorder="1" applyAlignment="1">
      <alignment horizontal="center"/>
    </xf>
    <xf numFmtId="9" fontId="24" fillId="0" borderId="4" xfId="0" applyNumberFormat="1" applyFont="1" applyFill="1" applyBorder="1" applyAlignment="1">
      <alignment horizontal="center"/>
    </xf>
    <xf numFmtId="0" fontId="4" fillId="4" borderId="3" xfId="0" applyNumberFormat="1" applyFont="1" applyFill="1" applyBorder="1" applyAlignment="1">
      <alignment horizontal="center" vertical="center"/>
    </xf>
    <xf numFmtId="9" fontId="6" fillId="0" borderId="0" xfId="2" applyFont="1" applyFill="1" applyBorder="1" applyAlignment="1">
      <alignment horizontal="center" vertical="center"/>
    </xf>
    <xf numFmtId="0" fontId="21" fillId="4" borderId="1" xfId="0" applyFont="1" applyFill="1" applyBorder="1"/>
    <xf numFmtId="0" fontId="6" fillId="4" borderId="2" xfId="0" applyFont="1" applyFill="1" applyBorder="1"/>
    <xf numFmtId="0" fontId="6" fillId="4" borderId="3" xfId="0" applyFont="1" applyFill="1" applyBorder="1"/>
    <xf numFmtId="0" fontId="40" fillId="6" borderId="3" xfId="0" applyFont="1" applyFill="1" applyBorder="1"/>
    <xf numFmtId="0" fontId="6" fillId="2" borderId="5" xfId="0" applyNumberFormat="1" applyFont="1" applyFill="1" applyBorder="1" applyAlignment="1">
      <alignment vertical="center"/>
    </xf>
    <xf numFmtId="169" fontId="6" fillId="0" borderId="5" xfId="1" applyNumberFormat="1" applyFont="1" applyBorder="1" applyAlignment="1">
      <alignment horizontal="center" vertical="center"/>
    </xf>
    <xf numFmtId="0" fontId="0" fillId="0" borderId="4" xfId="0" applyFill="1" applyBorder="1"/>
    <xf numFmtId="0" fontId="4" fillId="9" borderId="29" xfId="0" applyNumberFormat="1" applyFont="1" applyFill="1" applyBorder="1" applyAlignment="1">
      <alignment horizontal="center" vertical="center"/>
    </xf>
    <xf numFmtId="0" fontId="4" fillId="9" borderId="29" xfId="0" applyNumberFormat="1" applyFont="1" applyFill="1" applyBorder="1" applyAlignment="1">
      <alignment horizontal="center" vertical="center" wrapText="1"/>
    </xf>
    <xf numFmtId="0" fontId="33" fillId="2" borderId="0" xfId="0" applyNumberFormat="1" applyFont="1" applyFill="1" applyBorder="1" applyAlignment="1">
      <alignment vertical="center"/>
    </xf>
    <xf numFmtId="9" fontId="7" fillId="2" borderId="0" xfId="2" applyFont="1" applyFill="1" applyBorder="1" applyAlignment="1">
      <alignment horizontal="center" vertical="center"/>
    </xf>
    <xf numFmtId="9" fontId="24" fillId="0" borderId="0" xfId="0" applyNumberFormat="1" applyFont="1" applyFill="1" applyBorder="1" applyAlignment="1">
      <alignment horizontal="center"/>
    </xf>
    <xf numFmtId="0" fontId="6" fillId="0" borderId="0" xfId="0" applyNumberFormat="1" applyFont="1" applyFill="1" applyBorder="1" applyAlignment="1">
      <alignment vertical="center"/>
    </xf>
    <xf numFmtId="169" fontId="6" fillId="0" borderId="0" xfId="1" applyNumberFormat="1" applyFont="1" applyFill="1" applyBorder="1" applyAlignment="1">
      <alignment horizontal="center" vertical="center"/>
    </xf>
    <xf numFmtId="0" fontId="33" fillId="0" borderId="0" xfId="0" applyNumberFormat="1" applyFont="1" applyFill="1" applyBorder="1" applyAlignment="1">
      <alignment vertical="center"/>
    </xf>
    <xf numFmtId="169"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0" fontId="3" fillId="9" borderId="30" xfId="0" applyNumberFormat="1" applyFont="1" applyFill="1" applyBorder="1" applyAlignment="1">
      <alignment vertical="center"/>
    </xf>
    <xf numFmtId="169" fontId="6"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28" xfId="0" applyNumberFormat="1" applyFont="1" applyFill="1" applyBorder="1" applyAlignment="1">
      <alignment vertical="center"/>
    </xf>
    <xf numFmtId="6" fontId="6" fillId="0" borderId="28" xfId="0" applyNumberFormat="1" applyFont="1" applyFill="1" applyBorder="1" applyAlignment="1">
      <alignment vertical="center"/>
    </xf>
    <xf numFmtId="169" fontId="6" fillId="0" borderId="5" xfId="0" applyNumberFormat="1" applyFont="1" applyFill="1" applyBorder="1" applyAlignment="1">
      <alignment vertical="center"/>
    </xf>
    <xf numFmtId="169" fontId="3" fillId="0" borderId="5" xfId="0" applyNumberFormat="1" applyFont="1" applyFill="1" applyBorder="1" applyAlignment="1">
      <alignment vertical="center"/>
    </xf>
    <xf numFmtId="169" fontId="6" fillId="0" borderId="4" xfId="2" applyNumberFormat="1" applyFont="1" applyFill="1" applyBorder="1" applyAlignment="1">
      <alignment vertical="center"/>
    </xf>
    <xf numFmtId="9" fontId="35" fillId="0" borderId="0" xfId="2" applyFont="1" applyFill="1" applyBorder="1" applyAlignment="1">
      <alignment horizontal="center"/>
    </xf>
    <xf numFmtId="165" fontId="7" fillId="0" borderId="0" xfId="1" applyNumberFormat="1" applyFont="1" applyBorder="1" applyAlignment="1">
      <alignment horizontal="center" vertical="center"/>
    </xf>
    <xf numFmtId="169" fontId="6" fillId="0" borderId="4" xfId="1" applyNumberFormat="1" applyFont="1" applyBorder="1" applyAlignment="1">
      <alignment horizontal="center" vertical="center"/>
    </xf>
    <xf numFmtId="0" fontId="6" fillId="2" borderId="28" xfId="0" applyNumberFormat="1" applyFont="1" applyFill="1" applyBorder="1" applyAlignment="1">
      <alignment vertical="center"/>
    </xf>
    <xf numFmtId="169" fontId="6" fillId="0" borderId="28" xfId="1" applyNumberFormat="1" applyFont="1" applyBorder="1" applyAlignment="1">
      <alignment horizontal="center" vertical="center"/>
    </xf>
    <xf numFmtId="169" fontId="6" fillId="0" borderId="28" xfId="2"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169" fontId="6" fillId="0" borderId="28" xfId="0" applyNumberFormat="1" applyFont="1" applyFill="1" applyBorder="1" applyAlignment="1">
      <alignment vertical="center"/>
    </xf>
    <xf numFmtId="0" fontId="6" fillId="0" borderId="4" xfId="0" applyNumberFormat="1" applyFont="1" applyFill="1" applyBorder="1" applyAlignment="1">
      <alignment horizontal="right" vertical="center"/>
    </xf>
    <xf numFmtId="0" fontId="6" fillId="0" borderId="28" xfId="0" applyNumberFormat="1" applyFont="1" applyFill="1" applyBorder="1" applyAlignment="1">
      <alignment horizontal="right" vertical="center"/>
    </xf>
    <xf numFmtId="169" fontId="6" fillId="0" borderId="5" xfId="2" applyNumberFormat="1" applyFont="1" applyFill="1" applyBorder="1" applyAlignment="1">
      <alignment vertical="center"/>
    </xf>
    <xf numFmtId="0" fontId="6" fillId="0" borderId="5" xfId="0" applyNumberFormat="1" applyFont="1" applyFill="1" applyBorder="1" applyAlignment="1">
      <alignment horizontal="right" vertical="center"/>
    </xf>
    <xf numFmtId="0" fontId="4" fillId="9" borderId="31" xfId="0" applyNumberFormat="1" applyFont="1" applyFill="1" applyBorder="1" applyAlignment="1">
      <alignment horizontal="center" vertical="center" wrapText="1"/>
    </xf>
    <xf numFmtId="9" fontId="24" fillId="2" borderId="5" xfId="2" applyFont="1" applyFill="1" applyBorder="1" applyAlignment="1">
      <alignment horizontal="center" vertical="center"/>
    </xf>
    <xf numFmtId="0" fontId="42" fillId="2" borderId="4" xfId="0" applyNumberFormat="1" applyFont="1" applyFill="1" applyBorder="1" applyAlignment="1">
      <alignment vertical="center"/>
    </xf>
    <xf numFmtId="169" fontId="24" fillId="0" borderId="4" xfId="1" applyNumberFormat="1" applyFont="1" applyBorder="1" applyAlignment="1">
      <alignment horizontal="center" vertical="center"/>
    </xf>
    <xf numFmtId="0" fontId="42" fillId="2" borderId="28" xfId="0" applyNumberFormat="1" applyFont="1" applyFill="1" applyBorder="1" applyAlignment="1">
      <alignment vertical="center"/>
    </xf>
    <xf numFmtId="169" fontId="24" fillId="0" borderId="28" xfId="1" applyNumberFormat="1" applyFont="1" applyBorder="1" applyAlignment="1">
      <alignment horizontal="center" vertical="center"/>
    </xf>
    <xf numFmtId="9" fontId="24" fillId="2" borderId="28" xfId="2" applyFont="1" applyFill="1" applyBorder="1" applyAlignment="1">
      <alignment horizontal="center" vertical="center"/>
    </xf>
    <xf numFmtId="0" fontId="43" fillId="0" borderId="0" xfId="0" applyFont="1" applyFill="1" applyBorder="1" applyAlignment="1">
      <alignment horizontal="left"/>
    </xf>
    <xf numFmtId="0" fontId="43" fillId="0" borderId="0" xfId="0" applyFont="1" applyFill="1" applyBorder="1"/>
    <xf numFmtId="0" fontId="46" fillId="0" borderId="0" xfId="0" applyFont="1" applyBorder="1"/>
    <xf numFmtId="0" fontId="47" fillId="0" borderId="0" xfId="0" applyFont="1" applyBorder="1"/>
    <xf numFmtId="0" fontId="45" fillId="0" borderId="0" xfId="0" applyFont="1" applyBorder="1" applyAlignment="1">
      <alignment vertical="center"/>
    </xf>
    <xf numFmtId="0" fontId="2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5" fillId="0" borderId="0" xfId="0" applyFont="1" applyFill="1" applyBorder="1" applyAlignment="1">
      <alignment wrapText="1"/>
    </xf>
    <xf numFmtId="0" fontId="45" fillId="0" borderId="0" xfId="0" applyFont="1" applyFill="1" applyBorder="1" applyAlignment="1"/>
    <xf numFmtId="0" fontId="29" fillId="0" borderId="0" xfId="0" applyFont="1" applyBorder="1" applyAlignment="1">
      <alignment wrapText="1"/>
    </xf>
    <xf numFmtId="0" fontId="49" fillId="0" borderId="0" xfId="0" applyFont="1"/>
    <xf numFmtId="0" fontId="49" fillId="0" borderId="0" xfId="0" applyFont="1" applyAlignment="1">
      <alignment horizontal="center"/>
    </xf>
    <xf numFmtId="0" fontId="49" fillId="0" borderId="0" xfId="0" applyFont="1" applyAlignment="1">
      <alignment horizontal="center" vertical="center"/>
    </xf>
    <xf numFmtId="0" fontId="51" fillId="5" borderId="19" xfId="0" applyFont="1" applyFill="1" applyBorder="1" applyAlignment="1">
      <alignment horizontal="center" wrapText="1"/>
    </xf>
    <xf numFmtId="0" fontId="51" fillId="5" borderId="11" xfId="0" applyFont="1" applyFill="1" applyBorder="1" applyAlignment="1">
      <alignment horizontal="center" wrapText="1"/>
    </xf>
    <xf numFmtId="0" fontId="51" fillId="5" borderId="20" xfId="0" applyFont="1" applyFill="1" applyBorder="1" applyAlignment="1">
      <alignment horizontal="center" wrapText="1"/>
    </xf>
    <xf numFmtId="0" fontId="51" fillId="5" borderId="17" xfId="0" applyFont="1" applyFill="1" applyBorder="1" applyAlignment="1">
      <alignment horizontal="center"/>
    </xf>
    <xf numFmtId="0" fontId="51" fillId="5" borderId="0" xfId="0" applyFont="1" applyFill="1" applyBorder="1" applyAlignment="1">
      <alignment horizontal="center"/>
    </xf>
    <xf numFmtId="0" fontId="51" fillId="5" borderId="9" xfId="0" applyFont="1" applyFill="1" applyBorder="1" applyAlignment="1">
      <alignment horizontal="center"/>
    </xf>
    <xf numFmtId="0" fontId="51" fillId="5" borderId="18" xfId="0" applyFont="1" applyFill="1" applyBorder="1" applyAlignment="1">
      <alignment horizontal="center"/>
    </xf>
    <xf numFmtId="0" fontId="49" fillId="0" borderId="19" xfId="0" applyFont="1" applyBorder="1" applyAlignment="1">
      <alignment horizontal="center"/>
    </xf>
    <xf numFmtId="0" fontId="49" fillId="0" borderId="11" xfId="0" applyFont="1" applyBorder="1" applyAlignment="1">
      <alignment horizontal="center"/>
    </xf>
    <xf numFmtId="0" fontId="49" fillId="0" borderId="11" xfId="0" applyFont="1" applyBorder="1"/>
    <xf numFmtId="6" fontId="49" fillId="0" borderId="0" xfId="0" applyNumberFormat="1" applyFont="1" applyBorder="1" applyAlignment="1">
      <alignment horizontal="center" wrapText="1"/>
    </xf>
    <xf numFmtId="0" fontId="49" fillId="0" borderId="0" xfId="0" applyFont="1" applyFill="1" applyBorder="1"/>
    <xf numFmtId="0" fontId="49" fillId="0" borderId="17" xfId="0" applyFont="1" applyBorder="1" applyAlignment="1">
      <alignment horizontal="center"/>
    </xf>
    <xf numFmtId="2" fontId="49" fillId="0" borderId="0" xfId="0" applyNumberFormat="1" applyFont="1" applyBorder="1" applyAlignment="1">
      <alignment horizontal="center" wrapText="1"/>
    </xf>
    <xf numFmtId="10" fontId="49" fillId="0" borderId="0" xfId="2" applyNumberFormat="1" applyFont="1" applyBorder="1" applyAlignment="1">
      <alignment horizontal="center" wrapText="1"/>
    </xf>
    <xf numFmtId="2" fontId="49" fillId="0" borderId="18" xfId="2" applyNumberFormat="1" applyFont="1" applyBorder="1" applyAlignment="1">
      <alignment horizontal="center" wrapText="1"/>
    </xf>
    <xf numFmtId="0" fontId="49" fillId="0" borderId="0" xfId="0" applyFont="1" applyFill="1" applyBorder="1" applyAlignment="1">
      <alignment wrapText="1"/>
    </xf>
    <xf numFmtId="0" fontId="49" fillId="0" borderId="0" xfId="0" applyFont="1" applyAlignment="1">
      <alignment wrapText="1"/>
    </xf>
    <xf numFmtId="0" fontId="49" fillId="0" borderId="17" xfId="0" applyFont="1" applyBorder="1" applyAlignment="1">
      <alignment horizontal="center" wrapText="1"/>
    </xf>
    <xf numFmtId="0" fontId="49" fillId="0" borderId="15" xfId="0" applyFont="1" applyBorder="1"/>
    <xf numFmtId="0" fontId="49" fillId="0" borderId="9" xfId="0" applyFont="1" applyBorder="1"/>
    <xf numFmtId="0" fontId="51" fillId="4" borderId="1" xfId="0" applyFont="1" applyFill="1" applyBorder="1" applyAlignment="1">
      <alignment horizontal="left" vertical="center"/>
    </xf>
    <xf numFmtId="0" fontId="49" fillId="4" borderId="2" xfId="0" applyFont="1" applyFill="1" applyBorder="1" applyAlignment="1">
      <alignment horizontal="left" vertical="center"/>
    </xf>
    <xf numFmtId="0" fontId="52" fillId="4" borderId="2" xfId="0" applyFont="1" applyFill="1" applyBorder="1" applyAlignment="1">
      <alignment horizontal="left" vertical="center"/>
    </xf>
    <xf numFmtId="167" fontId="52" fillId="4" borderId="2" xfId="0" applyNumberFormat="1" applyFont="1" applyFill="1" applyBorder="1" applyAlignment="1">
      <alignment horizontal="left" vertical="center"/>
    </xf>
    <xf numFmtId="0" fontId="52" fillId="4" borderId="3" xfId="0" applyFont="1" applyFill="1" applyBorder="1" applyAlignment="1">
      <alignment horizontal="left" vertical="center"/>
    </xf>
    <xf numFmtId="0" fontId="52" fillId="0" borderId="0" xfId="0" applyFont="1" applyFill="1" applyBorder="1" applyAlignment="1">
      <alignment horizontal="center"/>
    </xf>
    <xf numFmtId="169" fontId="52" fillId="0" borderId="0" xfId="0" applyNumberFormat="1" applyFont="1" applyFill="1" applyBorder="1" applyAlignment="1">
      <alignment horizontal="center"/>
    </xf>
    <xf numFmtId="0" fontId="52" fillId="0" borderId="0" xfId="0" applyFont="1" applyFill="1" applyBorder="1"/>
    <xf numFmtId="0" fontId="53" fillId="0" borderId="11" xfId="0" applyFont="1" applyFill="1" applyBorder="1"/>
    <xf numFmtId="0" fontId="53" fillId="0" borderId="20" xfId="0" applyFont="1" applyFill="1" applyBorder="1"/>
    <xf numFmtId="6" fontId="54" fillId="0" borderId="9" xfId="0" applyNumberFormat="1" applyFont="1" applyFill="1" applyBorder="1" applyAlignment="1">
      <alignment horizontal="center" wrapText="1"/>
    </xf>
    <xf numFmtId="6" fontId="54" fillId="0" borderId="16" xfId="0" applyNumberFormat="1" applyFont="1" applyFill="1" applyBorder="1" applyAlignment="1">
      <alignment horizontal="center" wrapText="1"/>
    </xf>
    <xf numFmtId="6" fontId="54" fillId="0" borderId="0" xfId="0" applyNumberFormat="1" applyFont="1" applyFill="1" applyBorder="1" applyAlignment="1">
      <alignment horizontal="center" wrapText="1"/>
    </xf>
    <xf numFmtId="0" fontId="50" fillId="8" borderId="12" xfId="0" applyFont="1" applyFill="1" applyBorder="1" applyAlignment="1">
      <alignment vertical="center"/>
    </xf>
    <xf numFmtId="0" fontId="50" fillId="8" borderId="13" xfId="0" applyFont="1" applyFill="1" applyBorder="1" applyAlignment="1">
      <alignment vertical="center"/>
    </xf>
    <xf numFmtId="0" fontId="50" fillId="8" borderId="14" xfId="0" applyFont="1" applyFill="1" applyBorder="1" applyAlignment="1">
      <alignment vertical="center"/>
    </xf>
    <xf numFmtId="0" fontId="51" fillId="0" borderId="17" xfId="0" applyFont="1" applyBorder="1"/>
    <xf numFmtId="0" fontId="55" fillId="0" borderId="0" xfId="0" applyFont="1" applyBorder="1" applyAlignment="1">
      <alignment horizontal="center"/>
    </xf>
    <xf numFmtId="0" fontId="51" fillId="0" borderId="15" xfId="0" applyFont="1" applyBorder="1"/>
    <xf numFmtId="0" fontId="55" fillId="0" borderId="9" xfId="0" applyFont="1" applyBorder="1" applyAlignment="1">
      <alignment horizontal="center"/>
    </xf>
    <xf numFmtId="0" fontId="55" fillId="0" borderId="0" xfId="0" applyFont="1" applyAlignment="1">
      <alignment horizontal="center" wrapText="1"/>
    </xf>
    <xf numFmtId="0" fontId="49" fillId="0" borderId="0" xfId="0" applyFont="1" applyBorder="1" applyAlignment="1">
      <alignment wrapText="1"/>
    </xf>
    <xf numFmtId="0" fontId="44" fillId="5" borderId="12" xfId="0" applyFont="1" applyFill="1" applyBorder="1"/>
    <xf numFmtId="0" fontId="49" fillId="0" borderId="0" xfId="0" applyFont="1" applyFill="1" applyBorder="1" applyAlignment="1">
      <alignment horizontal="center"/>
    </xf>
    <xf numFmtId="0" fontId="49" fillId="0" borderId="0" xfId="0" applyFont="1" applyBorder="1" applyAlignment="1">
      <alignment horizontal="center"/>
    </xf>
    <xf numFmtId="167" fontId="49" fillId="0" borderId="0" xfId="0" applyNumberFormat="1" applyFont="1" applyFill="1" applyBorder="1" applyAlignment="1">
      <alignment horizontal="center"/>
    </xf>
    <xf numFmtId="164" fontId="49" fillId="0" borderId="21" xfId="2" applyNumberFormat="1" applyFont="1" applyBorder="1" applyAlignment="1">
      <alignment horizontal="center"/>
    </xf>
    <xf numFmtId="164" fontId="49" fillId="0" borderId="0" xfId="2" applyNumberFormat="1" applyFont="1" applyFill="1" applyBorder="1" applyAlignment="1">
      <alignment horizontal="center"/>
    </xf>
    <xf numFmtId="164" fontId="49" fillId="0" borderId="0" xfId="2" applyNumberFormat="1" applyFont="1" applyBorder="1" applyAlignment="1">
      <alignment horizontal="center"/>
    </xf>
    <xf numFmtId="0" fontId="49" fillId="0" borderId="21" xfId="0" applyFont="1" applyBorder="1" applyAlignment="1">
      <alignment horizontal="center"/>
    </xf>
    <xf numFmtId="169" fontId="49" fillId="0" borderId="21" xfId="0" applyNumberFormat="1" applyFont="1" applyBorder="1" applyAlignment="1">
      <alignment horizontal="center"/>
    </xf>
    <xf numFmtId="169" fontId="49" fillId="0" borderId="0" xfId="0" applyNumberFormat="1" applyFont="1" applyFill="1" applyBorder="1" applyAlignment="1">
      <alignment horizontal="center"/>
    </xf>
    <xf numFmtId="169" fontId="49" fillId="0" borderId="0" xfId="0" applyNumberFormat="1" applyFont="1" applyBorder="1" applyAlignment="1">
      <alignment horizontal="center"/>
    </xf>
    <xf numFmtId="0" fontId="55" fillId="0" borderId="0" xfId="0" applyFont="1" applyBorder="1" applyAlignment="1">
      <alignment horizontal="center" wrapText="1"/>
    </xf>
    <xf numFmtId="171" fontId="49" fillId="0" borderId="0" xfId="0" applyNumberFormat="1" applyFont="1" applyFill="1" applyBorder="1" applyAlignment="1">
      <alignment horizontal="center"/>
    </xf>
    <xf numFmtId="9" fontId="49" fillId="0" borderId="21" xfId="0" applyNumberFormat="1" applyFont="1" applyBorder="1" applyAlignment="1">
      <alignment horizontal="center"/>
    </xf>
    <xf numFmtId="9" fontId="49" fillId="0" borderId="0" xfId="0" applyNumberFormat="1" applyFont="1" applyFill="1" applyBorder="1" applyAlignment="1">
      <alignment horizontal="center"/>
    </xf>
    <xf numFmtId="9" fontId="49" fillId="0" borderId="0" xfId="0" applyNumberFormat="1" applyFont="1" applyBorder="1" applyAlignment="1">
      <alignment horizontal="center"/>
    </xf>
    <xf numFmtId="0" fontId="49" fillId="0" borderId="5" xfId="0" applyFont="1" applyBorder="1" applyAlignment="1">
      <alignment horizontal="center"/>
    </xf>
    <xf numFmtId="0" fontId="49" fillId="0" borderId="0" xfId="0" applyFont="1" applyBorder="1"/>
    <xf numFmtId="0" fontId="30" fillId="5" borderId="23" xfId="0" applyFont="1" applyFill="1" applyBorder="1" applyAlignment="1">
      <alignment vertical="center"/>
    </xf>
    <xf numFmtId="0" fontId="30" fillId="5" borderId="10" xfId="0" applyFont="1" applyFill="1" applyBorder="1" applyAlignment="1">
      <alignment vertical="center"/>
    </xf>
    <xf numFmtId="0" fontId="45" fillId="5" borderId="24" xfId="0" applyFont="1" applyFill="1" applyBorder="1" applyAlignment="1">
      <alignment vertical="center"/>
    </xf>
    <xf numFmtId="0" fontId="29" fillId="8" borderId="8" xfId="0" applyFont="1" applyFill="1" applyBorder="1" applyAlignment="1">
      <alignment vertical="center"/>
    </xf>
    <xf numFmtId="0" fontId="45" fillId="8" borderId="25" xfId="0" applyFont="1" applyFill="1" applyBorder="1" applyAlignment="1">
      <alignment vertical="center"/>
    </xf>
    <xf numFmtId="0" fontId="29" fillId="8" borderId="0" xfId="0" applyFont="1" applyFill="1" applyBorder="1" applyAlignment="1">
      <alignment vertical="center"/>
    </xf>
    <xf numFmtId="0" fontId="29" fillId="8" borderId="25" xfId="0" applyFont="1" applyFill="1" applyBorder="1" applyAlignment="1">
      <alignment vertical="center"/>
    </xf>
    <xf numFmtId="0" fontId="29" fillId="8" borderId="8" xfId="0" applyFont="1" applyFill="1" applyBorder="1" applyAlignment="1">
      <alignment horizontal="left" vertical="top" wrapText="1"/>
    </xf>
    <xf numFmtId="0" fontId="45" fillId="8" borderId="0" xfId="0" applyFont="1" applyFill="1" applyBorder="1" applyAlignment="1">
      <alignment vertical="center" wrapText="1"/>
    </xf>
    <xf numFmtId="0" fontId="45" fillId="8" borderId="25" xfId="0" applyFont="1" applyFill="1" applyBorder="1" applyAlignment="1">
      <alignment vertical="center" wrapText="1"/>
    </xf>
    <xf numFmtId="0" fontId="45" fillId="8" borderId="8" xfId="0" applyFont="1" applyFill="1" applyBorder="1" applyAlignment="1"/>
    <xf numFmtId="0" fontId="45" fillId="8" borderId="0" xfId="0" applyFont="1" applyFill="1" applyBorder="1" applyAlignment="1"/>
    <xf numFmtId="0" fontId="45" fillId="8" borderId="25" xfId="0" applyFont="1" applyFill="1" applyBorder="1" applyAlignment="1"/>
    <xf numFmtId="0" fontId="29" fillId="8" borderId="8" xfId="0" applyFont="1" applyFill="1" applyBorder="1" applyAlignment="1">
      <alignment vertical="top" wrapText="1"/>
    </xf>
    <xf numFmtId="0" fontId="45" fillId="8" borderId="0" xfId="0" applyFont="1" applyFill="1" applyBorder="1" applyAlignment="1">
      <alignment wrapText="1"/>
    </xf>
    <xf numFmtId="0" fontId="45" fillId="8" borderId="25" xfId="0" applyFont="1" applyFill="1" applyBorder="1" applyAlignment="1">
      <alignment wrapText="1"/>
    </xf>
    <xf numFmtId="0" fontId="46" fillId="8" borderId="0" xfId="0" applyFont="1" applyFill="1" applyBorder="1" applyAlignment="1">
      <alignment vertical="center"/>
    </xf>
    <xf numFmtId="0" fontId="29" fillId="8" borderId="25" xfId="0" applyFont="1" applyFill="1" applyBorder="1" applyAlignment="1">
      <alignment wrapText="1"/>
    </xf>
    <xf numFmtId="0" fontId="45" fillId="8" borderId="26" xfId="0" applyFont="1" applyFill="1" applyBorder="1" applyAlignment="1"/>
    <xf numFmtId="0" fontId="45" fillId="8" borderId="22" xfId="0" applyFont="1" applyFill="1" applyBorder="1" applyAlignment="1"/>
    <xf numFmtId="0" fontId="45" fillId="8" borderId="27" xfId="0" applyFont="1" applyFill="1" applyBorder="1" applyAlignment="1"/>
    <xf numFmtId="2" fontId="49" fillId="0" borderId="0" xfId="0" applyNumberFormat="1" applyFont="1" applyBorder="1"/>
    <xf numFmtId="9" fontId="57" fillId="0" borderId="0" xfId="0" applyNumberFormat="1" applyFont="1" applyBorder="1" applyAlignment="1">
      <alignment horizontal="center"/>
    </xf>
    <xf numFmtId="0" fontId="57" fillId="0" borderId="0" xfId="0" applyFont="1" applyBorder="1" applyAlignment="1">
      <alignment horizontal="center"/>
    </xf>
    <xf numFmtId="0" fontId="50" fillId="0" borderId="0" xfId="0" applyFont="1" applyFill="1" applyBorder="1" applyAlignment="1">
      <alignment vertical="center"/>
    </xf>
    <xf numFmtId="0" fontId="49" fillId="0" borderId="0" xfId="0" applyFont="1" applyFill="1"/>
    <xf numFmtId="9" fontId="50" fillId="0" borderId="0" xfId="0" applyNumberFormat="1" applyFont="1" applyFill="1" applyBorder="1" applyAlignment="1">
      <alignment vertical="center"/>
    </xf>
    <xf numFmtId="0" fontId="49" fillId="0" borderId="0" xfId="0" applyFont="1" applyBorder="1" applyAlignment="1"/>
    <xf numFmtId="0" fontId="6" fillId="0" borderId="0" xfId="0" applyFont="1" applyFill="1" applyBorder="1" applyAlignment="1">
      <alignment horizontal="right"/>
    </xf>
    <xf numFmtId="0" fontId="36" fillId="0" borderId="0" xfId="0" applyNumberFormat="1" applyFont="1" applyAlignment="1">
      <alignment horizontal="center"/>
    </xf>
    <xf numFmtId="0" fontId="6" fillId="0" borderId="0" xfId="0" applyNumberFormat="1" applyFont="1" applyFill="1" applyBorder="1" applyAlignment="1">
      <alignment horizontal="left" vertical="center"/>
    </xf>
    <xf numFmtId="9" fontId="28" fillId="0" borderId="0" xfId="0" applyNumberFormat="1" applyFont="1" applyAlignment="1">
      <alignment horizontal="center"/>
    </xf>
    <xf numFmtId="0" fontId="49" fillId="0" borderId="17" xfId="0" applyFont="1" applyFill="1" applyBorder="1"/>
    <xf numFmtId="0" fontId="4" fillId="0" borderId="4" xfId="0" applyNumberFormat="1" applyFont="1" applyBorder="1" applyAlignment="1">
      <alignment horizontal="center"/>
    </xf>
    <xf numFmtId="0" fontId="3" fillId="8" borderId="0" xfId="0" applyNumberFormat="1" applyFont="1" applyFill="1" applyAlignment="1"/>
    <xf numFmtId="0" fontId="6" fillId="8" borderId="0" xfId="0" applyNumberFormat="1" applyFont="1" applyFill="1" applyAlignment="1"/>
    <xf numFmtId="0" fontId="6" fillId="8" borderId="0" xfId="0" applyNumberFormat="1" applyFont="1" applyFill="1" applyAlignment="1">
      <alignment horizontal="center"/>
    </xf>
    <xf numFmtId="0" fontId="37" fillId="8" borderId="0" xfId="0" applyNumberFormat="1" applyFont="1" applyFill="1" applyAlignment="1"/>
    <xf numFmtId="0" fontId="22" fillId="8" borderId="0" xfId="0" applyNumberFormat="1" applyFont="1" applyFill="1" applyAlignment="1">
      <alignment horizontal="center"/>
    </xf>
    <xf numFmtId="169" fontId="6" fillId="8" borderId="0" xfId="0" applyNumberFormat="1" applyFont="1" applyFill="1" applyAlignment="1">
      <alignment horizontal="center"/>
    </xf>
    <xf numFmtId="0" fontId="7" fillId="8" borderId="0" xfId="0" applyNumberFormat="1" applyFont="1" applyFill="1" applyAlignment="1"/>
    <xf numFmtId="10" fontId="12" fillId="8" borderId="0" xfId="2" applyNumberFormat="1" applyFont="1" applyFill="1"/>
    <xf numFmtId="10" fontId="6" fillId="8" borderId="0" xfId="2" applyNumberFormat="1" applyFont="1" applyFill="1"/>
    <xf numFmtId="169" fontId="36" fillId="8" borderId="0" xfId="0" applyNumberFormat="1" applyFont="1" applyFill="1" applyAlignment="1">
      <alignment horizontal="center"/>
    </xf>
    <xf numFmtId="169" fontId="6" fillId="8" borderId="0" xfId="0" applyNumberFormat="1" applyFont="1" applyFill="1" applyAlignment="1"/>
    <xf numFmtId="169" fontId="6" fillId="8" borderId="0" xfId="0" applyNumberFormat="1" applyFont="1" applyFill="1" applyBorder="1" applyAlignment="1"/>
    <xf numFmtId="169" fontId="6" fillId="8" borderId="0" xfId="2" applyNumberFormat="1" applyFont="1" applyFill="1"/>
    <xf numFmtId="169" fontId="6" fillId="8" borderId="0" xfId="2" applyNumberFormat="1" applyFont="1" applyFill="1" applyBorder="1"/>
    <xf numFmtId="0" fontId="6" fillId="8" borderId="9" xfId="0" applyNumberFormat="1" applyFont="1" applyFill="1" applyBorder="1" applyAlignment="1"/>
    <xf numFmtId="169" fontId="6" fillId="8" borderId="9" xfId="0" applyNumberFormat="1" applyFont="1" applyFill="1" applyBorder="1" applyAlignment="1"/>
    <xf numFmtId="0" fontId="6" fillId="8" borderId="0" xfId="0" applyNumberFormat="1" applyFont="1" applyFill="1" applyBorder="1" applyAlignment="1"/>
    <xf numFmtId="169" fontId="4" fillId="8" borderId="0" xfId="0" applyNumberFormat="1" applyFont="1" applyFill="1" applyBorder="1" applyAlignment="1">
      <alignment horizontal="center" vertical="center"/>
    </xf>
    <xf numFmtId="1" fontId="6" fillId="8" borderId="0" xfId="2" applyNumberFormat="1" applyFont="1" applyFill="1" applyBorder="1"/>
    <xf numFmtId="169" fontId="6" fillId="8" borderId="0" xfId="0" applyNumberFormat="1" applyFont="1" applyFill="1" applyBorder="1" applyAlignment="1">
      <alignment horizontal="right"/>
    </xf>
    <xf numFmtId="0" fontId="6" fillId="8" borderId="0" xfId="0" applyNumberFormat="1" applyFont="1" applyFill="1" applyAlignment="1">
      <alignment horizontal="left" indent="1"/>
    </xf>
    <xf numFmtId="6" fontId="6" fillId="8" borderId="0" xfId="0" applyNumberFormat="1" applyFont="1" applyFill="1" applyBorder="1" applyAlignment="1">
      <alignment horizontal="right"/>
    </xf>
    <xf numFmtId="0" fontId="4" fillId="8" borderId="22" xfId="0" applyNumberFormat="1" applyFont="1" applyFill="1" applyBorder="1" applyAlignment="1">
      <alignment horizontal="right"/>
    </xf>
    <xf numFmtId="0" fontId="6" fillId="8" borderId="22" xfId="0" applyNumberFormat="1" applyFont="1" applyFill="1" applyBorder="1" applyAlignment="1"/>
    <xf numFmtId="0" fontId="3" fillId="8" borderId="22" xfId="0" applyNumberFormat="1" applyFont="1" applyFill="1" applyBorder="1" applyAlignment="1">
      <alignment horizontal="center"/>
    </xf>
    <xf numFmtId="10" fontId="6" fillId="8" borderId="22" xfId="2" applyNumberFormat="1" applyFont="1" applyFill="1" applyBorder="1" applyAlignment="1">
      <alignment horizontal="right"/>
    </xf>
    <xf numFmtId="0" fontId="3" fillId="8" borderId="0" xfId="0" applyNumberFormat="1" applyFont="1" applyFill="1" applyBorder="1" applyAlignment="1">
      <alignment horizontal="center"/>
    </xf>
    <xf numFmtId="10" fontId="6" fillId="8" borderId="0" xfId="2" applyNumberFormat="1" applyFont="1" applyFill="1" applyBorder="1" applyAlignment="1">
      <alignment horizontal="right"/>
    </xf>
    <xf numFmtId="175" fontId="3" fillId="8" borderId="0" xfId="0" applyNumberFormat="1" applyFont="1" applyFill="1" applyAlignment="1">
      <alignment horizontal="left"/>
    </xf>
    <xf numFmtId="175" fontId="6" fillId="8" borderId="0" xfId="0" applyNumberFormat="1" applyFont="1" applyFill="1" applyAlignment="1">
      <alignment horizontal="left"/>
    </xf>
    <xf numFmtId="41" fontId="6" fillId="8" borderId="0" xfId="0" applyNumberFormat="1" applyFont="1" applyFill="1" applyBorder="1" applyAlignment="1">
      <alignment horizontal="right" wrapText="1"/>
    </xf>
    <xf numFmtId="174" fontId="32" fillId="8" borderId="0" xfId="1" applyNumberFormat="1" applyFont="1" applyFill="1" applyBorder="1" applyAlignment="1">
      <alignment horizontal="right"/>
    </xf>
    <xf numFmtId="9" fontId="6" fillId="8" borderId="0" xfId="0" applyNumberFormat="1" applyFont="1" applyFill="1" applyBorder="1" applyAlignment="1">
      <alignment horizontal="right" wrapText="1"/>
    </xf>
    <xf numFmtId="41" fontId="6" fillId="8" borderId="4" xfId="0" applyNumberFormat="1" applyFont="1" applyFill="1" applyBorder="1" applyAlignment="1">
      <alignment horizontal="right" wrapText="1"/>
    </xf>
    <xf numFmtId="175" fontId="6" fillId="8" borderId="0" xfId="0" applyNumberFormat="1" applyFont="1" applyFill="1" applyAlignment="1">
      <alignment horizontal="left" indent="2"/>
    </xf>
    <xf numFmtId="175" fontId="6" fillId="8" borderId="0" xfId="0" applyNumberFormat="1" applyFont="1" applyFill="1" applyAlignment="1">
      <alignment horizontal="right"/>
    </xf>
    <xf numFmtId="175" fontId="6" fillId="8" borderId="0" xfId="0" applyNumberFormat="1" applyFont="1" applyFill="1" applyAlignment="1">
      <alignment horizontal="left" indent="1"/>
    </xf>
    <xf numFmtId="41" fontId="12" fillId="8" borderId="0" xfId="0" applyNumberFormat="1" applyFont="1" applyFill="1" applyBorder="1" applyAlignment="1">
      <alignment horizontal="right" wrapText="1"/>
    </xf>
    <xf numFmtId="6" fontId="6" fillId="8" borderId="0" xfId="0" applyNumberFormat="1" applyFont="1" applyFill="1" applyAlignment="1">
      <alignment horizontal="right" wrapText="1"/>
    </xf>
    <xf numFmtId="175" fontId="6" fillId="8" borderId="0" xfId="0" applyNumberFormat="1" applyFont="1" applyFill="1" applyBorder="1" applyAlignment="1">
      <alignment horizontal="left" indent="1"/>
    </xf>
    <xf numFmtId="41" fontId="6" fillId="8" borderId="0" xfId="0" applyNumberFormat="1" applyFont="1" applyFill="1" applyAlignment="1">
      <alignment horizontal="right" wrapText="1"/>
    </xf>
    <xf numFmtId="175" fontId="6" fillId="8" borderId="0" xfId="0" applyNumberFormat="1" applyFont="1" applyFill="1" applyAlignment="1">
      <alignment horizontal="right" wrapText="1"/>
    </xf>
    <xf numFmtId="41" fontId="12" fillId="8" borderId="0" xfId="0" applyNumberFormat="1" applyFont="1" applyFill="1" applyAlignment="1">
      <alignment horizontal="right" wrapText="1"/>
    </xf>
    <xf numFmtId="41" fontId="12" fillId="8" borderId="9" xfId="0" applyNumberFormat="1" applyFont="1" applyFill="1" applyBorder="1" applyAlignment="1">
      <alignment horizontal="right" wrapText="1"/>
    </xf>
    <xf numFmtId="6" fontId="6" fillId="8" borderId="9" xfId="0" applyNumberFormat="1" applyFont="1" applyFill="1" applyBorder="1" applyAlignment="1">
      <alignment horizontal="right" wrapText="1"/>
    </xf>
    <xf numFmtId="0" fontId="0" fillId="8" borderId="0" xfId="0" applyNumberFormat="1" applyFill="1" applyAlignment="1"/>
    <xf numFmtId="175" fontId="6" fillId="8" borderId="22" xfId="0" applyNumberFormat="1" applyFont="1" applyFill="1" applyBorder="1" applyAlignment="1">
      <alignment horizontal="left" indent="1"/>
    </xf>
    <xf numFmtId="0" fontId="0" fillId="8" borderId="22" xfId="0" applyNumberFormat="1" applyFill="1" applyBorder="1" applyAlignment="1"/>
    <xf numFmtId="6" fontId="6" fillId="8" borderId="22" xfId="0" applyNumberFormat="1" applyFont="1" applyFill="1" applyBorder="1" applyAlignment="1">
      <alignment horizontal="right" wrapText="1"/>
    </xf>
    <xf numFmtId="169" fontId="58" fillId="8" borderId="0" xfId="0" applyNumberFormat="1" applyFont="1" applyFill="1" applyBorder="1" applyAlignment="1"/>
    <xf numFmtId="9" fontId="59" fillId="0" borderId="0" xfId="0" applyNumberFormat="1" applyFont="1" applyFill="1" applyBorder="1" applyAlignment="1">
      <alignment horizontal="center"/>
    </xf>
    <xf numFmtId="0" fontId="49" fillId="0" borderId="0" xfId="0" applyFont="1" applyBorder="1" applyAlignment="1">
      <alignment horizontal="center"/>
    </xf>
    <xf numFmtId="0" fontId="45" fillId="8" borderId="0" xfId="0" applyFont="1" applyFill="1" applyBorder="1" applyAlignment="1">
      <alignment vertical="top" wrapText="1"/>
    </xf>
    <xf numFmtId="0" fontId="30" fillId="5" borderId="8" xfId="0" applyFont="1" applyFill="1" applyBorder="1" applyAlignment="1">
      <alignment vertical="center"/>
    </xf>
    <xf numFmtId="0" fontId="30" fillId="5" borderId="0" xfId="0" applyFont="1" applyFill="1" applyBorder="1" applyAlignment="1">
      <alignment vertical="center"/>
    </xf>
    <xf numFmtId="0" fontId="45" fillId="5" borderId="25" xfId="0" applyFont="1" applyFill="1" applyBorder="1" applyAlignment="1">
      <alignment vertical="center"/>
    </xf>
    <xf numFmtId="0" fontId="45" fillId="8" borderId="0" xfId="0" applyFont="1" applyFill="1" applyBorder="1" applyAlignment="1">
      <alignment horizontal="left" vertical="center"/>
    </xf>
    <xf numFmtId="0" fontId="45" fillId="8" borderId="0" xfId="0" applyFont="1" applyFill="1" applyBorder="1" applyAlignment="1">
      <alignment horizontal="left" vertical="center" wrapText="1"/>
    </xf>
    <xf numFmtId="165" fontId="0" fillId="0" borderId="0" xfId="1" applyNumberFormat="1" applyFont="1"/>
    <xf numFmtId="9" fontId="24" fillId="6" borderId="5" xfId="0" applyNumberFormat="1" applyFont="1" applyFill="1" applyBorder="1" applyAlignment="1">
      <alignment horizontal="center"/>
    </xf>
    <xf numFmtId="0" fontId="42" fillId="2" borderId="6" xfId="0" applyNumberFormat="1" applyFont="1" applyFill="1" applyBorder="1" applyAlignment="1">
      <alignment vertical="center"/>
    </xf>
    <xf numFmtId="169" fontId="24" fillId="0" borderId="6" xfId="1" applyNumberFormat="1" applyFont="1" applyBorder="1" applyAlignment="1">
      <alignment horizontal="center" vertical="center"/>
    </xf>
    <xf numFmtId="2" fontId="6" fillId="0" borderId="0" xfId="0" applyNumberFormat="1" applyFont="1" applyFill="1" applyAlignment="1">
      <alignment horizontal="right"/>
    </xf>
    <xf numFmtId="6" fontId="6" fillId="8" borderId="0" xfId="0" applyNumberFormat="1" applyFont="1" applyFill="1" applyAlignment="1">
      <alignment horizontal="right" vertical="center" wrapText="1"/>
    </xf>
    <xf numFmtId="0" fontId="56" fillId="0" borderId="0" xfId="0" applyFont="1" applyBorder="1" applyAlignment="1">
      <alignment horizontal="center" vertical="center" wrapText="1"/>
    </xf>
    <xf numFmtId="0" fontId="55" fillId="7" borderId="4" xfId="0" applyFont="1" applyFill="1" applyBorder="1" applyAlignment="1">
      <alignment horizontal="center"/>
    </xf>
    <xf numFmtId="164" fontId="51" fillId="0" borderId="17" xfId="2" applyNumberFormat="1" applyFont="1" applyFill="1" applyBorder="1" applyAlignment="1">
      <alignment horizontal="center"/>
    </xf>
    <xf numFmtId="10" fontId="49" fillId="0" borderId="21" xfId="0" applyNumberFormat="1" applyFont="1" applyBorder="1" applyAlignment="1">
      <alignment horizontal="center"/>
    </xf>
    <xf numFmtId="0" fontId="6" fillId="9" borderId="30" xfId="0" applyNumberFormat="1" applyFont="1" applyFill="1" applyBorder="1" applyAlignment="1">
      <alignment horizontal="center" vertical="center"/>
    </xf>
    <xf numFmtId="0" fontId="6" fillId="9" borderId="7" xfId="0" applyNumberFormat="1" applyFont="1" applyFill="1" applyBorder="1" applyAlignment="1">
      <alignment horizontal="center" vertical="center" wrapText="1"/>
    </xf>
    <xf numFmtId="0" fontId="61" fillId="0" borderId="0" xfId="0" applyFont="1" applyFill="1" applyBorder="1" applyAlignment="1">
      <alignment vertical="center"/>
    </xf>
    <xf numFmtId="0" fontId="0" fillId="0" borderId="22" xfId="0" applyBorder="1"/>
    <xf numFmtId="0" fontId="6" fillId="0" borderId="25" xfId="0" applyFont="1" applyFill="1" applyBorder="1"/>
    <xf numFmtId="0" fontId="62" fillId="0" borderId="0" xfId="0" applyFont="1" applyFill="1" applyBorder="1" applyAlignment="1">
      <alignment vertical="center"/>
    </xf>
    <xf numFmtId="176" fontId="4" fillId="0" borderId="4" xfId="0" applyNumberFormat="1" applyFont="1" applyFill="1" applyBorder="1" applyAlignment="1">
      <alignment horizontal="center"/>
    </xf>
    <xf numFmtId="2" fontId="44" fillId="0" borderId="22" xfId="0" applyNumberFormat="1" applyFont="1" applyFill="1" applyBorder="1" applyAlignment="1">
      <alignment horizontal="center"/>
    </xf>
    <xf numFmtId="6" fontId="63" fillId="0" borderId="0" xfId="0" applyNumberFormat="1" applyFont="1" applyAlignment="1"/>
    <xf numFmtId="6" fontId="63" fillId="0" borderId="9" xfId="0" applyNumberFormat="1" applyFont="1" applyBorder="1" applyAlignment="1"/>
    <xf numFmtId="0" fontId="51" fillId="0" borderId="0" xfId="0" applyFont="1" applyBorder="1"/>
    <xf numFmtId="164" fontId="51" fillId="0" borderId="0" xfId="2" applyNumberFormat="1" applyFont="1" applyFill="1" applyBorder="1" applyAlignment="1">
      <alignment horizontal="center"/>
    </xf>
    <xf numFmtId="0" fontId="49" fillId="0" borderId="4" xfId="0" applyFont="1" applyBorder="1"/>
    <xf numFmtId="0" fontId="55" fillId="0" borderId="9" xfId="0" applyFont="1" applyFill="1" applyBorder="1" applyAlignment="1">
      <alignment horizontal="center"/>
    </xf>
    <xf numFmtId="0" fontId="51" fillId="0" borderId="9" xfId="0" applyFont="1" applyFill="1" applyBorder="1" applyAlignment="1">
      <alignment horizontal="center"/>
    </xf>
    <xf numFmtId="0" fontId="55" fillId="5" borderId="14" xfId="0" applyFont="1" applyFill="1" applyBorder="1" applyAlignment="1">
      <alignment horizontal="center"/>
    </xf>
    <xf numFmtId="0" fontId="6" fillId="0" borderId="0" xfId="0" applyNumberFormat="1" applyFont="1" applyAlignment="1">
      <alignment wrapText="1"/>
    </xf>
    <xf numFmtId="9" fontId="6" fillId="0" borderId="9" xfId="0" applyNumberFormat="1" applyFont="1" applyBorder="1" applyAlignment="1"/>
    <xf numFmtId="9" fontId="64" fillId="0" borderId="0" xfId="0" applyNumberFormat="1" applyFont="1" applyAlignment="1"/>
    <xf numFmtId="6" fontId="6" fillId="8" borderId="0" xfId="0" applyNumberFormat="1" applyFont="1" applyFill="1" applyBorder="1" applyAlignment="1"/>
    <xf numFmtId="0" fontId="22" fillId="8" borderId="0" xfId="0" applyNumberFormat="1" applyFont="1" applyFill="1" applyAlignment="1"/>
    <xf numFmtId="0" fontId="8" fillId="0" borderId="23" xfId="0" applyFont="1" applyFill="1" applyBorder="1" applyAlignment="1">
      <alignment horizontal="center"/>
    </xf>
    <xf numFmtId="0" fontId="8" fillId="0" borderId="10" xfId="0" applyFont="1" applyFill="1" applyBorder="1" applyAlignment="1">
      <alignment horizontal="center"/>
    </xf>
    <xf numFmtId="0" fontId="6" fillId="0" borderId="10" xfId="0" applyFont="1" applyFill="1" applyBorder="1"/>
    <xf numFmtId="6" fontId="3" fillId="0" borderId="22" xfId="0" applyNumberFormat="1" applyFont="1" applyBorder="1" applyAlignment="1"/>
    <xf numFmtId="1" fontId="24" fillId="0" borderId="0" xfId="0" applyNumberFormat="1" applyFont="1" applyFill="1" applyBorder="1" applyAlignment="1">
      <alignment horizontal="right"/>
    </xf>
    <xf numFmtId="164" fontId="24" fillId="0" borderId="0" xfId="2" applyNumberFormat="1" applyFont="1" applyFill="1" applyBorder="1" applyAlignment="1">
      <alignment horizontal="right"/>
    </xf>
    <xf numFmtId="0" fontId="24" fillId="0" borderId="0" xfId="0" applyFont="1" applyFill="1" applyBorder="1" applyAlignment="1">
      <alignment horizontal="right"/>
    </xf>
    <xf numFmtId="171" fontId="24" fillId="0" borderId="0" xfId="1" applyNumberFormat="1" applyFont="1" applyFill="1" applyBorder="1" applyAlignment="1">
      <alignment horizontal="right"/>
    </xf>
    <xf numFmtId="6" fontId="24"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9" fontId="6" fillId="0" borderId="0" xfId="1" applyNumberFormat="1" applyFont="1" applyFill="1" applyBorder="1" applyAlignment="1">
      <alignment horizontal="right"/>
    </xf>
    <xf numFmtId="6" fontId="6"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2" fontId="24" fillId="0" borderId="0" xfId="2" applyNumberFormat="1" applyFont="1" applyFill="1" applyBorder="1" applyAlignment="1">
      <alignment horizontal="right"/>
    </xf>
    <xf numFmtId="2" fontId="6" fillId="0" borderId="0" xfId="2" applyNumberFormat="1" applyFont="1" applyFill="1" applyBorder="1" applyAlignment="1">
      <alignment horizontal="right"/>
    </xf>
    <xf numFmtId="2" fontId="24" fillId="0" borderId="0" xfId="0" applyNumberFormat="1" applyFont="1" applyFill="1" applyBorder="1" applyAlignment="1">
      <alignment horizontal="center"/>
    </xf>
    <xf numFmtId="9" fontId="24" fillId="0" borderId="0" xfId="2" applyFont="1" applyFill="1" applyBorder="1" applyAlignment="1">
      <alignment horizontal="center"/>
    </xf>
    <xf numFmtId="164" fontId="5" fillId="0" borderId="0" xfId="2" applyNumberFormat="1" applyFont="1" applyFill="1" applyBorder="1" applyAlignment="1">
      <alignment horizontal="center"/>
    </xf>
    <xf numFmtId="171" fontId="6" fillId="0" borderId="0" xfId="1" applyNumberFormat="1" applyFont="1" applyFill="1" applyBorder="1" applyAlignment="1">
      <alignment horizontal="right"/>
    </xf>
    <xf numFmtId="170" fontId="4" fillId="0" borderId="0" xfId="0" applyNumberFormat="1" applyFont="1" applyFill="1" applyBorder="1" applyAlignment="1">
      <alignment horizontal="center"/>
    </xf>
    <xf numFmtId="171" fontId="24" fillId="0" borderId="0" xfId="0" applyNumberFormat="1" applyFont="1" applyFill="1" applyBorder="1" applyAlignment="1">
      <alignment horizontal="right"/>
    </xf>
    <xf numFmtId="2" fontId="24" fillId="0" borderId="0" xfId="0" applyNumberFormat="1" applyFont="1" applyFill="1" applyBorder="1" applyAlignment="1">
      <alignment horizontal="right"/>
    </xf>
    <xf numFmtId="169" fontId="24" fillId="0" borderId="0" xfId="0" applyNumberFormat="1" applyFont="1" applyFill="1" applyBorder="1" applyAlignment="1">
      <alignment horizontal="right"/>
    </xf>
    <xf numFmtId="9" fontId="12" fillId="0" borderId="0" xfId="2" applyFont="1" applyFill="1" applyBorder="1" applyAlignment="1">
      <alignment horizontal="right"/>
    </xf>
    <xf numFmtId="9" fontId="24" fillId="0" borderId="0" xfId="2" applyNumberFormat="1" applyFont="1" applyFill="1" applyBorder="1" applyAlignment="1">
      <alignment horizontal="right"/>
    </xf>
    <xf numFmtId="10" fontId="24" fillId="0" borderId="0" xfId="2" applyNumberFormat="1" applyFont="1" applyFill="1" applyBorder="1" applyAlignment="1">
      <alignment horizontal="right"/>
    </xf>
    <xf numFmtId="9" fontId="6" fillId="0" borderId="0" xfId="2" applyNumberFormat="1" applyFont="1" applyFill="1" applyBorder="1" applyAlignment="1">
      <alignment horizontal="right"/>
    </xf>
    <xf numFmtId="9" fontId="5" fillId="0" borderId="0" xfId="2" applyFont="1" applyFill="1" applyBorder="1" applyAlignment="1">
      <alignment horizontal="right"/>
    </xf>
    <xf numFmtId="0" fontId="15" fillId="0" borderId="32" xfId="0" applyFont="1" applyFill="1" applyBorder="1" applyAlignment="1">
      <alignment horizontal="center"/>
    </xf>
    <xf numFmtId="10" fontId="4" fillId="0" borderId="0" xfId="2" applyNumberFormat="1" applyFont="1" applyFill="1" applyBorder="1" applyAlignment="1">
      <alignment horizontal="right"/>
    </xf>
    <xf numFmtId="0" fontId="6" fillId="0" borderId="26" xfId="0" applyFont="1" applyFill="1" applyBorder="1"/>
    <xf numFmtId="0" fontId="6" fillId="0" borderId="24" xfId="0" applyFont="1" applyFill="1" applyBorder="1"/>
    <xf numFmtId="0" fontId="3" fillId="0" borderId="8" xfId="0" applyFont="1" applyFill="1" applyBorder="1" applyAlignment="1">
      <alignment horizontal="center"/>
    </xf>
    <xf numFmtId="164" fontId="4" fillId="0" borderId="0" xfId="2" applyNumberFormat="1" applyFont="1" applyAlignment="1">
      <alignment horizontal="center"/>
    </xf>
    <xf numFmtId="174" fontId="3" fillId="0" borderId="0" xfId="5" applyNumberFormat="1" applyFont="1" applyFill="1" applyBorder="1" applyAlignment="1">
      <alignment horizontal="center"/>
    </xf>
    <xf numFmtId="2" fontId="0" fillId="0" borderId="0" xfId="0" applyNumberFormat="1"/>
    <xf numFmtId="9" fontId="4" fillId="0" borderId="0" xfId="2" applyFont="1" applyAlignment="1">
      <alignment horizontal="center"/>
    </xf>
    <xf numFmtId="9" fontId="4" fillId="0" borderId="0" xfId="0" applyNumberFormat="1" applyFont="1" applyAlignment="1">
      <alignment horizontal="center"/>
    </xf>
    <xf numFmtId="0" fontId="22" fillId="0" borderId="0" xfId="0" applyNumberFormat="1" applyFont="1" applyFill="1" applyBorder="1" applyAlignment="1"/>
    <xf numFmtId="2" fontId="36" fillId="0" borderId="0" xfId="0" applyNumberFormat="1" applyFont="1" applyBorder="1" applyAlignment="1"/>
    <xf numFmtId="0" fontId="6" fillId="0" borderId="27" xfId="0" applyFont="1" applyFill="1" applyBorder="1"/>
    <xf numFmtId="0" fontId="3" fillId="0" borderId="22" xfId="0" applyFont="1" applyFill="1" applyBorder="1" applyAlignment="1">
      <alignment horizontal="center"/>
    </xf>
    <xf numFmtId="0" fontId="6" fillId="0" borderId="9" xfId="0" applyNumberFormat="1" applyFont="1" applyBorder="1" applyAlignment="1">
      <alignment wrapText="1"/>
    </xf>
    <xf numFmtId="0" fontId="66" fillId="0" borderId="19" xfId="0" applyFont="1" applyBorder="1"/>
    <xf numFmtId="0" fontId="66" fillId="0" borderId="20" xfId="0" applyFont="1" applyBorder="1"/>
    <xf numFmtId="6" fontId="66" fillId="0" borderId="17" xfId="0" applyNumberFormat="1" applyFont="1" applyBorder="1" applyAlignment="1">
      <alignment horizontal="center" wrapText="1"/>
    </xf>
    <xf numFmtId="6" fontId="66" fillId="0" borderId="18" xfId="0" applyNumberFormat="1" applyFont="1" applyBorder="1" applyAlignment="1">
      <alignment horizontal="center" wrapText="1"/>
    </xf>
    <xf numFmtId="0" fontId="66" fillId="0" borderId="15" xfId="0" applyFont="1" applyBorder="1"/>
    <xf numFmtId="0" fontId="66" fillId="0" borderId="16" xfId="0" applyFont="1" applyBorder="1"/>
    <xf numFmtId="6" fontId="67" fillId="0" borderId="0" xfId="0" applyNumberFormat="1" applyFont="1" applyAlignment="1"/>
    <xf numFmtId="6" fontId="15" fillId="0" borderId="0" xfId="0" applyNumberFormat="1" applyFont="1" applyFill="1" applyAlignment="1"/>
    <xf numFmtId="0" fontId="60" fillId="5" borderId="1" xfId="0" applyFont="1" applyFill="1" applyBorder="1"/>
    <xf numFmtId="0" fontId="6" fillId="5" borderId="3" xfId="0" applyFont="1" applyFill="1" applyBorder="1"/>
    <xf numFmtId="170" fontId="4" fillId="3" borderId="0" xfId="0" applyNumberFormat="1" applyFont="1" applyFill="1" applyBorder="1" applyAlignment="1">
      <alignment horizontal="center"/>
    </xf>
    <xf numFmtId="0" fontId="6" fillId="3" borderId="0" xfId="0" applyFont="1" applyFill="1" applyBorder="1"/>
    <xf numFmtId="14" fontId="6" fillId="3" borderId="0" xfId="0" applyNumberFormat="1" applyFont="1" applyFill="1" applyBorder="1" applyAlignment="1">
      <alignment horizontal="center"/>
    </xf>
    <xf numFmtId="168" fontId="5"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169" fontId="5" fillId="0" borderId="0" xfId="1" applyNumberFormat="1" applyFont="1" applyFill="1" applyBorder="1" applyAlignment="1">
      <alignment horizontal="center"/>
    </xf>
    <xf numFmtId="169" fontId="6" fillId="0" borderId="0" xfId="1" applyNumberFormat="1" applyFont="1" applyFill="1" applyBorder="1" applyAlignment="1">
      <alignment horizontal="center"/>
    </xf>
    <xf numFmtId="171" fontId="5" fillId="0" borderId="0" xfId="1" applyNumberFormat="1" applyFont="1" applyFill="1" applyBorder="1" applyAlignment="1">
      <alignment horizontal="center"/>
    </xf>
    <xf numFmtId="164" fontId="5" fillId="3" borderId="0" xfId="2" applyNumberFormat="1" applyFont="1" applyFill="1" applyBorder="1" applyAlignment="1">
      <alignment horizontal="center"/>
    </xf>
    <xf numFmtId="0" fontId="3" fillId="3" borderId="0" xfId="0" applyFont="1" applyFill="1" applyBorder="1" applyAlignment="1">
      <alignment horizontal="center"/>
    </xf>
    <xf numFmtId="9" fontId="5" fillId="0" borderId="0" xfId="2" applyFont="1" applyFill="1" applyBorder="1" applyAlignment="1">
      <alignment horizontal="center"/>
    </xf>
    <xf numFmtId="0" fontId="8" fillId="5" borderId="10" xfId="0" applyFont="1" applyFill="1" applyBorder="1" applyAlignment="1">
      <alignment vertical="center"/>
    </xf>
    <xf numFmtId="0" fontId="62" fillId="5" borderId="10" xfId="0" applyFont="1" applyFill="1" applyBorder="1" applyAlignment="1">
      <alignment vertical="center"/>
    </xf>
    <xf numFmtId="0" fontId="62" fillId="5" borderId="24" xfId="0" applyFont="1" applyFill="1" applyBorder="1" applyAlignment="1">
      <alignment vertical="center"/>
    </xf>
    <xf numFmtId="1" fontId="0" fillId="0" borderId="0" xfId="0" applyNumberFormat="1" applyAlignment="1"/>
    <xf numFmtId="10" fontId="6" fillId="8" borderId="0" xfId="2" applyNumberFormat="1" applyFont="1" applyFill="1" applyAlignment="1">
      <alignment horizontal="right" wrapText="1"/>
    </xf>
    <xf numFmtId="6" fontId="22" fillId="8" borderId="0" xfId="0" applyNumberFormat="1" applyFont="1" applyFill="1" applyAlignment="1">
      <alignment horizontal="center" wrapText="1"/>
    </xf>
    <xf numFmtId="177" fontId="6" fillId="8" borderId="0" xfId="0" applyNumberFormat="1" applyFont="1" applyFill="1" applyAlignment="1">
      <alignment horizontal="center" wrapText="1"/>
    </xf>
    <xf numFmtId="1" fontId="24" fillId="8" borderId="0" xfId="0" applyNumberFormat="1" applyFont="1" applyFill="1" applyAlignment="1">
      <alignment horizontal="right" wrapText="1"/>
    </xf>
    <xf numFmtId="177" fontId="6"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75" fontId="3" fillId="8" borderId="0" xfId="0" applyNumberFormat="1" applyFont="1" applyFill="1" applyAlignment="1">
      <alignment horizontal="left" indent="1"/>
    </xf>
    <xf numFmtId="176" fontId="4" fillId="0" borderId="0" xfId="0" applyNumberFormat="1" applyFont="1" applyFill="1" applyAlignment="1">
      <alignment horizontal="center"/>
    </xf>
    <xf numFmtId="1" fontId="43" fillId="0" borderId="0" xfId="0" applyNumberFormat="1" applyFont="1" applyFill="1" applyBorder="1" applyAlignment="1">
      <alignment horizontal="center"/>
    </xf>
    <xf numFmtId="0" fontId="69" fillId="5" borderId="4" xfId="0" applyNumberFormat="1" applyFont="1" applyFill="1" applyBorder="1" applyAlignment="1">
      <alignment horizontal="center"/>
    </xf>
    <xf numFmtId="0" fontId="69" fillId="5" borderId="6" xfId="0" applyNumberFormat="1" applyFont="1" applyFill="1" applyBorder="1" applyAlignment="1">
      <alignment horizontal="center"/>
    </xf>
    <xf numFmtId="2" fontId="16" fillId="5" borderId="5" xfId="0" applyNumberFormat="1" applyFont="1" applyFill="1" applyBorder="1" applyAlignment="1">
      <alignment horizontal="center"/>
    </xf>
    <xf numFmtId="0" fontId="70" fillId="0" borderId="0" xfId="0" applyFont="1" applyFill="1" applyBorder="1"/>
    <xf numFmtId="0" fontId="21" fillId="5" borderId="2" xfId="0" applyNumberFormat="1" applyFont="1" applyFill="1" applyBorder="1" applyAlignment="1">
      <alignment horizontal="center"/>
    </xf>
    <xf numFmtId="0" fontId="22" fillId="0" borderId="0" xfId="0" applyFont="1" applyFill="1" applyBorder="1" applyAlignment="1">
      <alignment horizontal="center"/>
    </xf>
    <xf numFmtId="0" fontId="21" fillId="5" borderId="1" xfId="0" applyFont="1" applyFill="1" applyBorder="1"/>
    <xf numFmtId="0" fontId="6" fillId="4" borderId="0" xfId="0" applyFont="1" applyFill="1" applyBorder="1"/>
    <xf numFmtId="0" fontId="3" fillId="4" borderId="0" xfId="0" applyFont="1" applyFill="1" applyBorder="1" applyAlignment="1">
      <alignment horizontal="center"/>
    </xf>
    <xf numFmtId="0" fontId="6" fillId="4" borderId="23" xfId="0" applyFont="1" applyFill="1" applyBorder="1"/>
    <xf numFmtId="0" fontId="6" fillId="4" borderId="10" xfId="0" applyFont="1" applyFill="1" applyBorder="1"/>
    <xf numFmtId="0" fontId="3" fillId="4" borderId="10" xfId="0" applyFont="1" applyFill="1" applyBorder="1" applyAlignment="1">
      <alignment horizontal="center"/>
    </xf>
    <xf numFmtId="0" fontId="6" fillId="4" borderId="8" xfId="0" applyFont="1" applyFill="1" applyBorder="1"/>
    <xf numFmtId="0" fontId="71" fillId="4" borderId="0" xfId="0" applyFont="1" applyFill="1" applyBorder="1" applyAlignment="1"/>
    <xf numFmtId="0" fontId="6" fillId="4" borderId="25" xfId="0" applyFont="1" applyFill="1" applyBorder="1"/>
    <xf numFmtId="0" fontId="6" fillId="4" borderId="26" xfId="0" applyFont="1" applyFill="1" applyBorder="1"/>
    <xf numFmtId="0" fontId="6" fillId="4" borderId="22" xfId="0" applyFont="1" applyFill="1" applyBorder="1"/>
    <xf numFmtId="0" fontId="71" fillId="4" borderId="22" xfId="0" applyFont="1" applyFill="1" applyBorder="1" applyAlignment="1"/>
    <xf numFmtId="0" fontId="3" fillId="4" borderId="22" xfId="0" applyFont="1" applyFill="1" applyBorder="1" applyAlignment="1">
      <alignment horizontal="center"/>
    </xf>
    <xf numFmtId="0" fontId="6" fillId="4" borderId="27" xfId="0" applyFont="1" applyFill="1" applyBorder="1"/>
    <xf numFmtId="0" fontId="60" fillId="4" borderId="10" xfId="0" applyNumberFormat="1" applyFont="1" applyFill="1" applyBorder="1" applyAlignment="1"/>
    <xf numFmtId="0" fontId="51" fillId="0" borderId="12" xfId="0" applyFont="1" applyBorder="1" applyAlignment="1">
      <alignment vertical="center"/>
    </xf>
    <xf numFmtId="0" fontId="49" fillId="0" borderId="14" xfId="0" applyFont="1" applyBorder="1"/>
    <xf numFmtId="44" fontId="6" fillId="0" borderId="0" xfId="1" applyFont="1" applyFill="1" applyBorder="1"/>
    <xf numFmtId="0" fontId="16" fillId="5" borderId="4" xfId="0" applyFont="1" applyFill="1" applyBorder="1" applyAlignment="1">
      <alignment horizontal="center"/>
    </xf>
    <xf numFmtId="164" fontId="24" fillId="0" borderId="4" xfId="2" applyNumberFormat="1" applyFont="1" applyFill="1" applyBorder="1" applyAlignment="1">
      <alignment horizontal="center"/>
    </xf>
    <xf numFmtId="0" fontId="70" fillId="0" borderId="0" xfId="0" applyFont="1" applyFill="1" applyBorder="1" applyAlignment="1">
      <alignment horizontal="center"/>
    </xf>
    <xf numFmtId="0" fontId="4" fillId="0" borderId="5" xfId="0" applyNumberFormat="1" applyFont="1" applyFill="1" applyBorder="1" applyAlignment="1">
      <alignment horizontal="center"/>
    </xf>
    <xf numFmtId="164" fontId="16" fillId="5" borderId="6" xfId="2" applyNumberFormat="1" applyFont="1" applyFill="1" applyBorder="1" applyAlignment="1">
      <alignment horizontal="center"/>
    </xf>
    <xf numFmtId="0" fontId="6" fillId="12" borderId="0" xfId="0" applyFont="1" applyFill="1" applyBorder="1"/>
    <xf numFmtId="170" fontId="4" fillId="12" borderId="0" xfId="0" applyNumberFormat="1" applyFont="1" applyFill="1" applyBorder="1" applyAlignment="1">
      <alignment horizontal="center"/>
    </xf>
    <xf numFmtId="9" fontId="5" fillId="12" borderId="0" xfId="2" applyFont="1" applyFill="1" applyBorder="1" applyAlignment="1">
      <alignment horizontal="center"/>
    </xf>
    <xf numFmtId="169" fontId="5" fillId="12" borderId="0" xfId="2" applyNumberFormat="1" applyFont="1" applyFill="1" applyBorder="1" applyAlignment="1">
      <alignment horizontal="center"/>
    </xf>
    <xf numFmtId="0" fontId="15" fillId="12" borderId="0" xfId="0" applyFont="1" applyFill="1" applyBorder="1" applyAlignment="1">
      <alignment horizontal="center"/>
    </xf>
    <xf numFmtId="0" fontId="3" fillId="12" borderId="0" xfId="0" applyFont="1" applyFill="1" applyBorder="1" applyAlignment="1">
      <alignment horizontal="center"/>
    </xf>
    <xf numFmtId="0" fontId="5" fillId="12" borderId="0" xfId="0" applyNumberFormat="1" applyFont="1" applyFill="1" applyBorder="1" applyAlignment="1">
      <alignment horizontal="center"/>
    </xf>
    <xf numFmtId="2" fontId="0" fillId="8" borderId="0" xfId="0" applyNumberFormat="1" applyFill="1" applyAlignment="1"/>
    <xf numFmtId="6" fontId="3" fillId="0" borderId="0" xfId="0" applyNumberFormat="1" applyFont="1" applyFill="1" applyBorder="1" applyAlignment="1">
      <alignment horizontal="center"/>
    </xf>
    <xf numFmtId="0" fontId="3" fillId="0" borderId="33" xfId="0" applyNumberFormat="1" applyFont="1" applyBorder="1" applyAlignment="1">
      <alignment horizontal="center"/>
    </xf>
    <xf numFmtId="2" fontId="44" fillId="10" borderId="34" xfId="0" applyNumberFormat="1" applyFont="1" applyFill="1" applyBorder="1" applyAlignment="1">
      <alignment horizontal="center"/>
    </xf>
    <xf numFmtId="0" fontId="21" fillId="0" borderId="34" xfId="0" applyNumberFormat="1" applyFont="1" applyBorder="1" applyAlignment="1">
      <alignment horizontal="center"/>
    </xf>
    <xf numFmtId="0" fontId="55" fillId="0" borderId="13" xfId="0" applyFont="1" applyBorder="1" applyAlignment="1">
      <alignment horizontal="center"/>
    </xf>
    <xf numFmtId="164" fontId="72" fillId="0" borderId="14" xfId="2" applyNumberFormat="1" applyFont="1" applyFill="1" applyBorder="1" applyAlignment="1">
      <alignment horizontal="center"/>
    </xf>
    <xf numFmtId="0" fontId="77" fillId="0" borderId="12" xfId="0" applyFont="1" applyBorder="1"/>
    <xf numFmtId="2" fontId="3" fillId="0" borderId="0" xfId="0" applyNumberFormat="1" applyFont="1" applyFill="1" applyBorder="1" applyAlignment="1">
      <alignment horizontal="center"/>
    </xf>
    <xf numFmtId="1" fontId="81"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6" fontId="80" fillId="0" borderId="0" xfId="0" applyNumberFormat="1" applyFont="1" applyFill="1" applyBorder="1" applyAlignment="1"/>
    <xf numFmtId="6" fontId="80"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0" fontId="81" fillId="0" borderId="0" xfId="0" applyNumberFormat="1" applyFont="1" applyFill="1" applyBorder="1" applyAlignment="1"/>
    <xf numFmtId="0" fontId="6" fillId="0" borderId="18" xfId="0" applyFont="1" applyFill="1" applyBorder="1"/>
    <xf numFmtId="0" fontId="8" fillId="0" borderId="17" xfId="0" applyFont="1" applyFill="1" applyBorder="1" applyAlignment="1">
      <alignment horizontal="center"/>
    </xf>
    <xf numFmtId="0" fontId="51" fillId="5" borderId="1" xfId="0" applyFont="1" applyFill="1" applyBorder="1"/>
    <xf numFmtId="0" fontId="55" fillId="5" borderId="2" xfId="0" applyFont="1" applyFill="1" applyBorder="1" applyAlignment="1">
      <alignment horizontal="center"/>
    </xf>
    <xf numFmtId="0" fontId="72" fillId="7" borderId="7" xfId="0" applyFont="1" applyFill="1" applyBorder="1" applyAlignment="1">
      <alignment horizontal="center"/>
    </xf>
    <xf numFmtId="1" fontId="28" fillId="0" borderId="5" xfId="0" applyNumberFormat="1" applyFont="1" applyBorder="1" applyAlignment="1">
      <alignment horizontal="center"/>
    </xf>
    <xf numFmtId="2" fontId="24" fillId="0" borderId="5" xfId="0" applyNumberFormat="1" applyFont="1" applyBorder="1" applyAlignment="1">
      <alignment horizontal="center"/>
    </xf>
    <xf numFmtId="1" fontId="28" fillId="0" borderId="4" xfId="0" applyNumberFormat="1" applyFont="1" applyBorder="1" applyAlignment="1">
      <alignment horizontal="center"/>
    </xf>
    <xf numFmtId="2" fontId="24" fillId="0" borderId="4" xfId="0" applyNumberFormat="1" applyFont="1" applyBorder="1" applyAlignment="1">
      <alignment horizontal="center"/>
    </xf>
    <xf numFmtId="164" fontId="82" fillId="3" borderId="6" xfId="2" applyNumberFormat="1" applyFont="1" applyFill="1" applyBorder="1" applyAlignment="1">
      <alignment horizontal="center" vertical="center" wrapText="1"/>
    </xf>
    <xf numFmtId="0" fontId="4" fillId="0" borderId="0" xfId="0" applyFont="1" applyFill="1" applyBorder="1" applyAlignment="1">
      <alignment horizontal="center"/>
    </xf>
    <xf numFmtId="3" fontId="3" fillId="5" borderId="6" xfId="0" applyNumberFormat="1" applyFont="1" applyFill="1" applyBorder="1" applyAlignment="1">
      <alignment horizontal="left"/>
    </xf>
    <xf numFmtId="166" fontId="11" fillId="0" borderId="25" xfId="0" applyNumberFormat="1" applyFont="1" applyFill="1" applyBorder="1" applyAlignment="1">
      <alignment horizontal="center"/>
    </xf>
    <xf numFmtId="1" fontId="43" fillId="0" borderId="25" xfId="0" applyNumberFormat="1" applyFont="1" applyFill="1" applyBorder="1" applyAlignment="1">
      <alignment horizontal="center"/>
    </xf>
    <xf numFmtId="1" fontId="43" fillId="0" borderId="25" xfId="0" applyNumberFormat="1" applyFont="1" applyFill="1" applyBorder="1" applyAlignment="1">
      <alignment horizontal="left"/>
    </xf>
    <xf numFmtId="2" fontId="6" fillId="0" borderId="0" xfId="0" applyNumberFormat="1" applyFont="1" applyFill="1" applyBorder="1" applyAlignment="1">
      <alignment horizontal="center"/>
    </xf>
    <xf numFmtId="2" fontId="70" fillId="0" borderId="0" xfId="2" applyNumberFormat="1" applyFont="1" applyFill="1" applyBorder="1" applyAlignment="1">
      <alignment horizontal="right"/>
    </xf>
    <xf numFmtId="0" fontId="51" fillId="13" borderId="12" xfId="0" applyFont="1" applyFill="1" applyBorder="1" applyAlignment="1">
      <alignment wrapText="1"/>
    </xf>
    <xf numFmtId="0" fontId="55" fillId="13" borderId="14" xfId="0" applyFont="1" applyFill="1" applyBorder="1" applyAlignment="1">
      <alignment horizontal="center"/>
    </xf>
    <xf numFmtId="0" fontId="51" fillId="13" borderId="17" xfId="0" applyFont="1" applyFill="1" applyBorder="1" applyAlignment="1">
      <alignment wrapText="1"/>
    </xf>
    <xf numFmtId="0" fontId="55" fillId="13" borderId="0" xfId="0" applyFont="1" applyFill="1" applyBorder="1" applyAlignment="1">
      <alignment horizontal="center"/>
    </xf>
    <xf numFmtId="166" fontId="21" fillId="5" borderId="3" xfId="0" applyNumberFormat="1" applyFont="1" applyFill="1" applyBorder="1" applyAlignment="1">
      <alignment horizontal="center"/>
    </xf>
    <xf numFmtId="0" fontId="3" fillId="0" borderId="0" xfId="0" applyFont="1" applyFill="1" applyBorder="1" applyAlignment="1">
      <alignment horizontal="left"/>
    </xf>
    <xf numFmtId="0" fontId="62" fillId="5" borderId="1" xfId="0" applyFont="1" applyFill="1" applyBorder="1" applyAlignment="1">
      <alignment vertical="center"/>
    </xf>
    <xf numFmtId="3" fontId="3" fillId="5" borderId="6" xfId="0" applyNumberFormat="1" applyFont="1" applyFill="1" applyBorder="1" applyAlignment="1">
      <alignment horizontal="center"/>
    </xf>
    <xf numFmtId="0" fontId="6" fillId="0" borderId="23" xfId="0" applyFont="1" applyFill="1" applyBorder="1"/>
    <xf numFmtId="0" fontId="24" fillId="0" borderId="10" xfId="0" applyFont="1" applyFill="1" applyBorder="1" applyAlignment="1">
      <alignment horizontal="center" vertical="center"/>
    </xf>
    <xf numFmtId="0" fontId="6" fillId="0" borderId="10" xfId="0" applyFont="1" applyFill="1" applyBorder="1" applyAlignment="1">
      <alignment horizontal="center"/>
    </xf>
    <xf numFmtId="0" fontId="24" fillId="0" borderId="24" xfId="0" applyFont="1" applyFill="1" applyBorder="1" applyAlignment="1">
      <alignment horizontal="center" vertical="center"/>
    </xf>
    <xf numFmtId="0" fontId="15" fillId="0" borderId="5" xfId="0" applyFont="1" applyFill="1" applyBorder="1" applyAlignment="1">
      <alignment horizontal="center"/>
    </xf>
    <xf numFmtId="0" fontId="27" fillId="0" borderId="0" xfId="0" applyFont="1" applyFill="1" applyBorder="1" applyAlignment="1"/>
    <xf numFmtId="0" fontId="15" fillId="0" borderId="39" xfId="0" applyFont="1" applyFill="1" applyBorder="1" applyAlignment="1">
      <alignment horizontal="center"/>
    </xf>
    <xf numFmtId="10" fontId="3" fillId="11" borderId="3" xfId="2" applyNumberFormat="1" applyFont="1" applyFill="1" applyBorder="1" applyAlignment="1">
      <alignment horizontal="center" vertical="center"/>
    </xf>
    <xf numFmtId="6" fontId="6" fillId="11" borderId="3" xfId="0" applyNumberFormat="1" applyFont="1" applyFill="1" applyBorder="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69" fontId="3" fillId="8" borderId="0" xfId="0" applyNumberFormat="1" applyFont="1" applyFill="1" applyAlignment="1">
      <alignment horizontal="center"/>
    </xf>
    <xf numFmtId="9" fontId="6" fillId="8" borderId="0" xfId="2" applyFont="1" applyFill="1" applyAlignment="1">
      <alignment horizontal="center"/>
    </xf>
    <xf numFmtId="169" fontId="4" fillId="8" borderId="0" xfId="0" applyNumberFormat="1" applyFont="1" applyFill="1" applyAlignment="1">
      <alignment horizontal="center"/>
    </xf>
    <xf numFmtId="169" fontId="6" fillId="8" borderId="9" xfId="0" applyNumberFormat="1" applyFont="1" applyFill="1" applyBorder="1" applyAlignment="1">
      <alignment horizontal="center"/>
    </xf>
    <xf numFmtId="9" fontId="6" fillId="8" borderId="9" xfId="2" applyFont="1" applyFill="1" applyBorder="1" applyAlignment="1">
      <alignment horizontal="center"/>
    </xf>
    <xf numFmtId="0" fontId="29" fillId="8" borderId="8" xfId="0" applyFont="1" applyFill="1" applyBorder="1" applyAlignment="1">
      <alignment vertical="center" wrapText="1"/>
    </xf>
    <xf numFmtId="0" fontId="85" fillId="8" borderId="25" xfId="0" applyFont="1" applyFill="1" applyBorder="1" applyAlignment="1">
      <alignment horizontal="center" wrapText="1"/>
    </xf>
    <xf numFmtId="0" fontId="45" fillId="8" borderId="25" xfId="0" applyFont="1" applyFill="1" applyBorder="1" applyAlignment="1">
      <alignment horizontal="center" wrapText="1"/>
    </xf>
    <xf numFmtId="0" fontId="45" fillId="12" borderId="25" xfId="0" applyFont="1" applyFill="1" applyBorder="1"/>
    <xf numFmtId="0" fontId="45" fillId="3" borderId="25" xfId="0" applyFont="1" applyFill="1" applyBorder="1"/>
    <xf numFmtId="0" fontId="84" fillId="6" borderId="25" xfId="0" applyFont="1" applyFill="1" applyBorder="1" applyAlignment="1">
      <alignment horizontal="center" wrapText="1"/>
    </xf>
    <xf numFmtId="0" fontId="86" fillId="0" borderId="25" xfId="0" applyFont="1" applyFill="1" applyBorder="1" applyAlignment="1">
      <alignment horizontal="center" vertical="center" wrapText="1"/>
    </xf>
    <xf numFmtId="3" fontId="55" fillId="0" borderId="21" xfId="0" applyNumberFormat="1" applyFont="1" applyBorder="1" applyAlignment="1">
      <alignment horizontal="center"/>
    </xf>
    <xf numFmtId="3" fontId="49" fillId="0" borderId="21" xfId="0" applyNumberFormat="1" applyFont="1" applyBorder="1" applyAlignment="1">
      <alignment horizontal="center"/>
    </xf>
    <xf numFmtId="3" fontId="49" fillId="0" borderId="0" xfId="0" applyNumberFormat="1" applyFont="1" applyBorder="1" applyAlignment="1">
      <alignment horizontal="center"/>
    </xf>
    <xf numFmtId="166" fontId="21" fillId="5" borderId="2" xfId="0" applyNumberFormat="1" applyFont="1" applyFill="1" applyBorder="1" applyAlignment="1">
      <alignment horizontal="center"/>
    </xf>
    <xf numFmtId="164" fontId="72" fillId="0" borderId="11" xfId="2" applyNumberFormat="1" applyFont="1" applyFill="1" applyBorder="1" applyAlignment="1">
      <alignment horizontal="center"/>
    </xf>
    <xf numFmtId="164" fontId="52" fillId="0" borderId="6" xfId="2" applyNumberFormat="1" applyFont="1" applyFill="1" applyBorder="1" applyAlignment="1">
      <alignment horizontal="center" vertical="center" wrapText="1"/>
    </xf>
    <xf numFmtId="164" fontId="51" fillId="0" borderId="21" xfId="2" applyNumberFormat="1" applyFont="1" applyFill="1" applyBorder="1" applyAlignment="1">
      <alignment horizontal="center"/>
    </xf>
    <xf numFmtId="164" fontId="52" fillId="0" borderId="4" xfId="2" applyNumberFormat="1" applyFont="1" applyFill="1" applyBorder="1" applyAlignment="1">
      <alignment horizontal="center" vertical="center" wrapText="1"/>
    </xf>
    <xf numFmtId="0" fontId="6" fillId="0" borderId="30" xfId="0" applyFont="1" applyBorder="1"/>
    <xf numFmtId="0" fontId="4" fillId="2" borderId="29" xfId="0" applyNumberFormat="1" applyFont="1" applyFill="1" applyBorder="1" applyAlignment="1">
      <alignment horizontal="center"/>
    </xf>
    <xf numFmtId="2" fontId="24" fillId="6" borderId="31" xfId="0" applyNumberFormat="1" applyFont="1" applyFill="1" applyBorder="1" applyAlignment="1">
      <alignment horizontal="center"/>
    </xf>
    <xf numFmtId="0" fontId="68" fillId="5" borderId="40" xfId="0" applyFont="1" applyFill="1" applyBorder="1" applyAlignment="1">
      <alignment horizontal="left" indent="1"/>
    </xf>
    <xf numFmtId="0" fontId="69" fillId="5" borderId="41" xfId="0" applyFont="1" applyFill="1" applyBorder="1" applyAlignment="1">
      <alignment horizontal="center"/>
    </xf>
    <xf numFmtId="169" fontId="16" fillId="5" borderId="42" xfId="0" applyNumberFormat="1" applyFont="1" applyFill="1" applyBorder="1" applyAlignment="1">
      <alignment horizontal="right"/>
    </xf>
    <xf numFmtId="0" fontId="68" fillId="5" borderId="43" xfId="0" applyFont="1" applyFill="1" applyBorder="1" applyAlignment="1">
      <alignment horizontal="left" indent="1"/>
    </xf>
    <xf numFmtId="6" fontId="16" fillId="5" borderId="32" xfId="0" applyNumberFormat="1" applyFont="1" applyFill="1" applyBorder="1" applyAlignment="1">
      <alignment horizontal="right"/>
    </xf>
    <xf numFmtId="0" fontId="68" fillId="5" borderId="43" xfId="0" applyNumberFormat="1" applyFont="1" applyFill="1" applyBorder="1" applyAlignment="1">
      <alignment horizontal="left" indent="1"/>
    </xf>
    <xf numFmtId="169" fontId="68" fillId="5" borderId="44" xfId="0" applyNumberFormat="1" applyFont="1" applyFill="1" applyBorder="1" applyAlignment="1">
      <alignment horizontal="right"/>
    </xf>
    <xf numFmtId="0" fontId="73" fillId="5" borderId="45" xfId="3" applyFont="1" applyFill="1" applyBorder="1" applyAlignment="1" applyProtection="1"/>
    <xf numFmtId="0" fontId="69" fillId="5" borderId="35" xfId="0" applyNumberFormat="1" applyFont="1" applyFill="1" applyBorder="1" applyAlignment="1">
      <alignment horizontal="center"/>
    </xf>
    <xf numFmtId="169" fontId="6" fillId="5" borderId="39" xfId="1" applyNumberFormat="1" applyFont="1" applyFill="1" applyBorder="1" applyAlignment="1">
      <alignment horizontal="right"/>
    </xf>
    <xf numFmtId="0" fontId="6" fillId="0" borderId="40" xfId="0" applyFont="1" applyBorder="1"/>
    <xf numFmtId="0" fontId="4" fillId="2" borderId="41" xfId="0" applyNumberFormat="1" applyFont="1" applyFill="1" applyBorder="1" applyAlignment="1">
      <alignment horizontal="center"/>
    </xf>
    <xf numFmtId="169" fontId="6" fillId="0" borderId="42" xfId="1" applyNumberFormat="1" applyFont="1" applyFill="1" applyBorder="1" applyAlignment="1">
      <alignment horizontal="right"/>
    </xf>
    <xf numFmtId="0" fontId="6" fillId="2" borderId="43" xfId="0" applyNumberFormat="1" applyFont="1" applyFill="1" applyBorder="1" applyAlignment="1"/>
    <xf numFmtId="0" fontId="6" fillId="0" borderId="45" xfId="0" applyNumberFormat="1" applyFont="1" applyFill="1" applyBorder="1" applyAlignment="1"/>
    <xf numFmtId="0" fontId="4" fillId="0" borderId="35" xfId="0" applyNumberFormat="1" applyFont="1" applyFill="1" applyBorder="1" applyAlignment="1">
      <alignment horizontal="center"/>
    </xf>
    <xf numFmtId="169" fontId="6" fillId="0" borderId="39" xfId="1" applyNumberFormat="1" applyFont="1" applyBorder="1" applyAlignment="1">
      <alignment horizontal="right"/>
    </xf>
    <xf numFmtId="0" fontId="6" fillId="2" borderId="40" xfId="0" applyNumberFormat="1" applyFont="1" applyFill="1" applyBorder="1" applyAlignment="1"/>
    <xf numFmtId="0" fontId="4" fillId="0" borderId="41" xfId="0" applyFont="1" applyBorder="1" applyAlignment="1">
      <alignment horizontal="center"/>
    </xf>
    <xf numFmtId="171" fontId="24" fillId="2" borderId="42" xfId="0" applyNumberFormat="1" applyFont="1" applyFill="1" applyBorder="1" applyAlignment="1">
      <alignment horizontal="right"/>
    </xf>
    <xf numFmtId="0" fontId="6" fillId="2" borderId="46" xfId="0" applyNumberFormat="1" applyFont="1" applyFill="1" applyBorder="1" applyAlignment="1"/>
    <xf numFmtId="0" fontId="4" fillId="2" borderId="47" xfId="0" applyNumberFormat="1" applyFont="1" applyFill="1" applyBorder="1" applyAlignment="1">
      <alignment horizontal="center"/>
    </xf>
    <xf numFmtId="0" fontId="6" fillId="0" borderId="40" xfId="0" applyFont="1" applyFill="1" applyBorder="1" applyAlignment="1">
      <alignment horizontal="left"/>
    </xf>
    <xf numFmtId="0" fontId="6" fillId="0" borderId="43" xfId="0" applyFont="1" applyFill="1" applyBorder="1"/>
    <xf numFmtId="0" fontId="24" fillId="0" borderId="32" xfId="0" applyFont="1" applyFill="1" applyBorder="1" applyAlignment="1">
      <alignment horizontal="right"/>
    </xf>
    <xf numFmtId="0" fontId="6" fillId="0" borderId="45" xfId="0" applyFont="1" applyFill="1" applyBorder="1" applyAlignment="1">
      <alignment horizontal="left"/>
    </xf>
    <xf numFmtId="0" fontId="4" fillId="2" borderId="35" xfId="0" applyNumberFormat="1" applyFont="1" applyFill="1" applyBorder="1" applyAlignment="1">
      <alignment horizontal="center"/>
    </xf>
    <xf numFmtId="164" fontId="24" fillId="0" borderId="39" xfId="0" applyNumberFormat="1" applyFont="1" applyFill="1" applyBorder="1" applyAlignment="1">
      <alignment horizontal="right"/>
    </xf>
    <xf numFmtId="0" fontId="6" fillId="0" borderId="40" xfId="0" applyFont="1" applyFill="1" applyBorder="1"/>
    <xf numFmtId="169" fontId="6" fillId="0" borderId="32" xfId="0" applyNumberFormat="1" applyFont="1" applyFill="1" applyBorder="1" applyAlignment="1">
      <alignment horizontal="right"/>
    </xf>
    <xf numFmtId="0" fontId="6" fillId="2" borderId="49" xfId="0" applyNumberFormat="1" applyFont="1" applyFill="1" applyBorder="1" applyAlignment="1"/>
    <xf numFmtId="169" fontId="24" fillId="2" borderId="44" xfId="0" applyNumberFormat="1" applyFont="1" applyFill="1" applyBorder="1" applyAlignment="1">
      <alignment horizontal="right"/>
    </xf>
    <xf numFmtId="164" fontId="24" fillId="2" borderId="44" xfId="2" applyNumberFormat="1" applyFont="1" applyFill="1" applyBorder="1" applyAlignment="1">
      <alignment horizontal="right"/>
    </xf>
    <xf numFmtId="0" fontId="6" fillId="0" borderId="45" xfId="0" applyFont="1" applyFill="1" applyBorder="1"/>
    <xf numFmtId="169" fontId="6" fillId="0" borderId="39" xfId="0" applyNumberFormat="1" applyFont="1" applyFill="1" applyBorder="1" applyAlignment="1">
      <alignment horizontal="right"/>
    </xf>
    <xf numFmtId="174" fontId="24" fillId="0" borderId="42" xfId="5" applyNumberFormat="1" applyFont="1" applyFill="1" applyBorder="1" applyAlignment="1">
      <alignment horizontal="right"/>
    </xf>
    <xf numFmtId="164" fontId="24" fillId="0" borderId="32" xfId="2" applyNumberFormat="1" applyFont="1" applyFill="1" applyBorder="1" applyAlignment="1">
      <alignment horizontal="right"/>
    </xf>
    <xf numFmtId="0" fontId="24" fillId="0" borderId="39" xfId="0" applyFont="1" applyFill="1" applyBorder="1" applyAlignment="1">
      <alignment horizontal="right"/>
    </xf>
    <xf numFmtId="0" fontId="24" fillId="0" borderId="42" xfId="0" applyFont="1" applyFill="1" applyBorder="1" applyAlignment="1">
      <alignment horizontal="right"/>
    </xf>
    <xf numFmtId="0" fontId="6" fillId="0" borderId="43" xfId="0" applyFont="1" applyFill="1" applyBorder="1" applyAlignment="1">
      <alignment horizontal="left"/>
    </xf>
    <xf numFmtId="164" fontId="24" fillId="2" borderId="32" xfId="2" applyNumberFormat="1" applyFont="1" applyFill="1" applyBorder="1" applyAlignment="1">
      <alignment horizontal="right"/>
    </xf>
    <xf numFmtId="9" fontId="24" fillId="2" borderId="42" xfId="2" applyNumberFormat="1" applyFont="1" applyFill="1" applyBorder="1" applyAlignment="1">
      <alignment horizontal="right"/>
    </xf>
    <xf numFmtId="10" fontId="24" fillId="2" borderId="48" xfId="2" applyNumberFormat="1" applyFont="1" applyFill="1" applyBorder="1" applyAlignment="1">
      <alignment horizontal="right"/>
    </xf>
    <xf numFmtId="0" fontId="6" fillId="0" borderId="43" xfId="0" applyNumberFormat="1" applyFont="1" applyFill="1" applyBorder="1" applyAlignment="1"/>
    <xf numFmtId="2" fontId="6" fillId="0" borderId="32" xfId="2" applyNumberFormat="1" applyFont="1" applyFill="1" applyBorder="1" applyAlignment="1">
      <alignment horizontal="right"/>
    </xf>
    <xf numFmtId="2" fontId="3" fillId="12" borderId="32" xfId="2" applyNumberFormat="1" applyFont="1" applyFill="1" applyBorder="1" applyAlignment="1">
      <alignment horizontal="right"/>
    </xf>
    <xf numFmtId="2" fontId="24" fillId="0" borderId="32" xfId="2" applyNumberFormat="1" applyFont="1" applyFill="1" applyBorder="1" applyAlignment="1">
      <alignment horizontal="right"/>
    </xf>
    <xf numFmtId="2" fontId="3" fillId="12" borderId="39" xfId="2" applyNumberFormat="1" applyFont="1" applyFill="1" applyBorder="1" applyAlignment="1">
      <alignment horizontal="right"/>
    </xf>
    <xf numFmtId="0" fontId="3" fillId="5" borderId="23" xfId="0" applyNumberFormat="1" applyFont="1" applyFill="1" applyBorder="1" applyAlignment="1"/>
    <xf numFmtId="0" fontId="21" fillId="5" borderId="10" xfId="0" applyNumberFormat="1" applyFont="1" applyFill="1" applyBorder="1" applyAlignment="1">
      <alignment horizontal="center"/>
    </xf>
    <xf numFmtId="166" fontId="21" fillId="5" borderId="24" xfId="0" applyNumberFormat="1" applyFont="1" applyFill="1" applyBorder="1" applyAlignment="1">
      <alignment horizontal="center"/>
    </xf>
    <xf numFmtId="0" fontId="6" fillId="0" borderId="49" xfId="0" applyNumberFormat="1" applyFont="1" applyFill="1" applyBorder="1" applyAlignment="1"/>
    <xf numFmtId="2" fontId="24" fillId="0" borderId="44" xfId="2" applyNumberFormat="1" applyFont="1" applyFill="1" applyBorder="1" applyAlignment="1">
      <alignment horizontal="right"/>
    </xf>
    <xf numFmtId="10" fontId="24" fillId="2" borderId="32" xfId="2" applyNumberFormat="1" applyFont="1" applyFill="1" applyBorder="1" applyAlignment="1">
      <alignment horizontal="right"/>
    </xf>
    <xf numFmtId="0" fontId="6" fillId="2" borderId="45" xfId="0" applyNumberFormat="1" applyFont="1" applyFill="1" applyBorder="1" applyAlignment="1"/>
    <xf numFmtId="164" fontId="24" fillId="2" borderId="39" xfId="2" applyNumberFormat="1" applyFont="1" applyFill="1" applyBorder="1" applyAlignment="1">
      <alignment horizontal="right"/>
    </xf>
    <xf numFmtId="9" fontId="6" fillId="2" borderId="42" xfId="2" applyNumberFormat="1" applyFont="1" applyFill="1" applyBorder="1" applyAlignment="1">
      <alignment horizontal="right"/>
    </xf>
    <xf numFmtId="0" fontId="6" fillId="0" borderId="46" xfId="0" applyFont="1" applyFill="1" applyBorder="1"/>
    <xf numFmtId="10" fontId="6" fillId="2" borderId="42" xfId="2" applyNumberFormat="1" applyFont="1" applyFill="1" applyBorder="1" applyAlignment="1">
      <alignment horizontal="right"/>
    </xf>
    <xf numFmtId="169" fontId="24" fillId="2" borderId="39" xfId="0" applyNumberFormat="1" applyFont="1" applyFill="1" applyBorder="1" applyAlignment="1">
      <alignment horizontal="right"/>
    </xf>
    <xf numFmtId="169" fontId="6" fillId="0" borderId="42" xfId="0" applyNumberFormat="1" applyFont="1" applyFill="1" applyBorder="1" applyAlignment="1">
      <alignment horizontal="right"/>
    </xf>
    <xf numFmtId="0" fontId="6" fillId="2" borderId="50" xfId="0" applyNumberFormat="1" applyFont="1" applyFill="1" applyBorder="1" applyAlignment="1"/>
    <xf numFmtId="0" fontId="3" fillId="0" borderId="46" xfId="0" applyFont="1" applyFill="1" applyBorder="1"/>
    <xf numFmtId="169" fontId="3" fillId="0" borderId="48" xfId="0" applyNumberFormat="1" applyFont="1" applyFill="1" applyBorder="1"/>
    <xf numFmtId="9" fontId="24" fillId="6" borderId="42" xfId="2" applyFont="1" applyFill="1" applyBorder="1" applyAlignment="1">
      <alignment horizontal="center"/>
    </xf>
    <xf numFmtId="164" fontId="24" fillId="0" borderId="44" xfId="2" applyNumberFormat="1" applyFont="1" applyFill="1" applyBorder="1" applyAlignment="1">
      <alignment horizontal="right"/>
    </xf>
    <xf numFmtId="0" fontId="6" fillId="0" borderId="35" xfId="0" applyFont="1" applyFill="1" applyBorder="1"/>
    <xf numFmtId="0" fontId="4" fillId="0" borderId="39" xfId="0" applyFont="1" applyFill="1" applyBorder="1" applyAlignment="1">
      <alignment horizontal="center"/>
    </xf>
    <xf numFmtId="164" fontId="24" fillId="0" borderId="39" xfId="2" applyNumberFormat="1" applyFont="1" applyFill="1" applyBorder="1" applyAlignment="1">
      <alignment horizontal="right"/>
    </xf>
    <xf numFmtId="0" fontId="68" fillId="5" borderId="40" xfId="0" applyFont="1" applyFill="1" applyBorder="1"/>
    <xf numFmtId="0" fontId="68" fillId="5" borderId="41" xfId="0" applyFont="1" applyFill="1" applyBorder="1"/>
    <xf numFmtId="2" fontId="16" fillId="5" borderId="42" xfId="0" applyNumberFormat="1" applyFont="1" applyFill="1" applyBorder="1" applyAlignment="1">
      <alignment horizontal="center"/>
    </xf>
    <xf numFmtId="0" fontId="68" fillId="5" borderId="43" xfId="0" applyFont="1" applyFill="1" applyBorder="1"/>
    <xf numFmtId="2" fontId="16" fillId="5" borderId="44" xfId="0" applyNumberFormat="1" applyFont="1" applyFill="1" applyBorder="1" applyAlignment="1">
      <alignment horizontal="right"/>
    </xf>
    <xf numFmtId="0" fontId="68" fillId="5" borderId="53" xfId="0" applyFont="1" applyFill="1" applyBorder="1"/>
    <xf numFmtId="164" fontId="16" fillId="5" borderId="54" xfId="2" applyNumberFormat="1" applyFont="1" applyFill="1" applyBorder="1" applyAlignment="1">
      <alignment horizontal="right"/>
    </xf>
    <xf numFmtId="0" fontId="74" fillId="5" borderId="55" xfId="3" applyFont="1" applyFill="1" applyBorder="1" applyAlignment="1" applyProtection="1"/>
    <xf numFmtId="0" fontId="6" fillId="5" borderId="37" xfId="0" applyFont="1" applyFill="1" applyBorder="1"/>
    <xf numFmtId="0" fontId="6" fillId="5" borderId="56" xfId="0" applyFont="1" applyFill="1" applyBorder="1"/>
    <xf numFmtId="0" fontId="24" fillId="6" borderId="32" xfId="0" applyFont="1" applyFill="1" applyBorder="1" applyAlignment="1">
      <alignment horizontal="center"/>
    </xf>
    <xf numFmtId="2" fontId="24" fillId="2" borderId="32" xfId="0" applyNumberFormat="1" applyFont="1" applyFill="1" applyBorder="1" applyAlignment="1">
      <alignment horizontal="right"/>
    </xf>
    <xf numFmtId="0" fontId="6" fillId="0" borderId="55" xfId="0" applyFont="1" applyFill="1" applyBorder="1"/>
    <xf numFmtId="0" fontId="3" fillId="0" borderId="40" xfId="0" applyFont="1" applyFill="1" applyBorder="1"/>
    <xf numFmtId="0" fontId="4" fillId="0" borderId="41" xfId="0" applyFont="1" applyFill="1" applyBorder="1" applyAlignment="1">
      <alignment horizontal="center"/>
    </xf>
    <xf numFmtId="6" fontId="24" fillId="0" borderId="42" xfId="0" applyNumberFormat="1" applyFont="1" applyFill="1" applyBorder="1" applyAlignment="1">
      <alignment horizontal="right"/>
    </xf>
    <xf numFmtId="9" fontId="24" fillId="6" borderId="48" xfId="2" applyFont="1" applyFill="1" applyBorder="1" applyAlignment="1">
      <alignment horizontal="center"/>
    </xf>
    <xf numFmtId="0" fontId="6" fillId="0" borderId="49" xfId="0" applyFont="1" applyFill="1" applyBorder="1"/>
    <xf numFmtId="9" fontId="24" fillId="0" borderId="42" xfId="2" applyFont="1" applyFill="1" applyBorder="1" applyAlignment="1">
      <alignment horizontal="right"/>
    </xf>
    <xf numFmtId="0" fontId="4" fillId="0" borderId="35" xfId="0" applyFont="1" applyFill="1" applyBorder="1" applyAlignment="1">
      <alignment horizontal="center"/>
    </xf>
    <xf numFmtId="0" fontId="6" fillId="0" borderId="60" xfId="0" applyFont="1" applyFill="1" applyBorder="1"/>
    <xf numFmtId="0" fontId="6" fillId="0" borderId="61" xfId="0" applyFont="1" applyFill="1" applyBorder="1"/>
    <xf numFmtId="0" fontId="6" fillId="0" borderId="49" xfId="0" applyFont="1" applyFill="1" applyBorder="1" applyAlignment="1">
      <alignment horizontal="left"/>
    </xf>
    <xf numFmtId="1" fontId="24" fillId="0" borderId="44" xfId="0" applyNumberFormat="1" applyFont="1" applyFill="1" applyBorder="1" applyAlignment="1">
      <alignment horizontal="right"/>
    </xf>
    <xf numFmtId="169" fontId="24" fillId="2" borderId="48" xfId="0" applyNumberFormat="1" applyFont="1" applyFill="1" applyBorder="1" applyAlignment="1">
      <alignment horizontal="right"/>
    </xf>
    <xf numFmtId="0" fontId="21" fillId="0" borderId="57" xfId="0" applyFont="1" applyFill="1" applyBorder="1" applyAlignment="1">
      <alignment horizontal="left"/>
    </xf>
    <xf numFmtId="0" fontId="3" fillId="0" borderId="60" xfId="0" applyFont="1" applyFill="1" applyBorder="1" applyAlignment="1">
      <alignment horizontal="center"/>
    </xf>
    <xf numFmtId="0" fontId="3" fillId="0" borderId="61" xfId="0" applyFont="1" applyFill="1" applyBorder="1" applyAlignment="1">
      <alignment horizontal="center"/>
    </xf>
    <xf numFmtId="0" fontId="6" fillId="0" borderId="52" xfId="0" applyFont="1" applyFill="1" applyBorder="1" applyAlignment="1">
      <alignment horizontal="left"/>
    </xf>
    <xf numFmtId="0" fontId="21" fillId="0" borderId="57" xfId="0" applyFont="1" applyFill="1" applyBorder="1"/>
    <xf numFmtId="6" fontId="6" fillId="0" borderId="39" xfId="0" applyNumberFormat="1" applyFont="1" applyFill="1" applyBorder="1" applyAlignment="1">
      <alignment horizontal="right"/>
    </xf>
    <xf numFmtId="0" fontId="6" fillId="0" borderId="61" xfId="0" applyFont="1" applyFill="1" applyBorder="1" applyAlignment="1">
      <alignment horizontal="right"/>
    </xf>
    <xf numFmtId="164" fontId="24" fillId="0" borderId="31" xfId="0" applyNumberFormat="1" applyFont="1" applyFill="1" applyBorder="1" applyAlignment="1">
      <alignment horizontal="right"/>
    </xf>
    <xf numFmtId="0" fontId="21" fillId="0" borderId="1" xfId="0" applyFont="1" applyFill="1" applyBorder="1"/>
    <xf numFmtId="9" fontId="24" fillId="0" borderId="39" xfId="0" applyNumberFormat="1" applyFont="1" applyFill="1" applyBorder="1" applyAlignment="1">
      <alignment horizontal="right"/>
    </xf>
    <xf numFmtId="0" fontId="3" fillId="0" borderId="30" xfId="0" applyFont="1" applyFill="1" applyBorder="1" applyAlignment="1">
      <alignment horizontal="left"/>
    </xf>
    <xf numFmtId="0" fontId="22" fillId="0" borderId="29" xfId="0" applyFont="1" applyFill="1" applyBorder="1" applyAlignment="1">
      <alignment horizontal="center"/>
    </xf>
    <xf numFmtId="0" fontId="22" fillId="0" borderId="31" xfId="0" applyFont="1" applyFill="1" applyBorder="1" applyAlignment="1">
      <alignment horizontal="center"/>
    </xf>
    <xf numFmtId="0" fontId="6" fillId="0" borderId="30" xfId="0" applyFont="1" applyFill="1" applyBorder="1" applyAlignment="1">
      <alignment horizontal="left" indent="1"/>
    </xf>
    <xf numFmtId="164" fontId="24" fillId="0" borderId="29" xfId="2" applyNumberFormat="1" applyFont="1" applyFill="1" applyBorder="1" applyAlignment="1">
      <alignment horizontal="center"/>
    </xf>
    <xf numFmtId="164" fontId="24" fillId="0" borderId="31" xfId="2" applyNumberFormat="1" applyFont="1" applyFill="1" applyBorder="1" applyAlignment="1">
      <alignment horizontal="center"/>
    </xf>
    <xf numFmtId="0" fontId="6" fillId="0" borderId="40" xfId="0" applyFont="1" applyFill="1" applyBorder="1" applyAlignment="1">
      <alignment horizontal="left" indent="1"/>
    </xf>
    <xf numFmtId="164" fontId="24" fillId="0" borderId="41" xfId="2" applyNumberFormat="1" applyFont="1" applyFill="1" applyBorder="1" applyAlignment="1">
      <alignment horizontal="center"/>
    </xf>
    <xf numFmtId="164" fontId="24" fillId="0" borderId="42" xfId="2" applyNumberFormat="1" applyFont="1" applyFill="1" applyBorder="1" applyAlignment="1">
      <alignment horizontal="center"/>
    </xf>
    <xf numFmtId="0" fontId="6" fillId="0" borderId="43" xfId="0" applyFont="1" applyFill="1" applyBorder="1" applyAlignment="1">
      <alignment horizontal="left" indent="1"/>
    </xf>
    <xf numFmtId="164" fontId="24" fillId="0" borderId="32" xfId="2" applyNumberFormat="1" applyFont="1" applyFill="1" applyBorder="1" applyAlignment="1">
      <alignment horizontal="center"/>
    </xf>
    <xf numFmtId="0" fontId="6" fillId="0" borderId="45" xfId="0" applyFont="1" applyFill="1" applyBorder="1" applyAlignment="1">
      <alignment horizontal="left" indent="1"/>
    </xf>
    <xf numFmtId="164" fontId="24" fillId="0" borderId="35" xfId="2" applyNumberFormat="1" applyFont="1" applyFill="1" applyBorder="1" applyAlignment="1">
      <alignment horizontal="center"/>
    </xf>
    <xf numFmtId="164" fontId="24" fillId="0" borderId="39" xfId="2" applyNumberFormat="1" applyFont="1" applyFill="1" applyBorder="1" applyAlignment="1">
      <alignment horizontal="center"/>
    </xf>
    <xf numFmtId="0" fontId="75" fillId="0" borderId="30" xfId="3" applyFont="1" applyFill="1" applyBorder="1" applyAlignment="1" applyProtection="1"/>
    <xf numFmtId="0" fontId="3" fillId="0" borderId="29" xfId="0" applyFont="1" applyFill="1" applyBorder="1"/>
    <xf numFmtId="0" fontId="3" fillId="0" borderId="62" xfId="0" applyFont="1" applyFill="1" applyBorder="1"/>
    <xf numFmtId="0" fontId="3" fillId="0" borderId="31" xfId="0" applyFont="1" applyFill="1" applyBorder="1"/>
    <xf numFmtId="0" fontId="6" fillId="0" borderId="29" xfId="0" applyFont="1" applyBorder="1"/>
    <xf numFmtId="9" fontId="24" fillId="6" borderId="31" xfId="2" applyFont="1" applyFill="1" applyBorder="1" applyAlignment="1">
      <alignment horizontal="center"/>
    </xf>
    <xf numFmtId="164" fontId="24" fillId="0" borderId="42" xfId="2" applyNumberFormat="1" applyFont="1" applyFill="1" applyBorder="1" applyAlignment="1">
      <alignment horizontal="right"/>
    </xf>
    <xf numFmtId="0" fontId="6" fillId="0" borderId="38" xfId="0" applyFont="1" applyFill="1" applyBorder="1"/>
    <xf numFmtId="0" fontId="6" fillId="0" borderId="64" xfId="0" applyFont="1" applyFill="1" applyBorder="1"/>
    <xf numFmtId="0" fontId="4" fillId="2" borderId="21" xfId="0" applyNumberFormat="1" applyFont="1" applyFill="1" applyBorder="1" applyAlignment="1">
      <alignment horizontal="center"/>
    </xf>
    <xf numFmtId="10" fontId="4" fillId="0" borderId="65" xfId="2" applyNumberFormat="1" applyFont="1" applyFill="1" applyBorder="1" applyAlignment="1">
      <alignment horizontal="right"/>
    </xf>
    <xf numFmtId="0" fontId="6" fillId="0" borderId="66" xfId="0" applyFont="1" applyBorder="1"/>
    <xf numFmtId="0" fontId="4" fillId="2" borderId="67" xfId="0" applyNumberFormat="1" applyFont="1" applyFill="1" applyBorder="1" applyAlignment="1">
      <alignment horizontal="center"/>
    </xf>
    <xf numFmtId="2" fontId="24" fillId="6" borderId="68" xfId="0" applyNumberFormat="1" applyFont="1" applyFill="1" applyBorder="1" applyAlignment="1">
      <alignment horizontal="center"/>
    </xf>
    <xf numFmtId="1" fontId="24" fillId="0" borderId="42" xfId="0" applyNumberFormat="1" applyFont="1" applyFill="1" applyBorder="1" applyAlignment="1">
      <alignment horizontal="right"/>
    </xf>
    <xf numFmtId="0" fontId="4" fillId="8" borderId="0" xfId="0" applyNumberFormat="1" applyFont="1" applyFill="1" applyAlignment="1">
      <alignment horizontal="right" indent="1"/>
    </xf>
    <xf numFmtId="0" fontId="9" fillId="8" borderId="0" xfId="0" applyNumberFormat="1" applyFont="1" applyFill="1" applyAlignment="1">
      <alignment horizontal="center"/>
    </xf>
    <xf numFmtId="0" fontId="84" fillId="8" borderId="25" xfId="0" applyFont="1" applyFill="1" applyBorder="1" applyAlignment="1">
      <alignment horizontal="center" vertical="center"/>
    </xf>
    <xf numFmtId="0" fontId="6" fillId="14" borderId="0" xfId="0" applyFont="1" applyFill="1" applyBorder="1"/>
    <xf numFmtId="0" fontId="29" fillId="8" borderId="8" xfId="0" applyFont="1" applyFill="1" applyBorder="1" applyAlignment="1">
      <alignment horizontal="left" vertical="center" wrapText="1"/>
    </xf>
    <xf numFmtId="0" fontId="87" fillId="8" borderId="0" xfId="3" applyFont="1" applyFill="1" applyBorder="1" applyAlignment="1" applyProtection="1"/>
    <xf numFmtId="0" fontId="53" fillId="14" borderId="0" xfId="0" applyFont="1" applyFill="1" applyBorder="1"/>
    <xf numFmtId="0" fontId="17" fillId="14" borderId="0" xfId="3" applyFill="1" applyBorder="1" applyAlignment="1" applyProtection="1"/>
    <xf numFmtId="0" fontId="6" fillId="14" borderId="0" xfId="0" applyNumberFormat="1" applyFont="1" applyFill="1" applyBorder="1" applyAlignment="1"/>
    <xf numFmtId="0" fontId="49" fillId="0" borderId="9" xfId="0" applyFont="1" applyBorder="1" applyAlignment="1">
      <alignment horizontal="center"/>
    </xf>
    <xf numFmtId="0" fontId="3" fillId="0" borderId="23" xfId="0" applyFont="1" applyFill="1" applyBorder="1"/>
    <xf numFmtId="0" fontId="6" fillId="0" borderId="69" xfId="0" applyFont="1" applyFill="1" applyBorder="1"/>
    <xf numFmtId="0" fontId="24" fillId="6" borderId="68" xfId="0" applyFont="1" applyFill="1" applyBorder="1" applyAlignment="1">
      <alignment horizontal="center"/>
    </xf>
    <xf numFmtId="0" fontId="24" fillId="6" borderId="44" xfId="0" applyFont="1" applyFill="1" applyBorder="1" applyAlignment="1">
      <alignment horizontal="center"/>
    </xf>
    <xf numFmtId="6" fontId="6" fillId="0" borderId="39" xfId="0" applyNumberFormat="1" applyFont="1" applyFill="1" applyBorder="1"/>
    <xf numFmtId="9" fontId="4" fillId="2" borderId="4" xfId="2" applyFont="1" applyFill="1" applyBorder="1" applyAlignment="1">
      <alignment horizontal="center"/>
    </xf>
    <xf numFmtId="9" fontId="4" fillId="2" borderId="67" xfId="2" applyFont="1" applyFill="1" applyBorder="1" applyAlignment="1">
      <alignment horizontal="center"/>
    </xf>
    <xf numFmtId="0" fontId="87" fillId="8" borderId="0" xfId="3" applyFont="1" applyFill="1" applyBorder="1" applyAlignment="1" applyProtection="1">
      <alignment vertical="center" wrapText="1"/>
    </xf>
    <xf numFmtId="0" fontId="88" fillId="8" borderId="0" xfId="0" applyFont="1" applyFill="1" applyBorder="1" applyAlignment="1">
      <alignment wrapText="1"/>
    </xf>
    <xf numFmtId="0" fontId="29" fillId="8" borderId="23" xfId="0" applyFont="1" applyFill="1" applyBorder="1" applyAlignment="1">
      <alignment vertical="center" wrapText="1"/>
    </xf>
    <xf numFmtId="0" fontId="45" fillId="8" borderId="10" xfId="0" applyFont="1" applyFill="1" applyBorder="1" applyAlignment="1">
      <alignment vertical="center" wrapText="1"/>
    </xf>
    <xf numFmtId="9" fontId="4" fillId="2" borderId="28" xfId="2" applyFont="1" applyFill="1" applyBorder="1" applyAlignment="1">
      <alignment horizontal="center"/>
    </xf>
    <xf numFmtId="6" fontId="6" fillId="0" borderId="51" xfId="0" applyNumberFormat="1" applyFont="1" applyFill="1" applyBorder="1" applyAlignment="1">
      <alignment horizontal="right"/>
    </xf>
    <xf numFmtId="0" fontId="6" fillId="0" borderId="45" xfId="0" applyFont="1" applyBorder="1"/>
    <xf numFmtId="0" fontId="49" fillId="0" borderId="0" xfId="0" applyFont="1" applyBorder="1" applyAlignment="1">
      <alignment horizontal="center"/>
    </xf>
    <xf numFmtId="40" fontId="4" fillId="0" borderId="0" xfId="0" applyNumberFormat="1" applyFont="1" applyAlignment="1">
      <alignment horizontal="center"/>
    </xf>
    <xf numFmtId="0" fontId="89" fillId="0" borderId="17" xfId="0" applyFont="1" applyBorder="1"/>
    <xf numFmtId="0" fontId="51" fillId="0" borderId="9" xfId="0" applyFont="1" applyBorder="1"/>
    <xf numFmtId="9" fontId="49" fillId="0" borderId="21" xfId="2" applyNumberFormat="1" applyFont="1" applyBorder="1" applyAlignment="1">
      <alignment horizontal="center"/>
    </xf>
    <xf numFmtId="40" fontId="49" fillId="0" borderId="21" xfId="0" applyNumberFormat="1" applyFont="1" applyBorder="1" applyAlignment="1">
      <alignment horizontal="center"/>
    </xf>
    <xf numFmtId="0" fontId="55" fillId="0" borderId="0" xfId="0" applyFont="1" applyFill="1" applyBorder="1" applyAlignment="1">
      <alignment horizontal="center"/>
    </xf>
    <xf numFmtId="0" fontId="44" fillId="0" borderId="17" xfId="0" applyFont="1" applyFill="1" applyBorder="1"/>
    <xf numFmtId="0" fontId="51" fillId="0" borderId="6" xfId="0" applyFont="1" applyFill="1" applyBorder="1" applyAlignment="1">
      <alignment horizontal="center"/>
    </xf>
    <xf numFmtId="0" fontId="55" fillId="0" borderId="6" xfId="0" applyFont="1" applyFill="1" applyBorder="1" applyAlignment="1">
      <alignment horizontal="center"/>
    </xf>
    <xf numFmtId="0" fontId="3" fillId="0" borderId="66" xfId="0" applyFont="1" applyFill="1" applyBorder="1"/>
    <xf numFmtId="6" fontId="24" fillId="0" borderId="32" xfId="0" applyNumberFormat="1" applyFont="1" applyFill="1" applyBorder="1" applyAlignment="1">
      <alignment horizontal="right"/>
    </xf>
    <xf numFmtId="169" fontId="24" fillId="0" borderId="32" xfId="0" applyNumberFormat="1" applyFont="1" applyFill="1" applyBorder="1" applyAlignment="1">
      <alignment horizontal="right"/>
    </xf>
    <xf numFmtId="6" fontId="24" fillId="0" borderId="68" xfId="0" applyNumberFormat="1" applyFont="1" applyFill="1" applyBorder="1" applyAlignment="1">
      <alignment horizontal="right"/>
    </xf>
    <xf numFmtId="3" fontId="55" fillId="0" borderId="21" xfId="0" applyNumberFormat="1" applyFont="1" applyBorder="1" applyAlignment="1" applyProtection="1">
      <alignment horizontal="center"/>
    </xf>
    <xf numFmtId="164" fontId="49" fillId="0" borderId="21" xfId="2" applyNumberFormat="1" applyFont="1" applyBorder="1" applyAlignment="1" applyProtection="1">
      <alignment horizontal="center"/>
    </xf>
    <xf numFmtId="0" fontId="49" fillId="0" borderId="21" xfId="0" applyFont="1" applyBorder="1" applyAlignment="1" applyProtection="1">
      <alignment horizontal="center"/>
    </xf>
    <xf numFmtId="9" fontId="49" fillId="0" borderId="21" xfId="2" applyNumberFormat="1" applyFont="1" applyBorder="1" applyAlignment="1" applyProtection="1">
      <alignment horizontal="center"/>
    </xf>
    <xf numFmtId="169" fontId="49" fillId="0" borderId="21" xfId="0" applyNumberFormat="1" applyFont="1" applyBorder="1" applyAlignment="1" applyProtection="1">
      <alignment horizontal="center"/>
    </xf>
    <xf numFmtId="40" fontId="49" fillId="0" borderId="21" xfId="0" applyNumberFormat="1" applyFont="1" applyBorder="1" applyAlignment="1" applyProtection="1">
      <alignment horizontal="center"/>
    </xf>
    <xf numFmtId="9" fontId="49" fillId="0" borderId="21" xfId="0" applyNumberFormat="1" applyFont="1" applyBorder="1" applyAlignment="1" applyProtection="1">
      <alignment horizontal="center"/>
    </xf>
    <xf numFmtId="10" fontId="49" fillId="0" borderId="21" xfId="0" applyNumberFormat="1" applyFont="1" applyBorder="1" applyAlignment="1" applyProtection="1">
      <alignment horizontal="center"/>
    </xf>
    <xf numFmtId="0" fontId="49" fillId="0" borderId="5" xfId="0" applyFont="1" applyBorder="1" applyAlignment="1" applyProtection="1">
      <alignment horizontal="center"/>
    </xf>
    <xf numFmtId="9" fontId="24" fillId="6" borderId="32" xfId="2" applyFont="1" applyFill="1" applyBorder="1" applyAlignment="1">
      <alignment horizontal="center"/>
    </xf>
    <xf numFmtId="0" fontId="92" fillId="0" borderId="0" xfId="0" applyFont="1" applyBorder="1" applyAlignment="1">
      <alignment horizontal="center" vertical="center"/>
    </xf>
    <xf numFmtId="2" fontId="50" fillId="0" borderId="17" xfId="0" applyNumberFormat="1" applyFont="1" applyFill="1" applyBorder="1" applyAlignment="1">
      <alignment horizontal="center" vertical="center"/>
    </xf>
    <xf numFmtId="2" fontId="50" fillId="0" borderId="6" xfId="0" applyNumberFormat="1" applyFont="1" applyFill="1" applyBorder="1" applyAlignment="1">
      <alignment horizontal="center" vertical="center"/>
    </xf>
    <xf numFmtId="0" fontId="50" fillId="0" borderId="17" xfId="0" applyFont="1" applyBorder="1" applyAlignment="1">
      <alignment horizontal="center" vertical="center"/>
    </xf>
    <xf numFmtId="0" fontId="93" fillId="0" borderId="17" xfId="0" applyFont="1" applyFill="1" applyBorder="1" applyAlignment="1">
      <alignment horizontal="center" vertical="center"/>
    </xf>
    <xf numFmtId="0" fontId="93" fillId="0" borderId="0" xfId="0" applyFont="1" applyAlignment="1">
      <alignment horizontal="center" vertical="center"/>
    </xf>
    <xf numFmtId="0" fontId="50" fillId="0" borderId="12" xfId="0" applyFont="1" applyBorder="1" applyAlignment="1">
      <alignment horizontal="center" vertical="center"/>
    </xf>
    <xf numFmtId="0" fontId="92" fillId="0" borderId="14" xfId="0" applyFont="1" applyBorder="1" applyAlignment="1">
      <alignment horizontal="center" vertical="center"/>
    </xf>
    <xf numFmtId="2" fontId="50" fillId="0" borderId="4" xfId="0" applyNumberFormat="1" applyFont="1" applyFill="1" applyBorder="1" applyAlignment="1">
      <alignment horizontal="center" vertical="center"/>
    </xf>
    <xf numFmtId="0" fontId="93" fillId="0" borderId="0" xfId="0" applyFont="1" applyFill="1" applyBorder="1" applyAlignment="1">
      <alignment horizontal="center" vertical="center"/>
    </xf>
    <xf numFmtId="0" fontId="6" fillId="0" borderId="4" xfId="0" applyFont="1" applyFill="1" applyBorder="1"/>
    <xf numFmtId="3" fontId="6" fillId="0" borderId="4" xfId="0" applyNumberFormat="1" applyFont="1" applyFill="1" applyBorder="1"/>
    <xf numFmtId="169" fontId="6" fillId="0" borderId="0" xfId="0" applyNumberFormat="1" applyFont="1" applyFill="1" applyBorder="1" applyAlignment="1"/>
    <xf numFmtId="0" fontId="42" fillId="2" borderId="4" xfId="0" applyNumberFormat="1" applyFont="1" applyFill="1" applyBorder="1" applyAlignment="1" applyProtection="1">
      <alignment vertical="center"/>
    </xf>
    <xf numFmtId="169" fontId="24" fillId="0" borderId="4" xfId="1" applyNumberFormat="1" applyFont="1" applyBorder="1" applyAlignment="1" applyProtection="1">
      <alignment horizontal="center" vertical="center"/>
    </xf>
    <xf numFmtId="9" fontId="24" fillId="2" borderId="5" xfId="2" applyFont="1" applyFill="1" applyBorder="1" applyAlignment="1" applyProtection="1">
      <alignment horizontal="center" vertical="center"/>
    </xf>
    <xf numFmtId="9" fontId="24" fillId="6" borderId="5" xfId="0" applyNumberFormat="1" applyFont="1" applyFill="1" applyBorder="1" applyAlignment="1" applyProtection="1">
      <alignment horizontal="center"/>
    </xf>
    <xf numFmtId="0" fontId="42" fillId="2" borderId="6" xfId="0" applyNumberFormat="1" applyFont="1" applyFill="1" applyBorder="1" applyAlignment="1" applyProtection="1">
      <alignment vertical="center"/>
    </xf>
    <xf numFmtId="169" fontId="24" fillId="0" borderId="6" xfId="1" applyNumberFormat="1" applyFont="1" applyBorder="1" applyAlignment="1" applyProtection="1">
      <alignment horizontal="center" vertical="center"/>
    </xf>
    <xf numFmtId="0" fontId="51" fillId="0" borderId="17" xfId="0" applyFont="1" applyFill="1" applyBorder="1"/>
    <xf numFmtId="171" fontId="49" fillId="0" borderId="21" xfId="0" applyNumberFormat="1" applyFont="1" applyBorder="1" applyAlignment="1">
      <alignment horizontal="center"/>
    </xf>
    <xf numFmtId="0" fontId="15" fillId="0" borderId="25" xfId="0" applyFont="1" applyFill="1" applyBorder="1" applyAlignment="1">
      <alignment horizontal="center"/>
    </xf>
    <xf numFmtId="3" fontId="6" fillId="0" borderId="4" xfId="0" applyNumberFormat="1" applyFont="1" applyFill="1" applyBorder="1" applyProtection="1"/>
    <xf numFmtId="3" fontId="24" fillId="0" borderId="4" xfId="0" applyNumberFormat="1" applyFont="1" applyFill="1" applyBorder="1"/>
    <xf numFmtId="9" fontId="24" fillId="0" borderId="4" xfId="0" applyNumberFormat="1" applyFont="1" applyFill="1" applyBorder="1"/>
    <xf numFmtId="169" fontId="24" fillId="0" borderId="44" xfId="0" applyNumberFormat="1" applyFont="1" applyFill="1" applyBorder="1" applyAlignment="1">
      <alignment horizontal="right"/>
    </xf>
    <xf numFmtId="3" fontId="24" fillId="0" borderId="44" xfId="0" applyNumberFormat="1" applyFont="1" applyFill="1" applyBorder="1" applyAlignment="1">
      <alignment horizontal="right"/>
    </xf>
    <xf numFmtId="169" fontId="6" fillId="0" borderId="9" xfId="0" applyNumberFormat="1" applyFont="1" applyFill="1" applyBorder="1" applyAlignment="1"/>
    <xf numFmtId="0" fontId="21" fillId="0" borderId="0" xfId="0" applyNumberFormat="1" applyFont="1" applyFill="1" applyAlignment="1">
      <alignment horizontal="center"/>
    </xf>
    <xf numFmtId="169" fontId="3" fillId="0" borderId="0" xfId="0" applyNumberFormat="1" applyFont="1" applyFill="1" applyAlignment="1"/>
    <xf numFmtId="0" fontId="6" fillId="0" borderId="0" xfId="0" applyNumberFormat="1" applyFont="1" applyFill="1" applyAlignment="1">
      <alignment horizontal="center"/>
    </xf>
    <xf numFmtId="0" fontId="6" fillId="0" borderId="5" xfId="0" applyFont="1" applyFill="1" applyBorder="1"/>
    <xf numFmtId="171" fontId="24" fillId="0" borderId="5" xfId="0" applyNumberFormat="1" applyFont="1" applyFill="1" applyBorder="1"/>
    <xf numFmtId="171" fontId="24" fillId="0" borderId="4" xfId="0" applyNumberFormat="1" applyFont="1" applyFill="1" applyBorder="1"/>
    <xf numFmtId="164" fontId="24" fillId="0" borderId="4" xfId="2" applyNumberFormat="1" applyFont="1" applyFill="1" applyBorder="1"/>
    <xf numFmtId="164" fontId="24" fillId="0" borderId="4" xfId="0" applyNumberFormat="1" applyFont="1" applyFill="1" applyBorder="1"/>
    <xf numFmtId="173" fontId="6" fillId="0" borderId="0" xfId="0" applyNumberFormat="1" applyFont="1" applyFill="1" applyAlignment="1">
      <alignment horizontal="center"/>
    </xf>
    <xf numFmtId="0" fontId="3" fillId="4" borderId="24" xfId="0" applyFont="1" applyFill="1" applyBorder="1" applyAlignment="1">
      <alignment horizontal="center"/>
    </xf>
    <xf numFmtId="164" fontId="24" fillId="0" borderId="12" xfId="2" applyNumberFormat="1" applyFont="1" applyFill="1" applyBorder="1" applyAlignment="1">
      <alignment horizontal="center"/>
    </xf>
    <xf numFmtId="164" fontId="24" fillId="0" borderId="36" xfId="2" applyNumberFormat="1" applyFont="1" applyFill="1" applyBorder="1" applyAlignment="1">
      <alignment horizontal="center"/>
    </xf>
    <xf numFmtId="0" fontId="22" fillId="0" borderId="62" xfId="0" applyFont="1" applyFill="1" applyBorder="1" applyAlignment="1">
      <alignment horizontal="center"/>
    </xf>
    <xf numFmtId="164" fontId="24" fillId="0" borderId="62" xfId="2" applyNumberFormat="1" applyFont="1" applyFill="1" applyBorder="1" applyAlignment="1">
      <alignment horizontal="center"/>
    </xf>
    <xf numFmtId="164" fontId="24" fillId="0" borderId="63" xfId="2" applyNumberFormat="1" applyFont="1" applyFill="1" applyBorder="1" applyAlignment="1">
      <alignment horizontal="center"/>
    </xf>
    <xf numFmtId="0" fontId="86" fillId="5" borderId="8" xfId="0" applyFont="1" applyFill="1" applyBorder="1" applyAlignment="1">
      <alignment vertical="center"/>
    </xf>
    <xf numFmtId="0" fontId="86" fillId="5" borderId="0" xfId="0" applyFont="1" applyFill="1" applyBorder="1" applyAlignment="1">
      <alignment vertical="center" wrapText="1"/>
    </xf>
    <xf numFmtId="0" fontId="28" fillId="0" borderId="11" xfId="0" applyFont="1" applyFill="1" applyBorder="1"/>
    <xf numFmtId="0" fontId="28" fillId="0" borderId="0" xfId="0" applyFont="1" applyFill="1" applyBorder="1"/>
    <xf numFmtId="0" fontId="71" fillId="0" borderId="0" xfId="0" applyNumberFormat="1" applyFont="1" applyFill="1" applyBorder="1" applyAlignment="1">
      <alignment horizontal="center"/>
    </xf>
    <xf numFmtId="0" fontId="28" fillId="0" borderId="0" xfId="0" applyNumberFormat="1" applyFont="1" applyFill="1" applyBorder="1" applyAlignment="1"/>
    <xf numFmtId="0" fontId="28" fillId="0" borderId="9" xfId="0" applyFont="1" applyFill="1" applyBorder="1"/>
    <xf numFmtId="9" fontId="9" fillId="0" borderId="0" xfId="2" applyFont="1" applyFill="1" applyBorder="1" applyAlignment="1">
      <alignment horizontal="right"/>
    </xf>
    <xf numFmtId="0" fontId="75" fillId="0" borderId="0" xfId="3" applyFont="1" applyFill="1" applyBorder="1" applyAlignment="1" applyProtection="1"/>
    <xf numFmtId="0" fontId="3" fillId="0" borderId="0" xfId="0" applyFont="1" applyFill="1" applyBorder="1"/>
    <xf numFmtId="9" fontId="24" fillId="0" borderId="4" xfId="2" applyFont="1" applyFill="1" applyBorder="1" applyAlignment="1">
      <alignment horizontal="right"/>
    </xf>
    <xf numFmtId="0" fontId="28" fillId="0" borderId="4" xfId="0" applyNumberFormat="1" applyFont="1" applyFill="1" applyBorder="1" applyAlignment="1"/>
    <xf numFmtId="0" fontId="71" fillId="0" borderId="4" xfId="0" applyNumberFormat="1" applyFont="1" applyFill="1" applyBorder="1" applyAlignment="1">
      <alignment horizontal="center"/>
    </xf>
    <xf numFmtId="9" fontId="9" fillId="0" borderId="4" xfId="2" applyFont="1" applyFill="1" applyBorder="1" applyAlignment="1">
      <alignment horizontal="right"/>
    </xf>
    <xf numFmtId="169" fontId="6" fillId="0" borderId="4" xfId="2" applyNumberFormat="1" applyFont="1" applyFill="1" applyBorder="1" applyAlignment="1">
      <alignment horizontal="right"/>
    </xf>
    <xf numFmtId="0" fontId="6" fillId="0" borderId="52" xfId="0" applyFont="1" applyFill="1" applyBorder="1"/>
    <xf numFmtId="2" fontId="24" fillId="2" borderId="4" xfId="0" applyNumberFormat="1" applyFont="1" applyFill="1" applyBorder="1" applyAlignment="1">
      <alignment horizontal="right"/>
    </xf>
    <xf numFmtId="164" fontId="24" fillId="0" borderId="12" xfId="2" applyNumberFormat="1" applyFont="1" applyFill="1" applyBorder="1" applyAlignment="1">
      <alignment horizontal="center"/>
    </xf>
    <xf numFmtId="164" fontId="24" fillId="0" borderId="13" xfId="2" applyNumberFormat="1" applyFont="1" applyFill="1" applyBorder="1" applyAlignment="1">
      <alignment horizontal="center"/>
    </xf>
    <xf numFmtId="164" fontId="24" fillId="0" borderId="14" xfId="2" applyNumberFormat="1" applyFont="1" applyFill="1" applyBorder="1" applyAlignment="1">
      <alignment horizontal="center"/>
    </xf>
    <xf numFmtId="164" fontId="24" fillId="0" borderId="36" xfId="2" applyNumberFormat="1" applyFont="1" applyFill="1" applyBorder="1" applyAlignment="1">
      <alignment horizontal="center"/>
    </xf>
    <xf numFmtId="164" fontId="24" fillId="0" borderId="37" xfId="2" applyNumberFormat="1" applyFont="1" applyFill="1" applyBorder="1" applyAlignment="1">
      <alignment horizontal="center"/>
    </xf>
    <xf numFmtId="164" fontId="24" fillId="0" borderId="38" xfId="2" applyNumberFormat="1" applyFont="1" applyFill="1" applyBorder="1" applyAlignment="1">
      <alignment horizontal="center"/>
    </xf>
    <xf numFmtId="0" fontId="3" fillId="0" borderId="62" xfId="0" applyFont="1" applyFill="1" applyBorder="1" applyAlignment="1">
      <alignment horizontal="center"/>
    </xf>
    <xf numFmtId="0" fontId="3" fillId="0" borderId="2" xfId="0" applyFont="1" applyFill="1" applyBorder="1" applyAlignment="1">
      <alignment horizontal="center"/>
    </xf>
    <xf numFmtId="0" fontId="3" fillId="0" borderId="59" xfId="0" applyFont="1" applyFill="1" applyBorder="1" applyAlignment="1">
      <alignment horizontal="center"/>
    </xf>
    <xf numFmtId="0" fontId="22" fillId="0" borderId="62" xfId="0" applyFont="1" applyFill="1" applyBorder="1" applyAlignment="1">
      <alignment horizontal="center"/>
    </xf>
    <xf numFmtId="0" fontId="22" fillId="0" borderId="2" xfId="0" applyFont="1" applyFill="1" applyBorder="1" applyAlignment="1">
      <alignment horizontal="center"/>
    </xf>
    <xf numFmtId="0" fontId="22" fillId="0" borderId="59" xfId="0" applyFont="1" applyFill="1" applyBorder="1" applyAlignment="1">
      <alignment horizontal="center"/>
    </xf>
    <xf numFmtId="164" fontId="24" fillId="0" borderId="62" xfId="2" applyNumberFormat="1" applyFont="1" applyFill="1" applyBorder="1" applyAlignment="1">
      <alignment horizontal="center"/>
    </xf>
    <xf numFmtId="164" fontId="24" fillId="0" borderId="2" xfId="2" applyNumberFormat="1" applyFont="1" applyFill="1" applyBorder="1" applyAlignment="1">
      <alignment horizontal="center"/>
    </xf>
    <xf numFmtId="164" fontId="24" fillId="0" borderId="59" xfId="2" applyNumberFormat="1" applyFont="1" applyFill="1" applyBorder="1" applyAlignment="1">
      <alignment horizontal="center"/>
    </xf>
    <xf numFmtId="164" fontId="24" fillId="0" borderId="63" xfId="2" applyNumberFormat="1" applyFont="1" applyFill="1" applyBorder="1" applyAlignment="1">
      <alignment horizontal="center"/>
    </xf>
    <xf numFmtId="164" fontId="24" fillId="0" borderId="60" xfId="2" applyNumberFormat="1" applyFont="1" applyFill="1" applyBorder="1" applyAlignment="1">
      <alignment horizontal="center"/>
    </xf>
    <xf numFmtId="164" fontId="24" fillId="0" borderId="58" xfId="2" applyNumberFormat="1" applyFont="1" applyFill="1" applyBorder="1" applyAlignment="1">
      <alignment horizontal="center"/>
    </xf>
    <xf numFmtId="0" fontId="65" fillId="0" borderId="0" xfId="0" applyFont="1" applyFill="1" applyBorder="1" applyAlignment="1">
      <alignment horizontal="center"/>
    </xf>
    <xf numFmtId="0" fontId="8" fillId="5" borderId="2" xfId="0" applyFont="1" applyFill="1" applyBorder="1" applyAlignment="1">
      <alignment horizontal="center" vertical="center"/>
    </xf>
    <xf numFmtId="0" fontId="8" fillId="5" borderId="10" xfId="0" applyFont="1" applyFill="1" applyBorder="1" applyAlignment="1">
      <alignment horizontal="center" vertical="center"/>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49" fillId="0" borderId="0" xfId="0" applyFont="1" applyBorder="1" applyAlignment="1">
      <alignment horizontal="center" vertical="center"/>
    </xf>
    <xf numFmtId="0" fontId="49" fillId="0" borderId="0" xfId="0" applyFont="1" applyBorder="1" applyAlignment="1">
      <alignment horizontal="center"/>
    </xf>
    <xf numFmtId="0" fontId="56" fillId="6" borderId="1"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66" fillId="0" borderId="19"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2" xfId="0" applyFont="1" applyBorder="1" applyAlignment="1">
      <alignment horizontal="center"/>
    </xf>
    <xf numFmtId="0" fontId="66" fillId="0" borderId="14" xfId="0" applyFont="1" applyBorder="1" applyAlignment="1">
      <alignment horizontal="center"/>
    </xf>
    <xf numFmtId="0" fontId="3" fillId="8" borderId="0" xfId="0" applyNumberFormat="1" applyFont="1" applyFill="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78" fontId="3" fillId="11" borderId="1" xfId="0" applyNumberFormat="1" applyFont="1" applyFill="1" applyBorder="1" applyAlignment="1">
      <alignment horizontal="left"/>
    </xf>
    <xf numFmtId="178" fontId="3" fillId="11" borderId="3" xfId="0" applyNumberFormat="1" applyFont="1" applyFill="1" applyBorder="1" applyAlignment="1">
      <alignment horizontal="left"/>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8" fillId="0" borderId="12" xfId="0" applyFont="1" applyBorder="1" applyAlignment="1">
      <alignment horizontal="left" wrapText="1"/>
    </xf>
    <xf numFmtId="0" fontId="28" fillId="0" borderId="14" xfId="0" applyFont="1" applyBorder="1" applyAlignment="1">
      <alignment horizontal="left" wrapText="1"/>
    </xf>
  </cellXfs>
  <cellStyles count="6">
    <cellStyle name="Comma" xfId="5" builtinId="3"/>
    <cellStyle name="Currency" xfId="1" builtinId="4"/>
    <cellStyle name="Hyperlink" xfId="3" builtinId="8"/>
    <cellStyle name="Normal" xfId="0" builtinId="0"/>
    <cellStyle name="Percent" xfId="2" builtinId="5"/>
    <cellStyle name="Percent 2" xfId="4" xr:uid="{00000000-0005-0000-0000-000005000000}"/>
  </cellStyles>
  <dxfs count="14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ont>
        <color rgb="FF0070C0"/>
      </font>
      <fill>
        <patternFill>
          <bgColor theme="0"/>
        </patternFill>
      </fill>
    </dxf>
    <dxf>
      <font>
        <color rgb="FF0070C0"/>
      </font>
      <fill>
        <patternFill>
          <bgColor theme="0"/>
        </patternFill>
      </fill>
    </dxf>
    <dxf>
      <fill>
        <patternFill patternType="none">
          <bgColor auto="1"/>
        </patternFill>
      </fill>
    </dxf>
    <dxf>
      <fill>
        <patternFill>
          <bgColor rgb="FF00B050"/>
        </patternFill>
      </fill>
    </dxf>
    <dxf>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00B05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ont>
        <color theme="3" tint="0.39994506668294322"/>
      </font>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theme="0" tint="-0.14996795556505021"/>
      </font>
      <fill>
        <patternFill>
          <bgColor theme="0" tint="-0.14996795556505021"/>
        </patternFill>
      </fill>
    </dxf>
    <dxf>
      <fill>
        <patternFill>
          <bgColor rgb="FF00B050"/>
        </patternFill>
      </fill>
    </dxf>
    <dxf>
      <fill>
        <patternFill>
          <bgColor rgb="FF00B050"/>
        </patternFill>
      </fill>
    </dxf>
    <dxf>
      <font>
        <color theme="0" tint="-0.14996795556505021"/>
      </font>
      <fill>
        <patternFill>
          <bgColor theme="0" tint="-0.1499679555650502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99"/>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"$"#,##0_);[Red]\("$"#,##0\)</c:formatCode>
                <c:ptCount val="31"/>
                <c:pt idx="0">
                  <c:v>-1687499.9999999998</c:v>
                </c:pt>
                <c:pt idx="1">
                  <c:v>-1293365.1832499187</c:v>
                </c:pt>
                <c:pt idx="2">
                  <c:v>-731414.18699975498</c:v>
                </c:pt>
                <c:pt idx="3">
                  <c:v>-358404.37204619008</c:v>
                </c:pt>
                <c:pt idx="4">
                  <c:v>-101438.32547403837</c:v>
                </c:pt>
                <c:pt idx="5">
                  <c:v>148929.34994152377</c:v>
                </c:pt>
                <c:pt idx="6">
                  <c:v>310133.13944444462</c:v>
                </c:pt>
                <c:pt idx="7">
                  <c:v>381938.55922819063</c:v>
                </c:pt>
                <c:pt idx="8">
                  <c:v>446364.16922930523</c:v>
                </c:pt>
                <c:pt idx="9">
                  <c:v>503094.28877927811</c:v>
                </c:pt>
                <c:pt idx="10">
                  <c:v>551746.31456215319</c:v>
                </c:pt>
                <c:pt idx="11">
                  <c:v>497970.88647319347</c:v>
                </c:pt>
                <c:pt idx="12">
                  <c:v>433390.65620787855</c:v>
                </c:pt>
                <c:pt idx="13">
                  <c:v>357508.71354209073</c:v>
                </c:pt>
                <c:pt idx="14">
                  <c:v>639407.80116367724</c:v>
                </c:pt>
                <c:pt idx="15">
                  <c:v>791969.71504578227</c:v>
                </c:pt>
                <c:pt idx="16">
                  <c:v>938349.47841131652</c:v>
                </c:pt>
                <c:pt idx="17">
                  <c:v>1078439.5295830735</c:v>
                </c:pt>
                <c:pt idx="18">
                  <c:v>1212799.6782934275</c:v>
                </c:pt>
                <c:pt idx="19">
                  <c:v>1341315.6334700256</c:v>
                </c:pt>
                <c:pt idx="20">
                  <c:v>1676060.8478144356</c:v>
                </c:pt>
                <c:pt idx="21">
                  <c:v>1676060.8478144356</c:v>
                </c:pt>
                <c:pt idx="22">
                  <c:v>1676060.8478144356</c:v>
                </c:pt>
                <c:pt idx="23">
                  <c:v>1676060.8478144356</c:v>
                </c:pt>
                <c:pt idx="24">
                  <c:v>1676060.8478144356</c:v>
                </c:pt>
                <c:pt idx="25">
                  <c:v>1676060.8478144356</c:v>
                </c:pt>
                <c:pt idx="26">
                  <c:v>1676060.8478144356</c:v>
                </c:pt>
                <c:pt idx="27">
                  <c:v>1676060.8478144356</c:v>
                </c:pt>
                <c:pt idx="28">
                  <c:v>1676060.8478144356</c:v>
                </c:pt>
                <c:pt idx="29">
                  <c:v>1676060.8478144356</c:v>
                </c:pt>
                <c:pt idx="30">
                  <c:v>1676060.8478144356</c:v>
                </c:pt>
              </c:numCache>
            </c:numRef>
          </c:val>
          <c:smooth val="0"/>
          <c:extLst>
            <c:ext xmlns:c16="http://schemas.microsoft.com/office/drawing/2014/chart" uri="{C3380CC4-5D6E-409C-BE32-E72D297353CC}">
              <c16:uniqueId val="{00000000-3164-3640-9DE8-8C7B4912794F}"/>
            </c:ext>
          </c:extLst>
        </c:ser>
        <c:dLbls>
          <c:showLegendKey val="0"/>
          <c:showVal val="0"/>
          <c:showCatName val="0"/>
          <c:showSerName val="0"/>
          <c:showPercent val="0"/>
          <c:showBubbleSize val="0"/>
        </c:dLbls>
        <c:smooth val="0"/>
        <c:axId val="140104832"/>
        <c:axId val="140757248"/>
      </c:lineChart>
      <c:catAx>
        <c:axId val="140104832"/>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40757248"/>
        <c:crosses val="autoZero"/>
        <c:auto val="1"/>
        <c:lblAlgn val="ctr"/>
        <c:lblOffset val="100"/>
        <c:tickLblSkip val="5"/>
        <c:noMultiLvlLbl val="0"/>
      </c:catAx>
      <c:valAx>
        <c:axId val="140757248"/>
        <c:scaling>
          <c:orientation val="minMax"/>
        </c:scaling>
        <c:delete val="0"/>
        <c:axPos val="l"/>
        <c:title>
          <c:tx>
            <c:rich>
              <a:bodyPr rot="-5400000" vert="horz"/>
              <a:lstStyle/>
              <a:p>
                <a:pPr>
                  <a:defRPr sz="1100" b="1"/>
                </a:pPr>
                <a:r>
                  <a:rPr lang="en-US" sz="1100" b="1"/>
                  <a:t>Cumulative Cash Flow ($)</a:t>
                </a:r>
              </a:p>
            </c:rich>
          </c:tx>
          <c:overlay val="0"/>
        </c:title>
        <c:numFmt formatCode="&quot;$&quot;#,##0_);[Red]\(&quot;$&quot;#,##0\)" sourceLinked="1"/>
        <c:majorTickMark val="out"/>
        <c:minorTickMark val="none"/>
        <c:tickLblPos val="nextTo"/>
        <c:crossAx val="140104832"/>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21" l="0.70000000000000062" r="0.70000000000000062" t="0.7500000000000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(Liability) v. </a:t>
            </a:r>
          </a:p>
          <a:p>
            <a:pPr>
              <a:defRPr/>
            </a:pPr>
            <a:r>
              <a:rPr lang="en-US"/>
              <a:t>Expenses + Cash Obligations</a:t>
            </a:r>
          </a:p>
        </c:rich>
      </c:tx>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"$"#,##0_);[Red]\("$"#,##0\)</c:formatCode>
                <c:ptCount val="31"/>
                <c:pt idx="1">
                  <c:v>597667.87428103061</c:v>
                </c:pt>
                <c:pt idx="2">
                  <c:v>604685.63428103062</c:v>
                </c:pt>
                <c:pt idx="3">
                  <c:v>611843.74948103074</c:v>
                </c:pt>
                <c:pt idx="4">
                  <c:v>619145.02698503062</c:v>
                </c:pt>
                <c:pt idx="5">
                  <c:v>626592.33003911073</c:v>
                </c:pt>
                <c:pt idx="6">
                  <c:v>634188.57915427221</c:v>
                </c:pt>
                <c:pt idx="7">
                  <c:v>641936.7532517371</c:v>
                </c:pt>
                <c:pt idx="8">
                  <c:v>649839.89083115128</c:v>
                </c:pt>
                <c:pt idx="9">
                  <c:v>657901.09116215352</c:v>
                </c:pt>
                <c:pt idx="10">
                  <c:v>666123.51549977611</c:v>
                </c:pt>
                <c:pt idx="11">
                  <c:v>674510.38832415105</c:v>
                </c:pt>
                <c:pt idx="12">
                  <c:v>683064.99860501348</c:v>
                </c:pt>
                <c:pt idx="13">
                  <c:v>691790.70109149301</c:v>
                </c:pt>
                <c:pt idx="14">
                  <c:v>330521.10620615631</c:v>
                </c:pt>
                <c:pt idx="15">
                  <c:v>462989.26421360514</c:v>
                </c:pt>
                <c:pt idx="16">
                  <c:v>472249.04949787725</c:v>
                </c:pt>
                <c:pt idx="17">
                  <c:v>481694.03048783483</c:v>
                </c:pt>
                <c:pt idx="18">
                  <c:v>491327.91109759163</c:v>
                </c:pt>
                <c:pt idx="19">
                  <c:v>501154.46931954345</c:v>
                </c:pt>
                <c:pt idx="20">
                  <c:v>298036.17135586828</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1B8B-DC4F-B5A6-D05AEED76D53}"/>
            </c:ext>
          </c:extLst>
        </c:ser>
        <c:dLbls>
          <c:showLegendKey val="0"/>
          <c:showVal val="0"/>
          <c:showCatName val="0"/>
          <c:showSerName val="0"/>
          <c:showPercent val="0"/>
          <c:showBubbleSize val="0"/>
        </c:dLbls>
        <c:axId val="107671936"/>
        <c:axId val="107673856"/>
      </c:areaChart>
      <c:lineChart>
        <c:grouping val="standard"/>
        <c:varyColors val="0"/>
        <c:ser>
          <c:idx val="0"/>
          <c:order val="0"/>
          <c:tx>
            <c:strRef>
              <c:f>'Annual Cash Flows &amp; Returns'!$R$4</c:f>
              <c:strCache>
                <c:ptCount val="1"/>
                <c:pt idx="0">
                  <c:v>Revenue + Tax Benefit/(Liability)</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"$"#,##0_);[Red]\("$"#,##0\)</c:formatCode>
                <c:ptCount val="31"/>
                <c:pt idx="1">
                  <c:v>991802.69103111164</c:v>
                </c:pt>
                <c:pt idx="2">
                  <c:v>1166636.6305311944</c:v>
                </c:pt>
                <c:pt idx="3">
                  <c:v>984853.56443459552</c:v>
                </c:pt>
                <c:pt idx="4">
                  <c:v>876111.07355718245</c:v>
                </c:pt>
                <c:pt idx="5">
                  <c:v>876960.00545467285</c:v>
                </c:pt>
                <c:pt idx="6">
                  <c:v>795392.36865719303</c:v>
                </c:pt>
                <c:pt idx="7">
                  <c:v>713742.17303548311</c:v>
                </c:pt>
                <c:pt idx="8">
                  <c:v>714265.50083226583</c:v>
                </c:pt>
                <c:pt idx="9">
                  <c:v>714631.21071212646</c:v>
                </c:pt>
                <c:pt idx="10">
                  <c:v>714775.54128265113</c:v>
                </c:pt>
                <c:pt idx="11">
                  <c:v>620734.96023519128</c:v>
                </c:pt>
                <c:pt idx="12">
                  <c:v>618484.76833969855</c:v>
                </c:pt>
                <c:pt idx="13">
                  <c:v>615908.75842570525</c:v>
                </c:pt>
                <c:pt idx="14">
                  <c:v>612420.19382774283</c:v>
                </c:pt>
                <c:pt idx="15">
                  <c:v>615551.17809571011</c:v>
                </c:pt>
                <c:pt idx="16">
                  <c:v>618628.8128634115</c:v>
                </c:pt>
                <c:pt idx="17">
                  <c:v>621784.08165959176</c:v>
                </c:pt>
                <c:pt idx="18">
                  <c:v>625688.05980794574</c:v>
                </c:pt>
                <c:pt idx="19">
                  <c:v>629670.42449614173</c:v>
                </c:pt>
                <c:pt idx="20">
                  <c:v>632781.3857002781</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1B8B-DC4F-B5A6-D05AEED76D53}"/>
            </c:ext>
          </c:extLst>
        </c:ser>
        <c:dLbls>
          <c:showLegendKey val="0"/>
          <c:showVal val="0"/>
          <c:showCatName val="0"/>
          <c:showSerName val="0"/>
          <c:showPercent val="0"/>
          <c:showBubbleSize val="0"/>
        </c:dLbls>
        <c:marker val="1"/>
        <c:smooth val="0"/>
        <c:axId val="107671936"/>
        <c:axId val="107673856"/>
      </c:lineChart>
      <c:catAx>
        <c:axId val="107671936"/>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7673856"/>
        <c:crosses val="autoZero"/>
        <c:auto val="1"/>
        <c:lblAlgn val="ctr"/>
        <c:lblOffset val="100"/>
        <c:tickLblSkip val="5"/>
        <c:noMultiLvlLbl val="0"/>
      </c:catAx>
      <c:valAx>
        <c:axId val="107673856"/>
        <c:scaling>
          <c:orientation val="minMax"/>
        </c:scaling>
        <c:delete val="0"/>
        <c:axPos val="l"/>
        <c:title>
          <c:tx>
            <c:rich>
              <a:bodyPr rot="-5400000" vert="horz"/>
              <a:lstStyle/>
              <a:p>
                <a:pPr>
                  <a:defRPr sz="1100" b="1"/>
                </a:pPr>
                <a:r>
                  <a:rPr lang="en-US" sz="1100" b="1"/>
                  <a:t>( $)</a:t>
                </a:r>
              </a:p>
            </c:rich>
          </c:tx>
          <c:overlay val="0"/>
        </c:title>
        <c:numFmt formatCode="&quot;$&quot;#,##0" sourceLinked="0"/>
        <c:majorTickMark val="out"/>
        <c:minorTickMark val="none"/>
        <c:tickLblPos val="nextTo"/>
        <c:crossAx val="107671936"/>
        <c:crosses val="autoZero"/>
        <c:crossBetween val="between"/>
      </c:valAx>
      <c:spPr>
        <a:solidFill>
          <a:srgbClr val="FFFF99"/>
        </a:solidFill>
      </c:spPr>
    </c:plotArea>
    <c:legend>
      <c:legendPos val="r"/>
      <c:overlay val="1"/>
    </c:legend>
    <c:plotVisOnly val="1"/>
    <c:dispBlanksAs val="gap"/>
    <c:showDLblsOverMax val="0"/>
  </c:chart>
  <c:spPr>
    <a:solidFill>
      <a:srgbClr val="FFFF99"/>
    </a:solidFill>
  </c:spPr>
  <c:printSettings>
    <c:headerFooter/>
    <c:pageMargins b="0.75000000000001232" l="0.70000000000000062" r="0.70000000000000062" t="0.7500000000000123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sireusa.org/incentives/index.cfm?state=us&amp;re=1&amp;EE=1" TargetMode="External"/><Relationship Id="rId7" Type="http://schemas.openxmlformats.org/officeDocument/2006/relationships/vmlDrawing" Target="../drawings/vmlDrawing1.vml"/><Relationship Id="rId2" Type="http://schemas.openxmlformats.org/officeDocument/2006/relationships/hyperlink" Target="http://dsireusa.org/incentives/incentive.cfm?Incentive_Code=US02F&amp;re=1&amp;ee=1" TargetMode="External"/><Relationship Id="rId1" Type="http://schemas.openxmlformats.org/officeDocument/2006/relationships/hyperlink" Target="http://dsireusa.org/" TargetMode="External"/><Relationship Id="rId6" Type="http://schemas.openxmlformats.org/officeDocument/2006/relationships/printerSettings" Target="../printerSettings/printerSettings1.bin"/><Relationship Id="rId5" Type="http://schemas.openxmlformats.org/officeDocument/2006/relationships/hyperlink" Target="http://financere.nrel.gov/finance/content/crest-model" TargetMode="External"/><Relationship Id="rId4" Type="http://schemas.openxmlformats.org/officeDocument/2006/relationships/hyperlink" Target="http://financere.nrel.gov/finance/content/crest-mode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R43"/>
  <sheetViews>
    <sheetView showGridLines="0" zoomScale="90" zoomScaleNormal="90" workbookViewId="0">
      <pane ySplit="4" topLeftCell="A5" activePane="bottomLeft" state="frozen"/>
      <selection pane="bottomLeft" activeCell="C4" sqref="C4"/>
    </sheetView>
  </sheetViews>
  <sheetFormatPr baseColWidth="10" defaultColWidth="9.1640625" defaultRowHeight="16"/>
  <cols>
    <col min="1" max="1" width="2.6640625" style="156" customWidth="1"/>
    <col min="2" max="2" width="26.6640625" style="156" customWidth="1"/>
    <col min="3" max="3" width="140.1640625" style="156" customWidth="1"/>
    <col min="4" max="4" width="16.83203125" style="156" customWidth="1"/>
    <col min="5" max="12" width="9.1640625" style="156"/>
    <col min="13" max="14" width="9.5" style="156" customWidth="1"/>
    <col min="15" max="15" width="5.33203125" style="156" customWidth="1"/>
    <col min="16" max="16384" width="9.1640625" style="156"/>
  </cols>
  <sheetData>
    <row r="1" spans="2:18" ht="9" customHeight="1" thickBot="1"/>
    <row r="2" spans="2:18" ht="30" customHeight="1">
      <c r="B2" s="224" t="s">
        <v>178</v>
      </c>
      <c r="C2" s="225" t="s">
        <v>328</v>
      </c>
      <c r="D2" s="226"/>
      <c r="E2" s="151"/>
      <c r="F2" s="151"/>
      <c r="G2" s="151"/>
      <c r="H2" s="151"/>
      <c r="I2" s="151"/>
      <c r="J2" s="151"/>
      <c r="K2" s="151"/>
      <c r="L2" s="151"/>
      <c r="M2" s="151"/>
      <c r="N2" s="151"/>
      <c r="P2" s="149"/>
      <c r="Q2" s="150"/>
      <c r="R2" s="150"/>
    </row>
    <row r="3" spans="2:18" ht="30" customHeight="1">
      <c r="B3" s="311" t="s">
        <v>196</v>
      </c>
      <c r="C3" s="312" t="s">
        <v>484</v>
      </c>
      <c r="D3" s="313"/>
      <c r="E3" s="151"/>
      <c r="F3" s="151"/>
      <c r="G3" s="151"/>
      <c r="H3" s="151"/>
      <c r="I3" s="151"/>
      <c r="J3" s="151"/>
      <c r="K3" s="151"/>
      <c r="L3" s="151"/>
      <c r="M3" s="151"/>
      <c r="N3" s="151"/>
      <c r="P3" s="149"/>
      <c r="Q3" s="150"/>
      <c r="R3" s="150"/>
    </row>
    <row r="4" spans="2:18" ht="60" customHeight="1" thickBot="1">
      <c r="B4" s="760" t="s">
        <v>485</v>
      </c>
      <c r="C4" s="761" t="s">
        <v>486</v>
      </c>
      <c r="D4" s="313"/>
      <c r="E4" s="151"/>
      <c r="F4" s="151"/>
      <c r="G4" s="151"/>
      <c r="H4" s="151"/>
      <c r="I4" s="151"/>
      <c r="J4" s="151"/>
      <c r="K4" s="151"/>
      <c r="L4" s="151"/>
      <c r="M4" s="151"/>
      <c r="N4" s="151"/>
      <c r="P4" s="149"/>
      <c r="Q4" s="150"/>
      <c r="R4" s="150"/>
    </row>
    <row r="5" spans="2:18" ht="30" customHeight="1">
      <c r="B5" s="688" t="s">
        <v>394</v>
      </c>
      <c r="C5" s="689" t="s">
        <v>395</v>
      </c>
      <c r="D5" s="228"/>
      <c r="E5" s="151"/>
      <c r="F5" s="151"/>
      <c r="G5" s="151"/>
      <c r="H5" s="151"/>
      <c r="I5" s="151"/>
      <c r="J5" s="151"/>
      <c r="K5" s="151"/>
      <c r="L5" s="151"/>
      <c r="M5" s="151"/>
      <c r="N5" s="151"/>
      <c r="P5" s="150"/>
      <c r="Q5" s="150"/>
      <c r="R5" s="150"/>
    </row>
    <row r="6" spans="2:18" ht="60" customHeight="1">
      <c r="B6" s="518" t="s">
        <v>396</v>
      </c>
      <c r="C6" s="232" t="s">
        <v>397</v>
      </c>
      <c r="D6" s="228"/>
      <c r="E6" s="151"/>
      <c r="F6" s="151"/>
      <c r="G6" s="151"/>
      <c r="H6" s="151"/>
      <c r="I6" s="151"/>
      <c r="J6" s="151"/>
      <c r="K6" s="151"/>
      <c r="L6" s="151"/>
      <c r="M6" s="151"/>
      <c r="N6" s="151"/>
      <c r="P6" s="150"/>
      <c r="Q6" s="150"/>
      <c r="R6" s="150"/>
    </row>
    <row r="7" spans="2:18" ht="60" customHeight="1">
      <c r="B7" s="518" t="s">
        <v>398</v>
      </c>
      <c r="C7" s="232" t="s">
        <v>399</v>
      </c>
      <c r="D7" s="228"/>
      <c r="E7" s="151"/>
      <c r="F7" s="151"/>
      <c r="G7" s="151"/>
      <c r="H7" s="151"/>
      <c r="I7" s="151"/>
      <c r="J7" s="151"/>
      <c r="K7" s="151"/>
      <c r="L7" s="151"/>
      <c r="M7" s="151"/>
      <c r="N7" s="151"/>
      <c r="P7" s="150"/>
      <c r="Q7" s="150"/>
      <c r="R7" s="150"/>
    </row>
    <row r="8" spans="2:18">
      <c r="B8" s="227"/>
      <c r="C8" s="229"/>
      <c r="D8" s="230"/>
      <c r="E8" s="152"/>
      <c r="F8" s="152"/>
      <c r="G8" s="152"/>
      <c r="H8" s="152"/>
      <c r="I8" s="152"/>
      <c r="J8" s="152"/>
      <c r="K8" s="152"/>
      <c r="L8" s="152"/>
      <c r="M8" s="152"/>
      <c r="N8" s="152"/>
      <c r="P8" s="150"/>
      <c r="Q8" s="150"/>
      <c r="R8" s="150"/>
    </row>
    <row r="9" spans="2:18" ht="102">
      <c r="B9" s="231" t="s">
        <v>179</v>
      </c>
      <c r="C9" s="232" t="s">
        <v>392</v>
      </c>
      <c r="D9" s="233"/>
      <c r="E9" s="153"/>
      <c r="F9" s="153"/>
      <c r="G9" s="153"/>
      <c r="H9" s="153"/>
      <c r="I9" s="153"/>
      <c r="J9" s="153"/>
      <c r="K9" s="153"/>
      <c r="L9" s="153"/>
      <c r="M9" s="153"/>
      <c r="N9" s="153"/>
      <c r="P9" s="149"/>
      <c r="Q9" s="150"/>
      <c r="R9" s="150"/>
    </row>
    <row r="10" spans="2:18" ht="17">
      <c r="B10" s="231"/>
      <c r="C10" s="686" t="s">
        <v>380</v>
      </c>
      <c r="D10" s="233"/>
      <c r="E10" s="153"/>
      <c r="F10" s="153"/>
      <c r="G10" s="153"/>
      <c r="H10" s="153"/>
      <c r="I10" s="153"/>
      <c r="J10" s="153"/>
      <c r="K10" s="153"/>
      <c r="L10" s="153"/>
      <c r="M10" s="153"/>
      <c r="N10" s="153"/>
      <c r="P10" s="149"/>
      <c r="Q10" s="150"/>
      <c r="R10" s="150"/>
    </row>
    <row r="11" spans="2:18">
      <c r="B11" s="231"/>
      <c r="C11" s="232"/>
      <c r="D11" s="233"/>
      <c r="E11" s="153"/>
      <c r="F11" s="153"/>
      <c r="G11" s="153"/>
      <c r="H11" s="153"/>
      <c r="I11" s="153"/>
      <c r="J11" s="153"/>
      <c r="K11" s="153"/>
      <c r="L11" s="153"/>
      <c r="M11" s="153"/>
      <c r="N11" s="153"/>
      <c r="P11" s="149"/>
      <c r="Q11" s="150"/>
      <c r="R11" s="150"/>
    </row>
    <row r="12" spans="2:18" ht="64.5" customHeight="1">
      <c r="B12" s="237" t="s">
        <v>342</v>
      </c>
      <c r="C12" s="232" t="s">
        <v>382</v>
      </c>
      <c r="D12" s="233"/>
      <c r="E12" s="153"/>
      <c r="F12" s="153"/>
      <c r="G12" s="153"/>
      <c r="H12" s="153"/>
      <c r="I12" s="153"/>
      <c r="J12" s="153"/>
      <c r="K12" s="153"/>
      <c r="L12" s="153"/>
      <c r="M12" s="153"/>
      <c r="N12" s="153"/>
      <c r="P12" s="149"/>
      <c r="Q12" s="150"/>
      <c r="R12" s="150"/>
    </row>
    <row r="13" spans="2:18" ht="17">
      <c r="B13" s="237"/>
      <c r="C13" s="686" t="s">
        <v>380</v>
      </c>
      <c r="D13" s="233"/>
      <c r="E13" s="153"/>
      <c r="F13" s="153"/>
      <c r="G13" s="153"/>
      <c r="H13" s="153"/>
      <c r="I13" s="153"/>
      <c r="J13" s="153"/>
      <c r="K13" s="153"/>
      <c r="L13" s="153"/>
      <c r="M13" s="153"/>
      <c r="N13" s="153"/>
      <c r="P13" s="149"/>
      <c r="Q13" s="150"/>
      <c r="R13" s="150"/>
    </row>
    <row r="14" spans="2:18" ht="17">
      <c r="B14" s="237"/>
      <c r="C14" s="232" t="s">
        <v>381</v>
      </c>
      <c r="D14" s="233"/>
      <c r="E14" s="153"/>
      <c r="F14" s="153"/>
      <c r="G14" s="153"/>
      <c r="H14" s="153"/>
      <c r="I14" s="153"/>
      <c r="J14" s="153"/>
      <c r="K14" s="153"/>
      <c r="L14" s="153"/>
      <c r="M14" s="153"/>
      <c r="N14" s="153"/>
      <c r="P14" s="149"/>
      <c r="Q14" s="150"/>
      <c r="R14" s="150"/>
    </row>
    <row r="15" spans="2:18">
      <c r="B15" s="234"/>
      <c r="C15" s="235"/>
      <c r="D15" s="236"/>
      <c r="E15" s="154"/>
      <c r="F15" s="154"/>
      <c r="G15" s="154"/>
      <c r="H15" s="154"/>
      <c r="I15" s="154"/>
      <c r="J15" s="154"/>
      <c r="K15" s="154"/>
      <c r="L15" s="154"/>
      <c r="M15" s="154"/>
      <c r="N15" s="154"/>
      <c r="P15" s="150"/>
      <c r="Q15" s="150"/>
      <c r="R15" s="150"/>
    </row>
    <row r="16" spans="2:18" ht="102">
      <c r="B16" s="237" t="s">
        <v>188</v>
      </c>
      <c r="C16" s="310" t="s">
        <v>368</v>
      </c>
      <c r="D16" s="239"/>
      <c r="E16" s="155"/>
      <c r="F16" s="155"/>
      <c r="G16" s="155"/>
      <c r="H16" s="155"/>
      <c r="I16" s="155"/>
      <c r="J16" s="155"/>
      <c r="K16" s="155"/>
      <c r="L16" s="155"/>
      <c r="M16" s="155"/>
      <c r="N16" s="155"/>
      <c r="P16" s="150"/>
      <c r="Q16" s="150"/>
      <c r="R16" s="150"/>
    </row>
    <row r="17" spans="2:18" ht="17">
      <c r="B17" s="237"/>
      <c r="C17" s="238"/>
      <c r="D17" s="519" t="s">
        <v>343</v>
      </c>
      <c r="E17" s="155"/>
      <c r="F17" s="155"/>
      <c r="G17" s="155"/>
      <c r="H17" s="155"/>
      <c r="I17" s="155"/>
      <c r="J17" s="155"/>
      <c r="K17" s="155"/>
      <c r="L17" s="155"/>
      <c r="M17" s="155"/>
      <c r="N17" s="155"/>
      <c r="P17" s="150"/>
      <c r="Q17" s="150"/>
      <c r="R17" s="150"/>
    </row>
    <row r="18" spans="2:18" ht="34">
      <c r="B18" s="237" t="s">
        <v>197</v>
      </c>
      <c r="C18" s="232" t="s">
        <v>314</v>
      </c>
      <c r="D18" s="671" t="s">
        <v>344</v>
      </c>
      <c r="E18" s="155"/>
      <c r="F18" s="155"/>
      <c r="G18" s="155"/>
      <c r="H18" s="155"/>
      <c r="I18" s="155"/>
      <c r="J18" s="155"/>
      <c r="K18" s="155"/>
      <c r="L18" s="155"/>
      <c r="M18" s="155"/>
      <c r="N18" s="155"/>
      <c r="P18" s="150"/>
      <c r="Q18" s="150"/>
      <c r="R18" s="150"/>
    </row>
    <row r="19" spans="2:18" ht="30" customHeight="1">
      <c r="B19" s="237"/>
      <c r="C19" s="314" t="s">
        <v>189</v>
      </c>
      <c r="D19" s="520" t="s">
        <v>345</v>
      </c>
      <c r="E19" s="154"/>
      <c r="F19" s="154"/>
      <c r="G19" s="154"/>
      <c r="H19" s="154"/>
      <c r="I19" s="154"/>
      <c r="J19" s="154"/>
      <c r="K19" s="154"/>
      <c r="L19" s="154"/>
      <c r="M19" s="154"/>
      <c r="N19" s="154"/>
      <c r="P19" s="150"/>
      <c r="Q19" s="150"/>
      <c r="R19" s="150"/>
    </row>
    <row r="20" spans="2:18" ht="30" customHeight="1">
      <c r="B20" s="237"/>
      <c r="C20" s="315" t="s">
        <v>198</v>
      </c>
      <c r="D20" s="521"/>
      <c r="E20" s="155"/>
      <c r="F20" s="155"/>
      <c r="G20" s="155"/>
      <c r="H20" s="155"/>
      <c r="I20" s="155"/>
      <c r="J20" s="155"/>
      <c r="K20" s="155"/>
      <c r="L20" s="155"/>
      <c r="M20" s="155"/>
      <c r="N20" s="155"/>
      <c r="P20" s="149"/>
      <c r="Q20" s="150"/>
      <c r="R20" s="150"/>
    </row>
    <row r="21" spans="2:18" ht="30" customHeight="1">
      <c r="B21" s="237"/>
      <c r="C21" s="315" t="s">
        <v>315</v>
      </c>
      <c r="D21" s="522"/>
      <c r="E21" s="157"/>
      <c r="F21" s="157"/>
      <c r="G21" s="157"/>
      <c r="H21" s="157"/>
      <c r="I21" s="157"/>
      <c r="J21" s="157"/>
      <c r="K21" s="157"/>
      <c r="L21" s="157"/>
      <c r="M21" s="157"/>
      <c r="N21" s="157"/>
      <c r="P21" s="150"/>
      <c r="Q21" s="150"/>
      <c r="R21" s="150"/>
    </row>
    <row r="22" spans="2:18" ht="30" customHeight="1">
      <c r="B22" s="237"/>
      <c r="C22" s="314" t="s">
        <v>316</v>
      </c>
      <c r="D22" s="523" t="s">
        <v>346</v>
      </c>
      <c r="E22" s="158"/>
      <c r="F22" s="158"/>
      <c r="G22" s="158"/>
      <c r="H22" s="158"/>
      <c r="I22" s="158"/>
      <c r="J22" s="158"/>
      <c r="K22" s="158"/>
      <c r="L22" s="158"/>
      <c r="M22" s="158"/>
      <c r="N22" s="158"/>
    </row>
    <row r="23" spans="2:18" ht="51">
      <c r="B23" s="237"/>
      <c r="C23" s="315" t="s">
        <v>317</v>
      </c>
      <c r="D23" s="524" t="s">
        <v>7</v>
      </c>
      <c r="E23" s="157"/>
      <c r="F23" s="157"/>
      <c r="G23" s="157"/>
      <c r="H23" s="157"/>
      <c r="I23" s="157"/>
      <c r="J23" s="157"/>
      <c r="K23" s="157"/>
      <c r="L23" s="157"/>
      <c r="M23" s="157"/>
      <c r="N23" s="157"/>
    </row>
    <row r="24" spans="2:18" ht="15" customHeight="1">
      <c r="B24" s="237"/>
      <c r="C24" s="240"/>
      <c r="D24" s="239"/>
      <c r="E24" s="157"/>
      <c r="F24" s="157"/>
      <c r="G24" s="157"/>
      <c r="H24" s="157"/>
      <c r="I24" s="157"/>
      <c r="J24" s="157"/>
      <c r="K24" s="157"/>
      <c r="L24" s="157"/>
      <c r="M24" s="157"/>
      <c r="N24" s="157"/>
    </row>
    <row r="25" spans="2:18" ht="153">
      <c r="B25" s="237" t="s">
        <v>264</v>
      </c>
      <c r="C25" s="238" t="s">
        <v>347</v>
      </c>
      <c r="D25" s="239"/>
      <c r="E25" s="155"/>
      <c r="F25" s="155"/>
      <c r="G25" s="155"/>
      <c r="H25" s="155"/>
      <c r="I25" s="155"/>
      <c r="J25" s="155"/>
      <c r="K25" s="155"/>
      <c r="L25" s="155"/>
      <c r="M25" s="155"/>
      <c r="N25" s="155"/>
    </row>
    <row r="26" spans="2:18">
      <c r="B26" s="237"/>
      <c r="C26" s="238"/>
      <c r="D26" s="239"/>
      <c r="E26" s="155"/>
      <c r="F26" s="155"/>
      <c r="G26" s="155"/>
      <c r="H26" s="155"/>
      <c r="I26" s="155"/>
      <c r="J26" s="155"/>
      <c r="K26" s="155"/>
      <c r="L26" s="155"/>
      <c r="M26" s="155"/>
      <c r="N26" s="155"/>
    </row>
    <row r="27" spans="2:18" ht="85">
      <c r="B27" s="237" t="s">
        <v>265</v>
      </c>
      <c r="C27" s="310" t="s">
        <v>318</v>
      </c>
      <c r="D27" s="241"/>
      <c r="E27" s="159"/>
      <c r="F27" s="159"/>
      <c r="G27" s="159"/>
      <c r="H27" s="159"/>
      <c r="I27" s="159"/>
      <c r="J27" s="159"/>
      <c r="K27" s="159"/>
      <c r="L27" s="159"/>
      <c r="M27" s="159"/>
      <c r="N27" s="159"/>
    </row>
    <row r="28" spans="2:18">
      <c r="B28" s="237"/>
      <c r="C28" s="310"/>
      <c r="D28" s="241"/>
      <c r="E28" s="159"/>
      <c r="F28" s="159"/>
      <c r="G28" s="159"/>
      <c r="H28" s="159"/>
      <c r="I28" s="159"/>
      <c r="J28" s="159"/>
      <c r="K28" s="159"/>
      <c r="L28" s="159"/>
      <c r="M28" s="159"/>
      <c r="N28" s="159"/>
    </row>
    <row r="29" spans="2:18" ht="34">
      <c r="B29" s="673" t="s">
        <v>372</v>
      </c>
      <c r="C29" s="315" t="s">
        <v>373</v>
      </c>
      <c r="D29" s="241"/>
      <c r="E29" s="159"/>
      <c r="F29" s="159"/>
      <c r="G29" s="159"/>
      <c r="H29" s="159"/>
      <c r="I29" s="159"/>
      <c r="J29" s="159"/>
      <c r="K29" s="159"/>
      <c r="L29" s="159"/>
      <c r="M29" s="159"/>
      <c r="N29" s="159"/>
    </row>
    <row r="30" spans="2:18">
      <c r="B30" s="234" t="s">
        <v>374</v>
      </c>
      <c r="C30" s="674" t="s">
        <v>369</v>
      </c>
      <c r="D30" s="241"/>
      <c r="E30" s="159"/>
      <c r="F30" s="159"/>
      <c r="G30" s="159"/>
      <c r="H30" s="159"/>
      <c r="I30" s="159"/>
      <c r="J30" s="159"/>
      <c r="K30" s="159"/>
      <c r="L30" s="159"/>
      <c r="M30" s="159"/>
      <c r="N30" s="159"/>
    </row>
    <row r="31" spans="2:18">
      <c r="B31" s="234" t="s">
        <v>375</v>
      </c>
      <c r="C31" s="674" t="s">
        <v>370</v>
      </c>
      <c r="D31" s="241"/>
      <c r="E31" s="159"/>
      <c r="F31" s="159"/>
      <c r="G31" s="159"/>
      <c r="H31" s="159"/>
      <c r="I31" s="159"/>
      <c r="J31" s="159"/>
      <c r="K31" s="159"/>
      <c r="L31" s="159"/>
      <c r="M31" s="159"/>
      <c r="N31" s="159"/>
    </row>
    <row r="32" spans="2:18">
      <c r="B32" s="234" t="s">
        <v>376</v>
      </c>
      <c r="C32" s="674" t="s">
        <v>371</v>
      </c>
      <c r="D32" s="241"/>
      <c r="E32" s="159"/>
      <c r="F32" s="159"/>
      <c r="G32" s="159"/>
      <c r="H32" s="159"/>
      <c r="I32" s="159"/>
      <c r="J32" s="159"/>
      <c r="K32" s="159"/>
      <c r="L32" s="159"/>
      <c r="M32" s="159"/>
      <c r="N32" s="159"/>
    </row>
    <row r="33" spans="2:14">
      <c r="B33" s="237"/>
      <c r="C33" s="310"/>
      <c r="D33" s="241"/>
      <c r="E33" s="159"/>
      <c r="F33" s="159"/>
      <c r="G33" s="159"/>
      <c r="H33" s="159"/>
      <c r="I33" s="159"/>
      <c r="J33" s="159"/>
      <c r="K33" s="159"/>
      <c r="L33" s="159"/>
      <c r="M33" s="159"/>
      <c r="N33" s="159"/>
    </row>
    <row r="34" spans="2:14" ht="68">
      <c r="B34" s="237" t="s">
        <v>426</v>
      </c>
      <c r="C34" s="238" t="s">
        <v>391</v>
      </c>
      <c r="D34" s="241"/>
      <c r="E34" s="159"/>
      <c r="F34" s="159"/>
      <c r="G34" s="159"/>
      <c r="H34" s="159"/>
      <c r="I34" s="159"/>
      <c r="J34" s="159"/>
      <c r="K34" s="159"/>
      <c r="L34" s="159"/>
      <c r="M34" s="159"/>
      <c r="N34" s="159"/>
    </row>
    <row r="35" spans="2:14" ht="17">
      <c r="B35" s="237"/>
      <c r="C35" s="687" t="s">
        <v>383</v>
      </c>
      <c r="D35" s="241"/>
      <c r="E35" s="159"/>
      <c r="F35" s="159"/>
      <c r="G35" s="159"/>
      <c r="H35" s="159"/>
      <c r="I35" s="159"/>
      <c r="J35" s="159"/>
      <c r="K35" s="159"/>
      <c r="L35" s="159"/>
      <c r="M35" s="159"/>
      <c r="N35" s="159"/>
    </row>
    <row r="36" spans="2:14" ht="17">
      <c r="B36" s="237"/>
      <c r="C36" s="687" t="s">
        <v>384</v>
      </c>
      <c r="D36" s="241"/>
      <c r="E36" s="159"/>
      <c r="F36" s="159"/>
      <c r="G36" s="159"/>
      <c r="H36" s="159"/>
      <c r="I36" s="159"/>
      <c r="J36" s="159"/>
      <c r="K36" s="159"/>
      <c r="L36" s="159"/>
      <c r="M36" s="159"/>
      <c r="N36" s="159"/>
    </row>
    <row r="37" spans="2:14" ht="17">
      <c r="B37" s="237"/>
      <c r="C37" s="687" t="s">
        <v>385</v>
      </c>
      <c r="D37" s="241"/>
      <c r="E37" s="159"/>
      <c r="F37" s="159"/>
      <c r="G37" s="159"/>
      <c r="H37" s="159"/>
      <c r="I37" s="159"/>
      <c r="J37" s="159"/>
      <c r="K37" s="159"/>
      <c r="L37" s="159"/>
      <c r="M37" s="159"/>
      <c r="N37" s="159"/>
    </row>
    <row r="38" spans="2:14" ht="17">
      <c r="B38" s="237"/>
      <c r="C38" s="687" t="s">
        <v>386</v>
      </c>
      <c r="D38" s="241"/>
      <c r="E38" s="159"/>
      <c r="F38" s="159"/>
      <c r="G38" s="159"/>
      <c r="H38" s="159"/>
      <c r="I38" s="159"/>
      <c r="J38" s="159"/>
      <c r="K38" s="159"/>
      <c r="L38" s="159"/>
      <c r="M38" s="159"/>
      <c r="N38" s="159"/>
    </row>
    <row r="39" spans="2:14" ht="17">
      <c r="B39" s="237"/>
      <c r="C39" s="687" t="s">
        <v>387</v>
      </c>
      <c r="D39" s="241"/>
      <c r="E39" s="159"/>
      <c r="F39" s="159"/>
      <c r="G39" s="159"/>
      <c r="H39" s="159"/>
      <c r="I39" s="159"/>
      <c r="J39" s="159"/>
      <c r="K39" s="159"/>
      <c r="L39" s="159"/>
      <c r="M39" s="159"/>
      <c r="N39" s="159"/>
    </row>
    <row r="40" spans="2:14" ht="17">
      <c r="B40" s="237"/>
      <c r="C40" s="687" t="s">
        <v>388</v>
      </c>
      <c r="D40" s="241"/>
      <c r="E40" s="159"/>
      <c r="F40" s="159"/>
      <c r="G40" s="159"/>
      <c r="H40" s="159"/>
      <c r="I40" s="159"/>
      <c r="J40" s="159"/>
      <c r="K40" s="159"/>
      <c r="L40" s="159"/>
      <c r="M40" s="159"/>
      <c r="N40" s="159"/>
    </row>
    <row r="41" spans="2:14" ht="17">
      <c r="B41" s="237"/>
      <c r="C41" s="687" t="s">
        <v>389</v>
      </c>
      <c r="D41" s="241"/>
      <c r="E41" s="159"/>
      <c r="F41" s="159"/>
      <c r="G41" s="159"/>
      <c r="H41" s="159"/>
      <c r="I41" s="159"/>
      <c r="J41" s="159"/>
      <c r="K41" s="159"/>
      <c r="L41" s="159"/>
      <c r="M41" s="159"/>
      <c r="N41" s="159"/>
    </row>
    <row r="42" spans="2:14" ht="17">
      <c r="B42" s="237"/>
      <c r="C42" s="687" t="s">
        <v>390</v>
      </c>
      <c r="D42" s="241"/>
      <c r="E42" s="159"/>
      <c r="F42" s="159"/>
      <c r="G42" s="159"/>
      <c r="H42" s="159"/>
      <c r="I42" s="159"/>
      <c r="J42" s="159"/>
      <c r="K42" s="159"/>
      <c r="L42" s="159"/>
      <c r="M42" s="159"/>
      <c r="N42" s="159"/>
    </row>
    <row r="43" spans="2:14" ht="17" thickBot="1">
      <c r="B43" s="242"/>
      <c r="C43" s="243"/>
      <c r="D43" s="244"/>
      <c r="E43" s="154"/>
      <c r="F43" s="154"/>
      <c r="G43" s="154"/>
      <c r="H43" s="154"/>
      <c r="I43" s="154"/>
      <c r="J43" s="154"/>
      <c r="K43" s="154"/>
      <c r="L43" s="154"/>
      <c r="M43" s="154"/>
      <c r="N43" s="154"/>
    </row>
  </sheetData>
  <sheetProtection password="8895" sheet="1" objects="1" scenarios="1"/>
  <hyperlinks>
    <hyperlink ref="C30" r:id="rId1" xr:uid="{00000000-0004-0000-0000-000000000000}"/>
    <hyperlink ref="C31" r:id="rId2" xr:uid="{00000000-0004-0000-0000-000001000000}"/>
    <hyperlink ref="C32" r:id="rId3" xr:uid="{00000000-0004-0000-0000-000002000000}"/>
    <hyperlink ref="C10" r:id="rId4" xr:uid="{00000000-0004-0000-0000-000003000000}"/>
    <hyperlink ref="C13" r:id="rId5" xr:uid="{00000000-0004-0000-0000-000004000000}"/>
  </hyperlinks>
  <pageMargins left="0.7" right="0.7" top="0.75" bottom="0.75" header="0.3" footer="0.3"/>
  <pageSetup scale="54" orientation="portrait" horizontalDpi="4294967293" verticalDpi="0"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114"/>
  <sheetViews>
    <sheetView showGridLines="0" zoomScale="70" zoomScaleNormal="70" workbookViewId="0">
      <pane ySplit="4" topLeftCell="A5" activePane="bottomLeft" state="frozen"/>
      <selection pane="bottomLeft" activeCell="X58" sqref="X58"/>
    </sheetView>
  </sheetViews>
  <sheetFormatPr baseColWidth="10" defaultColWidth="9.1640625" defaultRowHeight="16"/>
  <cols>
    <col min="1" max="1" width="1.6640625" style="1" customWidth="1"/>
    <col min="2" max="2" width="1" style="1" customWidth="1"/>
    <col min="3" max="3" width="7.6640625" style="1" customWidth="1"/>
    <col min="4" max="4" width="1" style="1" customWidth="1"/>
    <col min="5" max="5" width="54" style="1" customWidth="1"/>
    <col min="6" max="6" width="18.5" style="1" customWidth="1"/>
    <col min="7" max="7" width="19.1640625" style="1" bestFit="1" customWidth="1"/>
    <col min="8" max="8" width="0.83203125" style="1" customWidth="1"/>
    <col min="9" max="9" width="6.6640625" style="1" customWidth="1"/>
    <col min="10" max="11" width="1.83203125" style="1" customWidth="1"/>
    <col min="12" max="12" width="1.1640625" style="1" customWidth="1"/>
    <col min="13" max="13" width="7.6640625" style="1" customWidth="1"/>
    <col min="14" max="14" width="1" style="1" customWidth="1"/>
    <col min="15" max="15" width="55.5" style="1" customWidth="1"/>
    <col min="16" max="16" width="19" style="1" customWidth="1"/>
    <col min="17" max="17" width="24.33203125" style="1" customWidth="1"/>
    <col min="18" max="18" width="0.83203125" style="1" customWidth="1"/>
    <col min="19" max="19" width="6.83203125" style="1" customWidth="1"/>
    <col min="20" max="20" width="11.1640625" style="1" customWidth="1"/>
    <col min="21" max="26" width="19.1640625" style="1" customWidth="1"/>
    <col min="27" max="27" width="0.83203125" style="1" customWidth="1"/>
    <col min="28" max="16384" width="9.1640625" style="1"/>
  </cols>
  <sheetData>
    <row r="1" spans="2:28" ht="7.5" customHeight="1" thickBot="1">
      <c r="B1" s="91"/>
    </row>
    <row r="2" spans="2:28" s="331" customFormat="1" ht="30" customHeight="1" thickBot="1">
      <c r="B2" s="500"/>
      <c r="C2" s="796" t="s">
        <v>240</v>
      </c>
      <c r="D2" s="796"/>
      <c r="E2" s="796"/>
      <c r="F2" s="796"/>
      <c r="G2" s="796"/>
      <c r="H2" s="796"/>
      <c r="I2" s="796"/>
      <c r="J2" s="796"/>
      <c r="K2" s="796"/>
      <c r="L2" s="797"/>
      <c r="M2" s="797"/>
      <c r="N2" s="797"/>
      <c r="O2" s="797"/>
      <c r="P2" s="797"/>
      <c r="Q2" s="797"/>
      <c r="R2" s="797"/>
      <c r="S2" s="797"/>
      <c r="T2" s="797"/>
      <c r="U2" s="411"/>
      <c r="V2" s="412"/>
      <c r="W2" s="412"/>
      <c r="X2" s="412"/>
      <c r="Y2" s="412"/>
      <c r="Z2" s="412"/>
      <c r="AA2" s="412"/>
      <c r="AB2" s="413"/>
    </row>
    <row r="3" spans="2:28" ht="7.5" customHeight="1">
      <c r="B3" s="11"/>
      <c r="C3" s="348"/>
      <c r="D3" s="348"/>
      <c r="E3" s="348"/>
      <c r="F3" s="348"/>
      <c r="G3" s="348"/>
      <c r="H3" s="348"/>
      <c r="I3" s="348"/>
      <c r="J3" s="348"/>
      <c r="K3" s="347"/>
      <c r="L3" s="347"/>
      <c r="M3" s="348"/>
      <c r="N3" s="348"/>
      <c r="O3" s="348"/>
      <c r="P3" s="348"/>
      <c r="Q3" s="348"/>
      <c r="R3" s="348"/>
      <c r="S3" s="348"/>
      <c r="T3" s="348"/>
      <c r="U3" s="348"/>
      <c r="V3" s="349"/>
      <c r="W3" s="349"/>
      <c r="X3" s="349"/>
      <c r="Y3" s="349"/>
      <c r="Z3" s="349"/>
      <c r="AA3" s="349"/>
      <c r="AB3" s="378"/>
    </row>
    <row r="4" spans="2:28" ht="19" thickBot="1">
      <c r="B4" s="11"/>
      <c r="C4" s="488" t="s">
        <v>18</v>
      </c>
      <c r="D4" s="16"/>
      <c r="F4" s="17"/>
      <c r="H4" s="477"/>
      <c r="I4" s="501" t="s">
        <v>17</v>
      </c>
      <c r="K4" s="379"/>
      <c r="L4" s="379"/>
      <c r="M4" s="488" t="s">
        <v>18</v>
      </c>
      <c r="N4" s="17"/>
      <c r="O4" s="795" t="s">
        <v>13</v>
      </c>
      <c r="P4" s="795"/>
      <c r="Q4" s="507"/>
      <c r="R4" s="17"/>
      <c r="S4" s="488" t="s">
        <v>17</v>
      </c>
      <c r="T4" s="478"/>
      <c r="U4" s="16"/>
      <c r="AB4" s="330"/>
    </row>
    <row r="5" spans="2:28" ht="19" thickBot="1">
      <c r="B5" s="502"/>
      <c r="C5" s="349"/>
      <c r="D5" s="349"/>
      <c r="E5" s="23"/>
      <c r="F5" s="18"/>
      <c r="G5" s="22"/>
      <c r="H5" s="503"/>
      <c r="I5" s="504"/>
      <c r="J5" s="505"/>
      <c r="K5" s="17"/>
      <c r="L5" s="502"/>
      <c r="M5" s="349"/>
      <c r="N5" s="349"/>
      <c r="O5" s="349"/>
      <c r="P5" s="349"/>
      <c r="Q5" s="349"/>
      <c r="R5" s="349"/>
      <c r="S5" s="349"/>
      <c r="T5" s="349"/>
      <c r="U5" s="349"/>
      <c r="V5" s="349"/>
      <c r="W5" s="349"/>
      <c r="X5" s="349"/>
      <c r="Y5" s="349"/>
      <c r="Z5" s="349"/>
      <c r="AA5" s="349"/>
      <c r="AB5" s="378"/>
    </row>
    <row r="6" spans="2:28" ht="17" thickBot="1">
      <c r="B6" s="11"/>
      <c r="E6" s="2" t="s">
        <v>14</v>
      </c>
      <c r="F6" s="430" t="s">
        <v>287</v>
      </c>
      <c r="G6" s="498" t="s">
        <v>322</v>
      </c>
      <c r="H6" s="78"/>
      <c r="I6" s="19"/>
      <c r="J6" s="489"/>
      <c r="K6" s="17"/>
      <c r="L6" s="11"/>
      <c r="O6" s="2" t="s">
        <v>448</v>
      </c>
      <c r="P6" s="430" t="s">
        <v>287</v>
      </c>
      <c r="Q6" s="498" t="s">
        <v>322</v>
      </c>
      <c r="AB6" s="330"/>
    </row>
    <row r="7" spans="2:28">
      <c r="B7" s="11"/>
      <c r="C7" s="401"/>
      <c r="E7" s="553" t="s">
        <v>28</v>
      </c>
      <c r="F7" s="547" t="s">
        <v>326</v>
      </c>
      <c r="G7" s="571">
        <v>500</v>
      </c>
      <c r="H7" s="351"/>
      <c r="I7" s="13" t="s">
        <v>7</v>
      </c>
      <c r="J7" s="490"/>
      <c r="K7" s="17"/>
      <c r="L7" s="11"/>
      <c r="O7" s="748" t="s">
        <v>441</v>
      </c>
      <c r="P7" s="28" t="s">
        <v>442</v>
      </c>
      <c r="Q7" s="749">
        <v>30</v>
      </c>
      <c r="S7" s="13" t="s">
        <v>7</v>
      </c>
      <c r="AB7" s="330"/>
    </row>
    <row r="8" spans="2:28">
      <c r="B8" s="11"/>
      <c r="C8" s="401"/>
      <c r="E8" s="727" t="s">
        <v>439</v>
      </c>
      <c r="F8" s="21" t="s">
        <v>427</v>
      </c>
      <c r="G8" s="739">
        <f>(G7*G13)/G10*24</f>
        <v>212696.10389610392</v>
      </c>
      <c r="I8" s="13" t="s">
        <v>7</v>
      </c>
      <c r="J8" s="330"/>
      <c r="K8" s="17"/>
      <c r="L8" s="11"/>
      <c r="O8" s="727" t="s">
        <v>446</v>
      </c>
      <c r="P8" s="21" t="s">
        <v>447</v>
      </c>
      <c r="Q8" s="740">
        <v>10000</v>
      </c>
      <c r="S8" s="13" t="s">
        <v>7</v>
      </c>
      <c r="AB8" s="330"/>
    </row>
    <row r="9" spans="2:28">
      <c r="B9" s="11"/>
      <c r="E9" s="727" t="s">
        <v>440</v>
      </c>
      <c r="F9" s="21" t="s">
        <v>429</v>
      </c>
      <c r="G9" s="728">
        <f>G8*365</f>
        <v>77634077.922077924</v>
      </c>
      <c r="I9" s="13" t="s">
        <v>7</v>
      </c>
      <c r="J9" s="330"/>
      <c r="K9" s="17"/>
      <c r="L9" s="11"/>
      <c r="O9" s="727" t="s">
        <v>443</v>
      </c>
      <c r="P9" s="21" t="s">
        <v>442</v>
      </c>
      <c r="Q9" s="750">
        <v>0</v>
      </c>
      <c r="S9" s="13" t="s">
        <v>7</v>
      </c>
      <c r="AB9" s="330"/>
    </row>
    <row r="10" spans="2:28">
      <c r="B10" s="11"/>
      <c r="C10" s="401"/>
      <c r="E10" s="727" t="s">
        <v>434</v>
      </c>
      <c r="F10" s="21" t="s">
        <v>428</v>
      </c>
      <c r="G10" s="740">
        <v>550</v>
      </c>
      <c r="I10" s="13" t="s">
        <v>7</v>
      </c>
      <c r="J10" s="330"/>
      <c r="K10" s="17"/>
      <c r="L10" s="11"/>
      <c r="O10" s="727" t="s">
        <v>446</v>
      </c>
      <c r="P10" s="21" t="s">
        <v>447</v>
      </c>
      <c r="Q10" s="740">
        <v>0</v>
      </c>
      <c r="S10" s="13" t="s">
        <v>7</v>
      </c>
      <c r="AB10" s="330"/>
    </row>
    <row r="11" spans="2:28">
      <c r="B11" s="11"/>
      <c r="E11" s="727" t="s">
        <v>435</v>
      </c>
      <c r="F11" s="21" t="s">
        <v>430</v>
      </c>
      <c r="G11" s="728">
        <f>(G10/1000000)*G9</f>
        <v>42698.742857142861</v>
      </c>
      <c r="I11" s="13" t="s">
        <v>7</v>
      </c>
      <c r="J11" s="330"/>
      <c r="K11" s="17"/>
      <c r="L11" s="11"/>
      <c r="O11" s="727" t="s">
        <v>444</v>
      </c>
      <c r="P11" s="21" t="s">
        <v>442</v>
      </c>
      <c r="Q11" s="750">
        <v>0</v>
      </c>
      <c r="S11" s="13" t="s">
        <v>7</v>
      </c>
      <c r="AB11" s="330"/>
    </row>
    <row r="12" spans="2:28">
      <c r="B12" s="11"/>
      <c r="E12" s="727" t="s">
        <v>471</v>
      </c>
      <c r="F12" s="21" t="s">
        <v>1</v>
      </c>
      <c r="G12" s="741">
        <v>0.35</v>
      </c>
      <c r="I12" s="13" t="s">
        <v>7</v>
      </c>
      <c r="J12" s="330"/>
      <c r="K12" s="17"/>
      <c r="L12" s="11"/>
      <c r="O12" s="727" t="s">
        <v>446</v>
      </c>
      <c r="P12" s="21" t="s">
        <v>447</v>
      </c>
      <c r="Q12" s="740">
        <v>0</v>
      </c>
      <c r="S12" s="13" t="s">
        <v>7</v>
      </c>
      <c r="AB12" s="330"/>
    </row>
    <row r="13" spans="2:28">
      <c r="B13" s="11"/>
      <c r="E13" s="727" t="s">
        <v>431</v>
      </c>
      <c r="F13" s="21" t="s">
        <v>433</v>
      </c>
      <c r="G13" s="728">
        <f>3412/G12</f>
        <v>9748.5714285714294</v>
      </c>
      <c r="I13" s="13" t="s">
        <v>7</v>
      </c>
      <c r="J13" s="330"/>
      <c r="K13" s="17"/>
      <c r="L13" s="11"/>
      <c r="O13" s="727" t="s">
        <v>459</v>
      </c>
      <c r="P13" s="21" t="s">
        <v>466</v>
      </c>
      <c r="Q13" s="750">
        <v>0</v>
      </c>
      <c r="S13" s="13" t="s">
        <v>7</v>
      </c>
      <c r="AB13" s="330"/>
    </row>
    <row r="14" spans="2:28">
      <c r="B14" s="11"/>
      <c r="E14" s="727" t="s">
        <v>437</v>
      </c>
      <c r="F14" s="21" t="s">
        <v>1</v>
      </c>
      <c r="G14" s="741">
        <v>0.92</v>
      </c>
      <c r="I14" s="13" t="s">
        <v>7</v>
      </c>
      <c r="J14" s="330"/>
      <c r="K14" s="17"/>
      <c r="L14" s="11"/>
      <c r="O14" s="727" t="s">
        <v>465</v>
      </c>
      <c r="P14" s="21" t="s">
        <v>1</v>
      </c>
      <c r="Q14" s="751">
        <v>0.01</v>
      </c>
      <c r="S14" s="13" t="s">
        <v>7</v>
      </c>
      <c r="AB14" s="330"/>
    </row>
    <row r="15" spans="2:28">
      <c r="B15" s="11"/>
      <c r="E15" s="727" t="s">
        <v>438</v>
      </c>
      <c r="F15" s="21" t="s">
        <v>1</v>
      </c>
      <c r="G15" s="741">
        <v>0.1</v>
      </c>
      <c r="I15" s="13" t="s">
        <v>7</v>
      </c>
      <c r="J15" s="330"/>
      <c r="K15" s="17"/>
      <c r="L15" s="11"/>
      <c r="O15" s="727" t="s">
        <v>456</v>
      </c>
      <c r="P15" s="21" t="s">
        <v>467</v>
      </c>
      <c r="Q15" s="740">
        <v>4000000</v>
      </c>
      <c r="S15" s="13" t="s">
        <v>7</v>
      </c>
      <c r="AB15" s="330"/>
    </row>
    <row r="16" spans="2:28">
      <c r="B16" s="11"/>
      <c r="E16" s="727" t="s">
        <v>436</v>
      </c>
      <c r="F16" s="21" t="s">
        <v>2</v>
      </c>
      <c r="G16" s="728">
        <f>((1/(G13/1000000))*G11)*G14*(1-G15)</f>
        <v>3626640</v>
      </c>
      <c r="I16" s="13" t="s">
        <v>7</v>
      </c>
      <c r="J16" s="330"/>
      <c r="K16" s="17"/>
      <c r="L16" s="11"/>
      <c r="O16" s="727" t="s">
        <v>472</v>
      </c>
      <c r="P16" s="21" t="s">
        <v>1</v>
      </c>
      <c r="Q16" s="741">
        <v>0.85</v>
      </c>
      <c r="S16" s="13" t="s">
        <v>7</v>
      </c>
      <c r="AB16" s="330"/>
    </row>
    <row r="17" spans="2:28">
      <c r="B17" s="11"/>
      <c r="C17" s="455"/>
      <c r="D17" s="1">
        <f>IF(OR(G17&lt;0,G17&gt;1),1,0)</f>
        <v>0</v>
      </c>
      <c r="E17" s="566" t="s">
        <v>200</v>
      </c>
      <c r="F17" s="6" t="s">
        <v>1</v>
      </c>
      <c r="G17" s="601">
        <v>0</v>
      </c>
      <c r="H17" s="352"/>
      <c r="I17" s="506" t="s">
        <v>7</v>
      </c>
      <c r="J17" s="490"/>
      <c r="K17" s="17"/>
      <c r="L17" s="11"/>
      <c r="O17" s="727" t="s">
        <v>473</v>
      </c>
      <c r="P17" s="21" t="s">
        <v>433</v>
      </c>
      <c r="Q17" s="728">
        <f>(G13-3412)*Q16</f>
        <v>5386.0857142857149</v>
      </c>
      <c r="S17" s="13" t="s">
        <v>7</v>
      </c>
      <c r="AB17" s="330"/>
    </row>
    <row r="18" spans="2:28" ht="17" thickBot="1">
      <c r="B18" s="11"/>
      <c r="C18" s="456"/>
      <c r="D18" s="1">
        <f>IF(OR(G18&lt;1,G18&gt;30),1,0)</f>
        <v>0</v>
      </c>
      <c r="E18" s="569" t="s">
        <v>212</v>
      </c>
      <c r="F18" s="562" t="s">
        <v>3</v>
      </c>
      <c r="G18" s="573">
        <v>20</v>
      </c>
      <c r="H18" s="353"/>
      <c r="I18" s="13" t="s">
        <v>7</v>
      </c>
      <c r="J18" s="490"/>
      <c r="K18" s="17"/>
      <c r="L18" s="11"/>
      <c r="O18" s="727" t="s">
        <v>480</v>
      </c>
      <c r="P18" s="21" t="s">
        <v>476</v>
      </c>
      <c r="Q18" s="750">
        <v>0</v>
      </c>
      <c r="S18" s="13" t="s">
        <v>7</v>
      </c>
      <c r="AB18" s="330"/>
    </row>
    <row r="19" spans="2:28" ht="17" thickBot="1">
      <c r="B19" s="11"/>
      <c r="G19" s="19"/>
      <c r="H19" s="19"/>
      <c r="I19" s="15"/>
      <c r="J19" s="490"/>
      <c r="K19" s="17"/>
      <c r="L19" s="11"/>
      <c r="O19" s="727" t="s">
        <v>475</v>
      </c>
      <c r="P19" s="21" t="s">
        <v>1</v>
      </c>
      <c r="Q19" s="752">
        <v>0.02</v>
      </c>
      <c r="S19" s="13" t="s">
        <v>7</v>
      </c>
      <c r="AB19" s="330"/>
    </row>
    <row r="20" spans="2:28" ht="17" thickBot="1">
      <c r="B20" s="11"/>
      <c r="E20" s="9" t="s">
        <v>161</v>
      </c>
      <c r="F20" s="430" t="s">
        <v>287</v>
      </c>
      <c r="G20" s="498" t="s">
        <v>322</v>
      </c>
      <c r="H20" s="364"/>
      <c r="I20" s="15"/>
      <c r="J20" s="490"/>
      <c r="K20" s="17"/>
      <c r="L20" s="11"/>
      <c r="U20" s="17"/>
      <c r="AB20" s="330"/>
    </row>
    <row r="21" spans="2:28" ht="17" thickBot="1">
      <c r="B21" s="11"/>
      <c r="C21" s="402"/>
      <c r="E21" s="533" t="s">
        <v>8</v>
      </c>
      <c r="F21" s="534"/>
      <c r="G21" s="535" t="s">
        <v>483</v>
      </c>
      <c r="H21" s="362"/>
      <c r="I21" s="13" t="s">
        <v>7</v>
      </c>
      <c r="J21" s="490"/>
      <c r="K21" s="17"/>
      <c r="L21" s="11"/>
      <c r="O21" s="2" t="s">
        <v>378</v>
      </c>
      <c r="P21" s="430" t="s">
        <v>287</v>
      </c>
      <c r="Q21" s="498" t="s">
        <v>322</v>
      </c>
      <c r="U21" s="251"/>
      <c r="V21" s="251"/>
      <c r="W21" s="251"/>
      <c r="X21" s="251"/>
      <c r="Y21" s="251"/>
      <c r="Z21" s="251"/>
      <c r="AB21" s="330"/>
    </row>
    <row r="22" spans="2:28">
      <c r="B22" s="11"/>
      <c r="C22" s="403"/>
      <c r="E22" s="536" t="s">
        <v>137</v>
      </c>
      <c r="F22" s="537" t="s">
        <v>327</v>
      </c>
      <c r="G22" s="538">
        <v>7500</v>
      </c>
      <c r="H22" s="354"/>
      <c r="I22" s="450" t="s">
        <v>7</v>
      </c>
      <c r="J22" s="491"/>
      <c r="K22" s="17"/>
      <c r="L22" s="11"/>
      <c r="M22" s="456"/>
      <c r="N22" s="1">
        <f>IF(OR(Q22&lt;=0,Q22&gt;G18),1,0)</f>
        <v>0</v>
      </c>
      <c r="O22" s="553" t="s">
        <v>402</v>
      </c>
      <c r="P22" s="547" t="s">
        <v>3</v>
      </c>
      <c r="Q22" s="574">
        <v>20</v>
      </c>
      <c r="R22" s="353"/>
      <c r="S22" s="13" t="s">
        <v>7</v>
      </c>
      <c r="T22" s="425"/>
      <c r="U22" s="246"/>
      <c r="V22" s="246"/>
      <c r="W22" s="246"/>
      <c r="X22" s="246"/>
      <c r="Y22" s="246"/>
      <c r="Z22" s="246"/>
      <c r="AB22" s="330"/>
    </row>
    <row r="23" spans="2:28">
      <c r="B23" s="11"/>
      <c r="C23" s="404"/>
      <c r="E23" s="539" t="s">
        <v>162</v>
      </c>
      <c r="F23" s="426" t="s">
        <v>0</v>
      </c>
      <c r="G23" s="540">
        <v>2000000</v>
      </c>
      <c r="H23" s="355"/>
      <c r="I23" s="450" t="s">
        <v>7</v>
      </c>
      <c r="J23" s="490"/>
      <c r="K23" s="17"/>
      <c r="L23" s="11"/>
      <c r="M23" s="401"/>
      <c r="O23" s="559" t="s">
        <v>201</v>
      </c>
      <c r="P23" s="7" t="s">
        <v>1</v>
      </c>
      <c r="Q23" s="572">
        <v>0</v>
      </c>
      <c r="R23" s="352"/>
      <c r="S23" s="13" t="s">
        <v>7</v>
      </c>
      <c r="T23" s="425"/>
      <c r="Y23" s="223"/>
      <c r="Z23" s="223"/>
      <c r="AB23" s="330"/>
    </row>
    <row r="24" spans="2:28" ht="17" thickBot="1">
      <c r="B24" s="11"/>
      <c r="C24" s="461"/>
      <c r="E24" s="539" t="s">
        <v>164</v>
      </c>
      <c r="F24" s="426" t="s">
        <v>0</v>
      </c>
      <c r="G24" s="540">
        <v>1000000</v>
      </c>
      <c r="H24" s="355"/>
      <c r="I24" s="450" t="s">
        <v>7</v>
      </c>
      <c r="J24" s="490"/>
      <c r="K24" s="17"/>
      <c r="L24" s="11"/>
      <c r="M24" s="400"/>
      <c r="O24" s="556" t="s">
        <v>379</v>
      </c>
      <c r="P24" s="562" t="s">
        <v>1</v>
      </c>
      <c r="Q24" s="604">
        <v>0</v>
      </c>
      <c r="R24" s="352"/>
      <c r="S24" s="13" t="s">
        <v>7</v>
      </c>
      <c r="T24" s="425"/>
      <c r="Y24" s="223"/>
      <c r="Z24" s="223"/>
      <c r="AB24" s="330"/>
    </row>
    <row r="25" spans="2:28" ht="17" thickBot="1">
      <c r="B25" s="11"/>
      <c r="C25" s="461"/>
      <c r="E25" s="541" t="s">
        <v>165</v>
      </c>
      <c r="F25" s="426" t="s">
        <v>0</v>
      </c>
      <c r="G25" s="540">
        <v>150000</v>
      </c>
      <c r="H25" s="355"/>
      <c r="I25" s="450" t="s">
        <v>7</v>
      </c>
      <c r="J25" s="490"/>
      <c r="K25" s="17"/>
      <c r="L25" s="379"/>
      <c r="M25" s="17"/>
      <c r="N25" s="17"/>
      <c r="O25" s="17"/>
      <c r="P25" s="17"/>
      <c r="Q25" s="17"/>
      <c r="R25" s="17"/>
      <c r="S25" s="17"/>
      <c r="T25" s="17"/>
      <c r="Y25" s="223"/>
      <c r="Z25" s="223"/>
      <c r="AB25" s="330"/>
    </row>
    <row r="26" spans="2:28" ht="17" thickBot="1">
      <c r="B26" s="11"/>
      <c r="C26" s="461"/>
      <c r="E26" s="541" t="s">
        <v>166</v>
      </c>
      <c r="F26" s="426" t="s">
        <v>0</v>
      </c>
      <c r="G26" s="540">
        <v>100000</v>
      </c>
      <c r="H26" s="355"/>
      <c r="I26" s="450" t="s">
        <v>7</v>
      </c>
      <c r="J26" s="490"/>
      <c r="K26" s="17"/>
      <c r="L26" s="379"/>
      <c r="O26" s="2" t="s">
        <v>393</v>
      </c>
      <c r="P26" s="3"/>
      <c r="Q26" s="4"/>
      <c r="R26" s="17"/>
      <c r="S26" s="13" t="s">
        <v>7</v>
      </c>
      <c r="T26" s="223"/>
      <c r="U26" s="223"/>
      <c r="V26" s="223"/>
      <c r="W26" s="223"/>
      <c r="X26" s="223"/>
      <c r="Y26" s="223"/>
      <c r="Z26" s="223"/>
      <c r="AB26" s="330"/>
    </row>
    <row r="27" spans="2:28">
      <c r="B27" s="11"/>
      <c r="C27" s="405"/>
      <c r="E27" s="541" t="s">
        <v>98</v>
      </c>
      <c r="F27" s="426" t="s">
        <v>0</v>
      </c>
      <c r="G27" s="542">
        <f>($G$65*$G$62*SUM($G$23:$G$26)+$G$59+$G$75+$Q$81+$Q$84)</f>
        <v>390156.32449058129</v>
      </c>
      <c r="H27" s="356"/>
      <c r="I27" s="450" t="s">
        <v>7</v>
      </c>
      <c r="J27" s="490"/>
      <c r="K27" s="17"/>
      <c r="L27" s="379"/>
      <c r="M27" s="455"/>
      <c r="O27" s="605" t="s">
        <v>251</v>
      </c>
      <c r="P27" s="606"/>
      <c r="Q27" s="607" t="s">
        <v>308</v>
      </c>
      <c r="S27" s="428" t="s">
        <v>7</v>
      </c>
      <c r="T27" s="429">
        <f>IF(Q22&lt;G18,1,0)</f>
        <v>0</v>
      </c>
      <c r="U27" s="223"/>
      <c r="V27" s="223"/>
      <c r="W27" s="223"/>
      <c r="X27" s="223"/>
      <c r="Y27" s="223"/>
      <c r="Z27" s="223"/>
      <c r="AB27" s="330"/>
    </row>
    <row r="28" spans="2:28" ht="17" thickBot="1">
      <c r="B28" s="11"/>
      <c r="C28" s="405"/>
      <c r="E28" s="543" t="s">
        <v>303</v>
      </c>
      <c r="F28" s="544" t="str">
        <f>IF($G$21="Complex","$","")</f>
        <v/>
      </c>
      <c r="G28" s="545" t="str">
        <f>IF($G$21="Complex",'Complex Inputs'!$C$121,"")</f>
        <v/>
      </c>
      <c r="H28" s="357"/>
      <c r="I28" s="450" t="s">
        <v>7</v>
      </c>
      <c r="J28" s="490"/>
      <c r="K28" s="17"/>
      <c r="L28" s="379"/>
      <c r="M28" s="455"/>
      <c r="N28" s="1">
        <f>IF(OR(Q28&lt;=0,Q28=""),1,0)</f>
        <v>0</v>
      </c>
      <c r="O28" s="608" t="s">
        <v>213</v>
      </c>
      <c r="P28" s="426" t="s">
        <v>52</v>
      </c>
      <c r="Q28" s="609">
        <v>5</v>
      </c>
      <c r="S28" s="428" t="s">
        <v>7</v>
      </c>
      <c r="T28" s="429">
        <f>IF(AND($Q$22&lt;$G$18,$Q$27="Year One"),1,0)</f>
        <v>0</v>
      </c>
      <c r="U28" s="223"/>
      <c r="V28" s="223"/>
      <c r="W28" s="223"/>
      <c r="X28" s="223"/>
      <c r="AB28" s="330"/>
    </row>
    <row r="29" spans="2:28">
      <c r="B29" s="11"/>
      <c r="C29" s="406"/>
      <c r="E29" s="546" t="s">
        <v>400</v>
      </c>
      <c r="F29" s="547" t="s">
        <v>0</v>
      </c>
      <c r="G29" s="548">
        <f>IF($G$21="Simple",($G$22*$G$7),IF($G$21="Intermediate",SUM($G$23:$G$27),IF($G$21="Complex",$G$28,0)))</f>
        <v>3750000</v>
      </c>
      <c r="H29" s="357"/>
      <c r="I29" s="13" t="s">
        <v>7</v>
      </c>
      <c r="J29" s="490"/>
      <c r="K29" s="17"/>
      <c r="L29" s="379"/>
      <c r="M29" s="455"/>
      <c r="N29" s="1">
        <f>IF(OR(Q29&lt;=0,Q29=""),1,0)</f>
        <v>0</v>
      </c>
      <c r="O29" s="610" t="s">
        <v>214</v>
      </c>
      <c r="P29" s="427" t="s">
        <v>1</v>
      </c>
      <c r="Q29" s="611">
        <v>0.03</v>
      </c>
      <c r="S29" s="454" t="s">
        <v>7</v>
      </c>
      <c r="T29" s="429">
        <f>IF(AND($Q$22&lt;$G$18,$Q$27="Year One"),1,0)</f>
        <v>0</v>
      </c>
      <c r="AB29" s="330"/>
    </row>
    <row r="30" spans="2:28" ht="17" thickBot="1">
      <c r="B30" s="11"/>
      <c r="C30" s="406"/>
      <c r="E30" s="692" t="s">
        <v>400</v>
      </c>
      <c r="F30" s="551" t="str">
        <f>F22</f>
        <v>$/kW</v>
      </c>
      <c r="G30" s="552">
        <f>G29/G7</f>
        <v>7500</v>
      </c>
      <c r="H30" s="365"/>
      <c r="I30" s="13" t="s">
        <v>7</v>
      </c>
      <c r="J30" s="490"/>
      <c r="K30" s="17"/>
      <c r="L30" s="379"/>
      <c r="O30" s="612" t="str">
        <f>IF(OR($Q$27="Year One",$Q$22=$G$18),"","Click Here for Complex Input Worksheet")</f>
        <v/>
      </c>
      <c r="P30" s="613"/>
      <c r="Q30" s="614"/>
      <c r="S30" s="450" t="s">
        <v>7</v>
      </c>
      <c r="T30" s="429">
        <f>IF(AND($Q$22&lt;$G$18,$Q$27="Year-by-Year"),1,0)</f>
        <v>0</v>
      </c>
      <c r="AB30" s="330"/>
    </row>
    <row r="31" spans="2:28" ht="17" thickBot="1">
      <c r="B31" s="11"/>
      <c r="C31" s="407"/>
      <c r="E31" s="20"/>
      <c r="F31" s="12"/>
      <c r="G31" s="12"/>
      <c r="I31" s="19"/>
      <c r="J31" s="490"/>
      <c r="K31" s="17"/>
      <c r="L31" s="379"/>
      <c r="T31" s="247"/>
      <c r="AB31" s="330"/>
    </row>
    <row r="32" spans="2:28" ht="17" thickBot="1">
      <c r="B32" s="11"/>
      <c r="E32" s="5" t="s">
        <v>9</v>
      </c>
      <c r="F32" s="430" t="s">
        <v>287</v>
      </c>
      <c r="G32" s="498" t="s">
        <v>322</v>
      </c>
      <c r="H32" s="366"/>
      <c r="I32" s="19"/>
      <c r="J32" s="490"/>
      <c r="K32" s="17"/>
      <c r="L32" s="379"/>
      <c r="O32" s="5" t="s">
        <v>24</v>
      </c>
      <c r="P32" s="430" t="s">
        <v>287</v>
      </c>
      <c r="Q32" s="498" t="s">
        <v>322</v>
      </c>
      <c r="R32" s="147"/>
      <c r="S32" s="15"/>
      <c r="T32" s="247"/>
      <c r="AB32" s="330"/>
    </row>
    <row r="33" spans="2:28" ht="17" thickBot="1">
      <c r="B33" s="11"/>
      <c r="C33" s="402"/>
      <c r="E33" s="665" t="s">
        <v>8</v>
      </c>
      <c r="F33" s="666"/>
      <c r="G33" s="667" t="s">
        <v>432</v>
      </c>
      <c r="H33" s="362"/>
      <c r="I33" s="13" t="s">
        <v>7</v>
      </c>
      <c r="J33" s="490"/>
      <c r="K33" s="17"/>
      <c r="L33" s="379"/>
      <c r="M33" s="459"/>
      <c r="O33" s="679" t="s">
        <v>422</v>
      </c>
      <c r="P33" s="680"/>
      <c r="Q33" s="681" t="s">
        <v>469</v>
      </c>
      <c r="R33" s="429">
        <f>IF(OR($Q$33="Cost-Based",$Q$33="Neither"),1,IF($Q$33="Performance-Based",2,0))</f>
        <v>2</v>
      </c>
      <c r="S33" s="13" t="s">
        <v>7</v>
      </c>
      <c r="T33" s="452">
        <f>IF(OR($Q$33="Performance-Based",$Q$33="Neither"),1,0)</f>
        <v>1</v>
      </c>
      <c r="AB33" s="330"/>
    </row>
    <row r="34" spans="2:28">
      <c r="B34" s="11"/>
      <c r="C34" s="408"/>
      <c r="E34" s="553" t="s">
        <v>211</v>
      </c>
      <c r="F34" s="554" t="s">
        <v>325</v>
      </c>
      <c r="G34" s="555">
        <v>300</v>
      </c>
      <c r="H34" s="367"/>
      <c r="I34" s="13" t="s">
        <v>7</v>
      </c>
      <c r="J34" s="490"/>
      <c r="K34" s="17"/>
      <c r="L34" s="379"/>
      <c r="M34" s="459"/>
      <c r="O34" s="549" t="s">
        <v>299</v>
      </c>
      <c r="P34" s="7"/>
      <c r="Q34" s="716" t="s">
        <v>487</v>
      </c>
      <c r="R34" s="17"/>
      <c r="S34" s="13" t="s">
        <v>7</v>
      </c>
      <c r="T34" s="17"/>
      <c r="AB34" s="330"/>
    </row>
    <row r="35" spans="2:28">
      <c r="B35" s="11"/>
      <c r="C35" s="455"/>
      <c r="E35" s="549" t="s">
        <v>99</v>
      </c>
      <c r="F35" s="7" t="s">
        <v>100</v>
      </c>
      <c r="G35" s="616">
        <v>3</v>
      </c>
      <c r="H35" s="368"/>
      <c r="I35" s="13" t="s">
        <v>7</v>
      </c>
      <c r="J35" s="490"/>
      <c r="K35" s="17"/>
      <c r="L35" s="379"/>
      <c r="M35" s="459"/>
      <c r="N35" s="1">
        <f>IF(OR(Q35&lt;0,Q35&gt;1,Q35=""),1,0)</f>
        <v>0</v>
      </c>
      <c r="O35" s="8" t="s">
        <v>222</v>
      </c>
      <c r="P35" s="7" t="s">
        <v>1</v>
      </c>
      <c r="Q35" s="770">
        <v>0.3</v>
      </c>
      <c r="R35" s="17"/>
      <c r="S35" s="13" t="s">
        <v>7</v>
      </c>
      <c r="T35" s="17"/>
      <c r="AB35" s="330"/>
    </row>
    <row r="36" spans="2:28">
      <c r="B36" s="11"/>
      <c r="C36" s="409"/>
      <c r="D36" s="17"/>
      <c r="E36" s="575" t="s">
        <v>210</v>
      </c>
      <c r="F36" s="7" t="s">
        <v>1</v>
      </c>
      <c r="G36" s="576">
        <v>0.02</v>
      </c>
      <c r="H36" s="352"/>
      <c r="I36" s="13" t="s">
        <v>7</v>
      </c>
      <c r="J36" s="491"/>
      <c r="K36" s="17"/>
      <c r="L36" s="11"/>
      <c r="N36" s="762">
        <f>IF(OR(Q36&lt;0,Q36&gt;1,Q36=""),1,0)</f>
        <v>0</v>
      </c>
      <c r="O36" s="771" t="s">
        <v>16</v>
      </c>
      <c r="P36" s="772" t="s">
        <v>1</v>
      </c>
      <c r="Q36" s="773">
        <v>1</v>
      </c>
      <c r="AB36" s="330"/>
    </row>
    <row r="37" spans="2:28">
      <c r="B37" s="11"/>
      <c r="C37" s="401"/>
      <c r="E37" s="559" t="s">
        <v>208</v>
      </c>
      <c r="F37" s="7" t="s">
        <v>27</v>
      </c>
      <c r="G37" s="560">
        <v>10</v>
      </c>
      <c r="H37" s="353"/>
      <c r="I37" s="13" t="s">
        <v>7</v>
      </c>
      <c r="J37" s="491"/>
      <c r="K37" s="17"/>
      <c r="L37" s="379"/>
      <c r="O37" s="727" t="s">
        <v>135</v>
      </c>
      <c r="P37" s="7" t="s">
        <v>0</v>
      </c>
      <c r="Q37" s="774">
        <f>IF($G$84="Yes",IF($Q$34="ITC",'Cash Flow'!$C$111*Inputs!$Q$35*Inputs!$Q$36,IF($Q$34="Cash Grant",'Cash Flow'!$C$111*Inputs!$Q$35,0)),0)</f>
        <v>1057500</v>
      </c>
      <c r="R37" s="148"/>
      <c r="S37" s="13" t="s">
        <v>7</v>
      </c>
      <c r="AB37" s="330"/>
    </row>
    <row r="38" spans="2:28" ht="17" thickBot="1">
      <c r="B38" s="11"/>
      <c r="C38" s="409"/>
      <c r="D38" s="17"/>
      <c r="E38" s="561" t="s">
        <v>209</v>
      </c>
      <c r="F38" s="562" t="s">
        <v>1</v>
      </c>
      <c r="G38" s="563">
        <v>0.02</v>
      </c>
      <c r="H38" s="359"/>
      <c r="I38" s="13" t="s">
        <v>7</v>
      </c>
      <c r="J38" s="490"/>
      <c r="K38" s="17"/>
      <c r="L38" s="379"/>
      <c r="M38" s="459"/>
      <c r="O38" s="622" t="s">
        <v>301</v>
      </c>
      <c r="P38" s="748"/>
      <c r="Q38" s="682" t="s">
        <v>470</v>
      </c>
      <c r="S38" s="13" t="s">
        <v>7</v>
      </c>
      <c r="AB38" s="330"/>
    </row>
    <row r="39" spans="2:28">
      <c r="B39" s="11"/>
      <c r="C39" s="455"/>
      <c r="E39" s="622" t="s">
        <v>65</v>
      </c>
      <c r="F39" s="6" t="s">
        <v>1</v>
      </c>
      <c r="G39" s="568">
        <v>4.0000000000000001E-3</v>
      </c>
      <c r="H39" s="352"/>
      <c r="I39" s="450" t="s">
        <v>7</v>
      </c>
      <c r="J39" s="490"/>
      <c r="K39" s="17"/>
      <c r="L39" s="379"/>
      <c r="M39" s="455"/>
      <c r="O39" s="559" t="s">
        <v>139</v>
      </c>
      <c r="P39" s="257" t="s">
        <v>52</v>
      </c>
      <c r="Q39" s="616">
        <v>1.1499999999999999</v>
      </c>
      <c r="R39" s="17"/>
      <c r="S39" s="13" t="s">
        <v>7</v>
      </c>
      <c r="AB39" s="330"/>
    </row>
    <row r="40" spans="2:28">
      <c r="B40" s="11"/>
      <c r="E40" s="559" t="s">
        <v>312</v>
      </c>
      <c r="F40" s="7" t="s">
        <v>0</v>
      </c>
      <c r="G40" s="565">
        <f>$G$39*IF($G$21="Simple",$G$29,IF($G$21="Intermediate",SUM($G$23:$G$26),SUM('Complex Inputs'!$C$116:$C$119)))</f>
        <v>15000</v>
      </c>
      <c r="H40" s="356"/>
      <c r="I40" s="450" t="s">
        <v>7</v>
      </c>
      <c r="J40" s="490"/>
      <c r="K40" s="17"/>
      <c r="L40" s="11"/>
      <c r="N40" s="763">
        <f>IF(OR(Q40&lt;0,Q40&gt;1),1,0)</f>
        <v>0</v>
      </c>
      <c r="O40" s="559" t="s">
        <v>348</v>
      </c>
      <c r="P40" s="6" t="s">
        <v>1</v>
      </c>
      <c r="Q40" s="601">
        <v>1</v>
      </c>
      <c r="T40" s="17"/>
      <c r="AB40" s="330"/>
    </row>
    <row r="41" spans="2:28">
      <c r="B41" s="11"/>
      <c r="C41" s="455"/>
      <c r="E41" s="566" t="s">
        <v>202</v>
      </c>
      <c r="F41" s="6" t="s">
        <v>10</v>
      </c>
      <c r="G41" s="567">
        <v>30000</v>
      </c>
      <c r="H41" s="369"/>
      <c r="I41" s="450" t="s">
        <v>7</v>
      </c>
      <c r="J41" s="491"/>
      <c r="K41" s="17"/>
      <c r="L41" s="379"/>
      <c r="M41" s="455"/>
      <c r="N41" s="1">
        <f>IF(OR(Q41&lt;0,Q41&gt;G18),1,0)</f>
        <v>0</v>
      </c>
      <c r="O41" s="559" t="s">
        <v>32</v>
      </c>
      <c r="P41" s="21" t="s">
        <v>31</v>
      </c>
      <c r="Q41" s="560">
        <v>10</v>
      </c>
      <c r="R41" s="17"/>
      <c r="S41" s="13" t="s">
        <v>7</v>
      </c>
      <c r="AB41" s="330"/>
    </row>
    <row r="42" spans="2:28" ht="17" thickBot="1">
      <c r="B42" s="11"/>
      <c r="C42" s="455"/>
      <c r="E42" s="587" t="s">
        <v>460</v>
      </c>
      <c r="F42" s="453" t="s">
        <v>442</v>
      </c>
      <c r="G42" s="742">
        <v>0</v>
      </c>
      <c r="I42" s="450" t="s">
        <v>7</v>
      </c>
      <c r="J42" s="330"/>
      <c r="K42" s="17"/>
      <c r="L42" s="379"/>
      <c r="M42" s="455"/>
      <c r="O42" s="559" t="s">
        <v>144</v>
      </c>
      <c r="P42" s="6" t="s">
        <v>1</v>
      </c>
      <c r="Q42" s="601">
        <v>0.02</v>
      </c>
      <c r="R42" s="17"/>
      <c r="S42" s="13" t="s">
        <v>7</v>
      </c>
      <c r="T42" s="17"/>
      <c r="AB42" s="330"/>
    </row>
    <row r="43" spans="2:28">
      <c r="B43" s="11"/>
      <c r="C43" s="455"/>
      <c r="E43" s="587" t="s">
        <v>461</v>
      </c>
      <c r="F43" s="453" t="s">
        <v>1</v>
      </c>
      <c r="G43" s="601">
        <v>0.02</v>
      </c>
      <c r="I43" s="450" t="s">
        <v>7</v>
      </c>
      <c r="J43" s="330"/>
      <c r="K43" s="17"/>
      <c r="L43" s="379"/>
      <c r="M43" s="455"/>
      <c r="O43" s="618" t="s">
        <v>421</v>
      </c>
      <c r="P43" s="619" t="s">
        <v>0</v>
      </c>
      <c r="Q43" s="620">
        <v>0</v>
      </c>
      <c r="R43" s="148"/>
      <c r="S43" s="13" t="s">
        <v>7</v>
      </c>
      <c r="T43" s="17"/>
      <c r="AB43" s="330"/>
    </row>
    <row r="44" spans="2:28" ht="17" thickBot="1">
      <c r="B44" s="11"/>
      <c r="C44" s="455"/>
      <c r="E44" s="587" t="s">
        <v>462</v>
      </c>
      <c r="F44" s="453" t="s">
        <v>447</v>
      </c>
      <c r="G44" s="743">
        <v>10000</v>
      </c>
      <c r="I44" s="450" t="s">
        <v>7</v>
      </c>
      <c r="J44" s="330"/>
      <c r="K44" s="17"/>
      <c r="L44" s="379"/>
      <c r="M44" s="459"/>
      <c r="O44" s="569" t="s">
        <v>242</v>
      </c>
      <c r="P44" s="562"/>
      <c r="Q44" s="621" t="s">
        <v>12</v>
      </c>
      <c r="R44" s="24"/>
      <c r="S44" s="13" t="s">
        <v>7</v>
      </c>
      <c r="T44" s="17"/>
      <c r="AB44" s="330"/>
    </row>
    <row r="45" spans="2:28" ht="17" thickBot="1">
      <c r="B45" s="11"/>
      <c r="C45" s="455"/>
      <c r="E45" s="587" t="s">
        <v>449</v>
      </c>
      <c r="F45" s="453" t="s">
        <v>10</v>
      </c>
      <c r="G45" s="742">
        <v>10000</v>
      </c>
      <c r="I45" s="450" t="s">
        <v>7</v>
      </c>
      <c r="J45" s="330"/>
      <c r="K45" s="17"/>
      <c r="L45" s="11"/>
      <c r="AB45" s="330"/>
    </row>
    <row r="46" spans="2:28" ht="17" thickBot="1">
      <c r="B46" s="11"/>
      <c r="C46" s="455"/>
      <c r="E46" s="587" t="s">
        <v>450</v>
      </c>
      <c r="F46" s="453" t="s">
        <v>1</v>
      </c>
      <c r="G46" s="601">
        <v>0.02</v>
      </c>
      <c r="I46" s="450" t="s">
        <v>7</v>
      </c>
      <c r="J46" s="330"/>
      <c r="K46" s="17"/>
      <c r="L46" s="379"/>
      <c r="O46" s="5" t="s">
        <v>418</v>
      </c>
      <c r="P46" s="430" t="s">
        <v>287</v>
      </c>
      <c r="Q46" s="498" t="s">
        <v>322</v>
      </c>
      <c r="R46" s="17"/>
      <c r="AB46" s="330"/>
    </row>
    <row r="47" spans="2:28" ht="17" thickBot="1">
      <c r="B47" s="11"/>
      <c r="C47" s="455"/>
      <c r="E47" s="587" t="s">
        <v>455</v>
      </c>
      <c r="F47" s="453" t="s">
        <v>466</v>
      </c>
      <c r="G47" s="742">
        <v>0</v>
      </c>
      <c r="I47" s="450" t="s">
        <v>7</v>
      </c>
      <c r="J47" s="330"/>
      <c r="K47" s="17"/>
      <c r="L47" s="379"/>
      <c r="M47" s="459"/>
      <c r="O47" s="679" t="s">
        <v>424</v>
      </c>
      <c r="P47" s="680"/>
      <c r="Q47" s="681" t="s">
        <v>469</v>
      </c>
      <c r="S47" s="13" t="s">
        <v>7</v>
      </c>
      <c r="AB47" s="330"/>
    </row>
    <row r="48" spans="2:28">
      <c r="B48" s="11"/>
      <c r="C48" s="455"/>
      <c r="E48" s="587" t="s">
        <v>458</v>
      </c>
      <c r="F48" s="453" t="s">
        <v>1</v>
      </c>
      <c r="G48" s="601">
        <v>0.02</v>
      </c>
      <c r="I48" s="450" t="s">
        <v>7</v>
      </c>
      <c r="J48" s="330"/>
      <c r="K48" s="17"/>
      <c r="L48" s="379"/>
      <c r="M48" s="455"/>
      <c r="N48" s="1">
        <f>IF(OR(Q48&lt;0,Q48&gt;1),1,0)</f>
        <v>0</v>
      </c>
      <c r="O48" s="553" t="s">
        <v>203</v>
      </c>
      <c r="P48" s="547" t="s">
        <v>1</v>
      </c>
      <c r="Q48" s="623">
        <v>0.3</v>
      </c>
      <c r="R48" s="17">
        <f>IF(OR($Q$47="Performance-Based",$Q$47="Neither"),1,0)</f>
        <v>1</v>
      </c>
      <c r="S48" s="13" t="s">
        <v>7</v>
      </c>
      <c r="AB48" s="330"/>
    </row>
    <row r="49" spans="2:28">
      <c r="B49" s="11"/>
      <c r="C49" s="455"/>
      <c r="E49" s="587" t="s">
        <v>456</v>
      </c>
      <c r="F49" s="453" t="s">
        <v>467</v>
      </c>
      <c r="G49" s="743">
        <v>5000000</v>
      </c>
      <c r="I49" s="450" t="s">
        <v>7</v>
      </c>
      <c r="J49" s="330"/>
      <c r="K49" s="17"/>
      <c r="L49" s="11"/>
      <c r="N49" s="763">
        <f>IF(OR(Q49&lt;0,Q49&gt;1),1,0)</f>
        <v>0</v>
      </c>
      <c r="O49" s="765" t="s">
        <v>25</v>
      </c>
      <c r="P49" s="764" t="s">
        <v>1</v>
      </c>
      <c r="Q49" s="767">
        <v>1</v>
      </c>
      <c r="AB49" s="330"/>
    </row>
    <row r="50" spans="2:28">
      <c r="B50" s="11"/>
      <c r="C50" s="455"/>
      <c r="E50" s="559" t="s">
        <v>244</v>
      </c>
      <c r="F50" s="6" t="s">
        <v>10</v>
      </c>
      <c r="G50" s="567">
        <v>0</v>
      </c>
      <c r="H50" s="369"/>
      <c r="I50" s="450" t="s">
        <v>7</v>
      </c>
      <c r="J50" s="490"/>
      <c r="K50" s="17"/>
      <c r="L50" s="379"/>
      <c r="M50" s="455"/>
      <c r="N50" s="1">
        <f>IF(OR(Q50&lt;1,Q50&gt;G18),1,0)</f>
        <v>0</v>
      </c>
      <c r="O50" s="559" t="s">
        <v>30</v>
      </c>
      <c r="P50" s="21" t="s">
        <v>31</v>
      </c>
      <c r="Q50" s="560">
        <v>1</v>
      </c>
      <c r="R50" s="17"/>
      <c r="S50" s="13" t="s">
        <v>7</v>
      </c>
      <c r="T50" s="17"/>
      <c r="AB50" s="330"/>
    </row>
    <row r="51" spans="2:28" ht="17" thickBot="1">
      <c r="B51" s="11"/>
      <c r="C51" s="455"/>
      <c r="E51" s="559" t="s">
        <v>243</v>
      </c>
      <c r="F51" s="6" t="s">
        <v>1</v>
      </c>
      <c r="G51" s="568">
        <v>0</v>
      </c>
      <c r="I51" s="450" t="s">
        <v>7</v>
      </c>
      <c r="J51" s="490"/>
      <c r="K51" s="17"/>
      <c r="L51" s="11"/>
      <c r="O51" s="569" t="s">
        <v>377</v>
      </c>
      <c r="P51" s="624" t="s">
        <v>0</v>
      </c>
      <c r="Q51" s="683">
        <f>IF(AND($G$84="Yes",$Q$47="Cost-Based"),SUM('Cash Flow'!$G$195:$AJ$195),0)</f>
        <v>0</v>
      </c>
      <c r="S51" s="13" t="s">
        <v>7</v>
      </c>
      <c r="AB51" s="330"/>
    </row>
    <row r="52" spans="2:28">
      <c r="B52" s="11"/>
      <c r="C52" s="455"/>
      <c r="E52" s="559" t="s">
        <v>329</v>
      </c>
      <c r="F52" s="6" t="s">
        <v>10</v>
      </c>
      <c r="G52" s="567">
        <v>25000</v>
      </c>
      <c r="H52" s="369"/>
      <c r="I52" s="450" t="s">
        <v>7</v>
      </c>
      <c r="J52" s="490"/>
      <c r="K52" s="17"/>
      <c r="L52" s="379"/>
      <c r="M52" s="459"/>
      <c r="O52" s="622" t="s">
        <v>302</v>
      </c>
      <c r="P52" s="6"/>
      <c r="Q52" s="682" t="s">
        <v>401</v>
      </c>
      <c r="R52" s="17">
        <f>IF(OR($Q$47="Cost-Based",$Q$47="Neither"),1,0)</f>
        <v>0</v>
      </c>
      <c r="S52" s="13" t="s">
        <v>7</v>
      </c>
      <c r="U52" s="449"/>
      <c r="AB52" s="330"/>
    </row>
    <row r="53" spans="2:28">
      <c r="B53" s="11"/>
      <c r="C53" s="455"/>
      <c r="E53" s="549" t="s">
        <v>115</v>
      </c>
      <c r="F53" s="6" t="s">
        <v>1</v>
      </c>
      <c r="G53" s="568">
        <v>0</v>
      </c>
      <c r="H53" s="352"/>
      <c r="I53" s="450" t="s">
        <v>7</v>
      </c>
      <c r="J53" s="490"/>
      <c r="K53" s="17"/>
      <c r="L53" s="11"/>
      <c r="O53" s="559" t="s">
        <v>414</v>
      </c>
      <c r="P53" s="21" t="s">
        <v>0</v>
      </c>
      <c r="Q53" s="705">
        <v>500000</v>
      </c>
      <c r="R53" s="308"/>
      <c r="S53" s="13" t="s">
        <v>7</v>
      </c>
      <c r="T53" s="17"/>
      <c r="AB53" s="330"/>
    </row>
    <row r="54" spans="2:28" ht="17" thickBot="1">
      <c r="B54" s="11"/>
      <c r="E54" s="569" t="s">
        <v>313</v>
      </c>
      <c r="F54" s="562" t="s">
        <v>0</v>
      </c>
      <c r="G54" s="570">
        <f>-'Cash Flow'!G46</f>
        <v>0</v>
      </c>
      <c r="H54" s="356"/>
      <c r="I54" s="450" t="s">
        <v>7</v>
      </c>
      <c r="J54" s="330"/>
      <c r="K54" s="17"/>
      <c r="L54" s="379"/>
      <c r="M54" s="459"/>
      <c r="O54" s="559" t="s">
        <v>425</v>
      </c>
      <c r="P54" s="10"/>
      <c r="Q54" s="615" t="s">
        <v>138</v>
      </c>
      <c r="R54" s="429">
        <f>IF(OR($Q$47="Cost-Based",$Q$47="Neither",$Q$52="Tax Credit"),1,0)</f>
        <v>0</v>
      </c>
      <c r="S54" s="13" t="s">
        <v>7</v>
      </c>
      <c r="AB54" s="330"/>
    </row>
    <row r="55" spans="2:28" ht="17" thickBot="1">
      <c r="B55" s="11"/>
      <c r="C55" s="410"/>
      <c r="E55" s="12"/>
      <c r="F55" s="12"/>
      <c r="G55" s="12"/>
      <c r="I55" s="19"/>
      <c r="J55" s="490"/>
      <c r="K55" s="17"/>
      <c r="L55" s="379"/>
      <c r="M55" s="455"/>
      <c r="O55" s="775" t="s">
        <v>415</v>
      </c>
      <c r="P55" s="257" t="s">
        <v>52</v>
      </c>
      <c r="Q55" s="776">
        <v>1.5</v>
      </c>
      <c r="R55" s="24"/>
      <c r="S55" s="13" t="s">
        <v>7</v>
      </c>
      <c r="U55" s="17"/>
      <c r="AB55" s="330"/>
    </row>
    <row r="56" spans="2:28" ht="17" thickBot="1">
      <c r="B56" s="11"/>
      <c r="C56" s="410"/>
      <c r="E56" s="5" t="s">
        <v>193</v>
      </c>
      <c r="F56" s="430" t="s">
        <v>287</v>
      </c>
      <c r="G56" s="498" t="s">
        <v>322</v>
      </c>
      <c r="H56" s="370"/>
      <c r="I56" s="19"/>
      <c r="J56" s="490"/>
      <c r="K56" s="17"/>
      <c r="L56" s="11"/>
      <c r="N56" s="766">
        <f>IF(OR(Q56&lt;0,Q56&gt;1),1,0)</f>
        <v>0</v>
      </c>
      <c r="O56" s="766" t="s">
        <v>160</v>
      </c>
      <c r="P56" s="772" t="s">
        <v>1</v>
      </c>
      <c r="Q56" s="773">
        <v>1</v>
      </c>
      <c r="T56" s="429"/>
      <c r="U56" s="431"/>
      <c r="AB56" s="330"/>
    </row>
    <row r="57" spans="2:28">
      <c r="B57" s="11"/>
      <c r="C57" s="457"/>
      <c r="E57" s="558" t="s">
        <v>4</v>
      </c>
      <c r="F57" s="547" t="s">
        <v>35</v>
      </c>
      <c r="G57" s="574">
        <v>9</v>
      </c>
      <c r="H57" s="370"/>
      <c r="I57" s="13" t="s">
        <v>7</v>
      </c>
      <c r="J57" s="490"/>
      <c r="K57" s="17"/>
      <c r="L57" s="379"/>
      <c r="M57" s="455"/>
      <c r="N57" s="1">
        <f>IF(OR(Q57&lt;0,Q57&gt;G18),1,0)</f>
        <v>0</v>
      </c>
      <c r="O57" s="559" t="s">
        <v>416</v>
      </c>
      <c r="P57" s="21" t="s">
        <v>31</v>
      </c>
      <c r="Q57" s="560">
        <v>10</v>
      </c>
      <c r="R57" s="24"/>
      <c r="S57" s="13" t="s">
        <v>7</v>
      </c>
      <c r="AB57" s="330"/>
    </row>
    <row r="58" spans="2:28" ht="17" thickBot="1">
      <c r="B58" s="11"/>
      <c r="C58" s="457"/>
      <c r="E58" s="575" t="s">
        <v>34</v>
      </c>
      <c r="F58" s="7" t="s">
        <v>1</v>
      </c>
      <c r="G58" s="576">
        <v>5.5E-2</v>
      </c>
      <c r="H58" s="370"/>
      <c r="I58" s="13" t="s">
        <v>7</v>
      </c>
      <c r="J58" s="490"/>
      <c r="K58" s="17"/>
      <c r="L58" s="379"/>
      <c r="M58" s="455"/>
      <c r="O58" s="559" t="s">
        <v>417</v>
      </c>
      <c r="P58" s="6" t="s">
        <v>1</v>
      </c>
      <c r="Q58" s="601">
        <v>0.02</v>
      </c>
      <c r="R58" s="17"/>
      <c r="S58" s="13" t="s">
        <v>7</v>
      </c>
      <c r="T58" s="429"/>
      <c r="U58" s="381"/>
      <c r="AB58" s="330"/>
    </row>
    <row r="59" spans="2:28" ht="17" thickBot="1">
      <c r="B59" s="11"/>
      <c r="C59" s="410"/>
      <c r="E59" s="561" t="s">
        <v>36</v>
      </c>
      <c r="F59" s="551" t="s">
        <v>0</v>
      </c>
      <c r="G59" s="570">
        <f>IF($G$21="intermediate",SUM(G23:G26)*($G$58/12)*($G$57/2),IF($G$21="complex",'Complex Inputs'!$C$107,0))</f>
        <v>0</v>
      </c>
      <c r="H59" s="370"/>
      <c r="I59" s="13" t="s">
        <v>7</v>
      </c>
      <c r="J59" s="490"/>
      <c r="K59" s="17"/>
      <c r="L59" s="379"/>
      <c r="M59" s="455"/>
      <c r="N59" s="17"/>
      <c r="O59" s="703" t="s">
        <v>423</v>
      </c>
      <c r="P59" s="666" t="s">
        <v>327</v>
      </c>
      <c r="Q59" s="706">
        <v>0</v>
      </c>
      <c r="S59" s="13" t="s">
        <v>7</v>
      </c>
      <c r="U59" s="17"/>
      <c r="AB59" s="330"/>
    </row>
    <row r="60" spans="2:28" ht="17" thickBot="1">
      <c r="B60" s="11"/>
      <c r="G60" s="252"/>
      <c r="H60" s="252"/>
      <c r="I60" s="19"/>
      <c r="J60" s="490"/>
      <c r="K60" s="17"/>
      <c r="L60" s="11"/>
      <c r="O60" s="559" t="s">
        <v>413</v>
      </c>
      <c r="P60" s="21" t="s">
        <v>0</v>
      </c>
      <c r="Q60" s="704">
        <v>500000</v>
      </c>
      <c r="S60" s="13" t="s">
        <v>7</v>
      </c>
      <c r="T60" s="499"/>
      <c r="U60" s="17"/>
      <c r="AB60" s="330"/>
    </row>
    <row r="61" spans="2:28" ht="17" thickBot="1">
      <c r="B61" s="11"/>
      <c r="C61" s="410"/>
      <c r="E61" s="584" t="s">
        <v>33</v>
      </c>
      <c r="F61" s="585" t="s">
        <v>287</v>
      </c>
      <c r="G61" s="586" t="s">
        <v>322</v>
      </c>
      <c r="H61" s="370"/>
      <c r="I61" s="492"/>
      <c r="J61" s="490"/>
      <c r="K61" s="17"/>
      <c r="L61" s="379"/>
      <c r="M61" s="459"/>
      <c r="O61" s="569" t="s">
        <v>241</v>
      </c>
      <c r="P61" s="562"/>
      <c r="Q61" s="621" t="s">
        <v>12</v>
      </c>
      <c r="R61" s="24"/>
      <c r="S61" s="13" t="s">
        <v>7</v>
      </c>
      <c r="U61" s="17"/>
      <c r="AB61" s="330"/>
    </row>
    <row r="62" spans="2:28" ht="17" thickBot="1">
      <c r="B62" s="11"/>
      <c r="C62" s="455"/>
      <c r="D62" s="1">
        <f>IF(OR(G62="",G62&lt;0,G62&gt;1),1,0)</f>
        <v>0</v>
      </c>
      <c r="E62" s="564" t="s">
        <v>245</v>
      </c>
      <c r="F62" s="547" t="s">
        <v>1</v>
      </c>
      <c r="G62" s="577">
        <v>0.55000000000000004</v>
      </c>
      <c r="H62" s="371"/>
      <c r="I62" s="13" t="s">
        <v>7</v>
      </c>
      <c r="J62" s="491"/>
      <c r="K62" s="17"/>
      <c r="L62" s="379"/>
      <c r="T62" s="17"/>
      <c r="U62" s="17"/>
      <c r="AB62" s="330"/>
    </row>
    <row r="63" spans="2:28" ht="17" thickBot="1">
      <c r="B63" s="11"/>
      <c r="C63" s="455"/>
      <c r="D63" s="1">
        <f>IF(OR(G63&lt;=0,G63&gt;G18),1,0)</f>
        <v>0</v>
      </c>
      <c r="E63" s="559" t="s">
        <v>407</v>
      </c>
      <c r="F63" s="7" t="s">
        <v>3</v>
      </c>
      <c r="G63" s="560">
        <v>13</v>
      </c>
      <c r="H63" s="353"/>
      <c r="I63" s="13" t="s">
        <v>7</v>
      </c>
      <c r="J63" s="491"/>
      <c r="K63" s="17"/>
      <c r="L63" s="379"/>
      <c r="M63" s="17"/>
      <c r="N63" s="17"/>
      <c r="O63" s="5" t="s">
        <v>454</v>
      </c>
      <c r="P63" s="26"/>
      <c r="Q63" s="498"/>
      <c r="R63" s="17"/>
      <c r="S63" s="17"/>
      <c r="T63" s="17"/>
      <c r="U63" s="17"/>
      <c r="AB63" s="330"/>
    </row>
    <row r="64" spans="2:28">
      <c r="B64" s="11"/>
      <c r="C64" s="457"/>
      <c r="D64" s="1">
        <f>IF(OR(G64&lt;0,G64=""),1,0)</f>
        <v>0</v>
      </c>
      <c r="E64" s="559" t="s">
        <v>207</v>
      </c>
      <c r="F64" s="7" t="s">
        <v>1</v>
      </c>
      <c r="G64" s="589">
        <v>7.0000000000000007E-2</v>
      </c>
      <c r="H64" s="372"/>
      <c r="I64" s="13" t="s">
        <v>7</v>
      </c>
      <c r="J64" s="491"/>
      <c r="K64" s="17"/>
      <c r="L64" s="379"/>
      <c r="M64" s="460"/>
      <c r="N64" s="17">
        <f>IF(OR(Q64&lt;1,Q64&gt;$G$18),1,0)</f>
        <v>0</v>
      </c>
      <c r="O64" s="558" t="s">
        <v>63</v>
      </c>
      <c r="P64" s="619" t="s">
        <v>27</v>
      </c>
      <c r="Q64" s="668">
        <v>7</v>
      </c>
      <c r="R64" s="17"/>
      <c r="S64" s="13" t="s">
        <v>7</v>
      </c>
      <c r="T64" s="17"/>
      <c r="U64" s="17"/>
      <c r="AB64" s="330"/>
    </row>
    <row r="65" spans="2:28" ht="17" thickBot="1">
      <c r="B65" s="11"/>
      <c r="C65" s="455"/>
      <c r="D65" s="1">
        <f>IF(OR(G65&lt;0,G65=""),1,0)</f>
        <v>0</v>
      </c>
      <c r="E65" s="590" t="s">
        <v>47</v>
      </c>
      <c r="F65" s="562" t="s">
        <v>1</v>
      </c>
      <c r="G65" s="591">
        <v>0.03</v>
      </c>
      <c r="H65" s="352"/>
      <c r="I65" s="13" t="s">
        <v>7</v>
      </c>
      <c r="J65" s="490"/>
      <c r="L65" s="379"/>
      <c r="M65" s="409"/>
      <c r="N65" s="17"/>
      <c r="O65" s="561" t="s">
        <v>253</v>
      </c>
      <c r="P65" s="624" t="str">
        <f>$F$22</f>
        <v>$/kW</v>
      </c>
      <c r="Q65" s="629">
        <v>0</v>
      </c>
      <c r="R65" s="17"/>
      <c r="S65" s="13" t="s">
        <v>7</v>
      </c>
      <c r="T65" s="17"/>
      <c r="AB65" s="330"/>
    </row>
    <row r="66" spans="2:28">
      <c r="B66" s="11"/>
      <c r="C66" s="455"/>
      <c r="E66" s="587" t="s">
        <v>220</v>
      </c>
      <c r="F66" s="453"/>
      <c r="G66" s="588">
        <v>1.2</v>
      </c>
      <c r="H66" s="360"/>
      <c r="I66" s="13" t="s">
        <v>7</v>
      </c>
      <c r="J66" s="490"/>
      <c r="K66" s="17"/>
      <c r="L66" s="379"/>
      <c r="M66" s="460"/>
      <c r="N66" s="17">
        <f>IF(OR(Q66&lt;Q64,Q66&gt;$G$18),1,0)</f>
        <v>0</v>
      </c>
      <c r="O66" s="627" t="s">
        <v>64</v>
      </c>
      <c r="P66" s="28" t="s">
        <v>27</v>
      </c>
      <c r="Q66" s="628">
        <v>14</v>
      </c>
      <c r="R66" s="17"/>
      <c r="S66" s="13" t="s">
        <v>7</v>
      </c>
      <c r="T66" s="17"/>
      <c r="AB66" s="330"/>
    </row>
    <row r="67" spans="2:28" ht="17" thickBot="1">
      <c r="B67" s="11"/>
      <c r="E67" s="579" t="s">
        <v>221</v>
      </c>
      <c r="F67" s="332">
        <f>MAX('Cash Flow'!G54:AJ54)</f>
        <v>13</v>
      </c>
      <c r="G67" s="580">
        <f>ROUND('Cash Flow'!$F$53,2)</f>
        <v>1.1000000000000001</v>
      </c>
      <c r="H67" s="361"/>
      <c r="I67" s="13" t="s">
        <v>7</v>
      </c>
      <c r="J67" s="490"/>
      <c r="L67" s="379"/>
      <c r="M67" s="409"/>
      <c r="N67" s="17"/>
      <c r="O67" s="561" t="s">
        <v>254</v>
      </c>
      <c r="P67" s="624" t="str">
        <f>$F$22</f>
        <v>$/kW</v>
      </c>
      <c r="Q67" s="629">
        <v>0</v>
      </c>
      <c r="R67" s="17"/>
      <c r="S67" s="13" t="s">
        <v>7</v>
      </c>
      <c r="T67" s="17"/>
      <c r="AB67" s="330"/>
    </row>
    <row r="68" spans="2:28">
      <c r="B68" s="11"/>
      <c r="C68" s="455"/>
      <c r="E68" s="579" t="s">
        <v>320</v>
      </c>
      <c r="F68" s="10" t="s">
        <v>190</v>
      </c>
      <c r="G68" s="581" t="str">
        <f>IF($G$67&gt;=$G$66,"Pass","Fail")</f>
        <v>Fail</v>
      </c>
      <c r="H68" s="493"/>
      <c r="I68" s="13" t="s">
        <v>7</v>
      </c>
      <c r="J68" s="491"/>
      <c r="L68" s="379"/>
      <c r="M68" s="460"/>
      <c r="N68" s="17">
        <f>IF(OR(Q68&lt;Q66,Q68&gt;$G$18),1,0)</f>
        <v>0</v>
      </c>
      <c r="O68" s="575" t="s">
        <v>357</v>
      </c>
      <c r="P68" s="21" t="s">
        <v>27</v>
      </c>
      <c r="Q68" s="628">
        <v>15</v>
      </c>
      <c r="R68" s="17"/>
      <c r="S68" s="13" t="s">
        <v>7</v>
      </c>
      <c r="T68" s="17"/>
      <c r="AB68" s="330"/>
    </row>
    <row r="69" spans="2:28" ht="17" thickBot="1">
      <c r="B69" s="11"/>
      <c r="C69" s="455"/>
      <c r="E69" s="579" t="s">
        <v>250</v>
      </c>
      <c r="F69" s="10"/>
      <c r="G69" s="582">
        <v>1.45</v>
      </c>
      <c r="H69" s="360"/>
      <c r="I69" s="13" t="s">
        <v>7</v>
      </c>
      <c r="J69" s="490"/>
      <c r="L69" s="379"/>
      <c r="M69" s="409"/>
      <c r="N69" s="17"/>
      <c r="O69" s="561" t="s">
        <v>358</v>
      </c>
      <c r="P69" s="624" t="str">
        <f>$F$22</f>
        <v>$/kW</v>
      </c>
      <c r="Q69" s="629">
        <v>0</v>
      </c>
      <c r="R69" s="17"/>
      <c r="S69" s="13" t="s">
        <v>7</v>
      </c>
      <c r="U69" s="17"/>
      <c r="AB69" s="330"/>
    </row>
    <row r="70" spans="2:28">
      <c r="B70" s="11"/>
      <c r="E70" s="579" t="s">
        <v>249</v>
      </c>
      <c r="F70" s="332"/>
      <c r="G70" s="580">
        <f>ROUND('Cash Flow'!$E$53,2)</f>
        <v>1.48</v>
      </c>
      <c r="H70" s="361"/>
      <c r="I70" s="13" t="s">
        <v>7</v>
      </c>
      <c r="J70" s="490"/>
      <c r="L70" s="379"/>
      <c r="M70" s="460"/>
      <c r="N70" s="17">
        <f>IF(OR(Q70&lt;Q68,Q70&gt;$G$18),1,0)</f>
        <v>0</v>
      </c>
      <c r="O70" s="575" t="s">
        <v>359</v>
      </c>
      <c r="P70" s="21" t="s">
        <v>27</v>
      </c>
      <c r="Q70" s="628">
        <v>20</v>
      </c>
      <c r="R70" s="17"/>
      <c r="S70" s="13" t="s">
        <v>7</v>
      </c>
      <c r="AB70" s="330"/>
    </row>
    <row r="71" spans="2:28" ht="17" thickBot="1">
      <c r="B71" s="11"/>
      <c r="C71" s="455"/>
      <c r="E71" s="550" t="s">
        <v>321</v>
      </c>
      <c r="F71" s="551" t="s">
        <v>190</v>
      </c>
      <c r="G71" s="583" t="str">
        <f>IF($G$70&gt;=$G$69,"Pass","Fail")</f>
        <v>Pass</v>
      </c>
      <c r="H71" s="493"/>
      <c r="I71" s="13" t="s">
        <v>7</v>
      </c>
      <c r="J71" s="490"/>
      <c r="L71" s="379"/>
      <c r="M71" s="409"/>
      <c r="N71" s="17"/>
      <c r="O71" s="561" t="s">
        <v>360</v>
      </c>
      <c r="P71" s="624" t="str">
        <f>$F$22</f>
        <v>$/kW</v>
      </c>
      <c r="Q71" s="629">
        <v>0</v>
      </c>
      <c r="R71" s="17"/>
      <c r="S71" s="13" t="s">
        <v>7</v>
      </c>
      <c r="U71" s="17"/>
      <c r="AB71" s="330"/>
    </row>
    <row r="72" spans="2:28" ht="17" thickBot="1">
      <c r="B72" s="11"/>
      <c r="E72" s="546" t="s">
        <v>324</v>
      </c>
      <c r="F72" s="547" t="s">
        <v>1</v>
      </c>
      <c r="G72" s="592">
        <f>1-G62</f>
        <v>0.44999999999999996</v>
      </c>
      <c r="H72" s="373"/>
      <c r="I72" s="13" t="s">
        <v>7</v>
      </c>
      <c r="J72" s="490"/>
      <c r="L72" s="379"/>
      <c r="U72" s="470"/>
      <c r="AB72" s="330"/>
    </row>
    <row r="73" spans="2:28" ht="17" thickBot="1">
      <c r="B73" s="11"/>
      <c r="C73" s="455"/>
      <c r="D73" s="1">
        <f>IF(OR(G73&lt;0,G73=""),1,0)</f>
        <v>0</v>
      </c>
      <c r="E73" s="593" t="s">
        <v>267</v>
      </c>
      <c r="F73" s="562" t="s">
        <v>1</v>
      </c>
      <c r="G73" s="578">
        <v>0.12</v>
      </c>
      <c r="H73" s="372"/>
      <c r="I73" s="13" t="s">
        <v>7</v>
      </c>
      <c r="J73" s="490"/>
      <c r="L73" s="379"/>
      <c r="M73" s="17"/>
      <c r="N73" s="17"/>
      <c r="O73" s="5" t="s">
        <v>44</v>
      </c>
      <c r="P73" s="430" t="s">
        <v>287</v>
      </c>
      <c r="Q73" s="498" t="s">
        <v>322</v>
      </c>
      <c r="R73" s="17"/>
      <c r="S73" s="17"/>
      <c r="T73" s="17"/>
      <c r="U73" s="470"/>
      <c r="AB73" s="330"/>
    </row>
    <row r="74" spans="2:28">
      <c r="B74" s="11"/>
      <c r="E74" s="564" t="s">
        <v>306</v>
      </c>
      <c r="F74" s="547" t="s">
        <v>1</v>
      </c>
      <c r="G74" s="594">
        <f>(G73*F79)+(F78*G64*(1-G89))</f>
        <v>7.6897875000000004E-2</v>
      </c>
      <c r="I74" s="13" t="s">
        <v>7</v>
      </c>
      <c r="J74" s="330"/>
      <c r="L74" s="379"/>
      <c r="M74" s="17"/>
      <c r="N74" s="17"/>
      <c r="O74" s="630" t="s">
        <v>43</v>
      </c>
      <c r="P74" s="631"/>
      <c r="Q74" s="632"/>
      <c r="R74" s="17"/>
      <c r="S74" s="17"/>
      <c r="T74" s="17"/>
      <c r="U74" s="463"/>
      <c r="AB74" s="330"/>
    </row>
    <row r="75" spans="2:28" ht="17" thickBot="1">
      <c r="B75" s="11"/>
      <c r="C75" s="455"/>
      <c r="E75" s="590" t="s">
        <v>175</v>
      </c>
      <c r="F75" s="562" t="s">
        <v>0</v>
      </c>
      <c r="G75" s="595">
        <v>0</v>
      </c>
      <c r="H75" s="369"/>
      <c r="I75" s="13" t="s">
        <v>7</v>
      </c>
      <c r="J75" s="330"/>
      <c r="L75" s="379"/>
      <c r="M75" s="459"/>
      <c r="N75" s="17"/>
      <c r="O75" s="633" t="s">
        <v>45</v>
      </c>
      <c r="P75" s="27"/>
      <c r="Q75" s="615" t="s">
        <v>468</v>
      </c>
      <c r="R75" s="17"/>
      <c r="S75" s="13" t="s">
        <v>7</v>
      </c>
      <c r="T75" s="17"/>
      <c r="U75" s="17"/>
      <c r="AB75" s="330"/>
    </row>
    <row r="76" spans="2:28" ht="17" thickBot="1">
      <c r="B76" s="11"/>
      <c r="J76" s="330"/>
      <c r="L76" s="379"/>
      <c r="M76" s="460"/>
      <c r="N76" s="17"/>
      <c r="O76" s="561" t="s">
        <v>46</v>
      </c>
      <c r="P76" s="624" t="s">
        <v>0</v>
      </c>
      <c r="Q76" s="595">
        <v>0</v>
      </c>
      <c r="R76" s="17"/>
      <c r="S76" s="13" t="s">
        <v>7</v>
      </c>
      <c r="T76" s="17"/>
      <c r="U76" s="17"/>
      <c r="AB76" s="330"/>
    </row>
    <row r="77" spans="2:28" ht="17" thickBot="1">
      <c r="B77" s="379"/>
      <c r="E77" s="398" t="s">
        <v>248</v>
      </c>
      <c r="F77" s="26"/>
      <c r="G77" s="399"/>
      <c r="J77" s="330"/>
      <c r="L77" s="379"/>
      <c r="U77" s="17"/>
      <c r="AB77" s="330"/>
    </row>
    <row r="78" spans="2:28" ht="17" thickBot="1">
      <c r="B78" s="379"/>
      <c r="E78" s="564" t="s">
        <v>246</v>
      </c>
      <c r="F78" s="685">
        <f>G78/$G$81</f>
        <v>0.55000000000000004</v>
      </c>
      <c r="G78" s="596">
        <f>'Cash Flow'!F94</f>
        <v>2062500.0000000002</v>
      </c>
      <c r="I78" s="13" t="s">
        <v>7</v>
      </c>
      <c r="J78" s="330"/>
      <c r="L78" s="379"/>
      <c r="M78" s="17"/>
      <c r="N78" s="17"/>
      <c r="O78" s="5" t="s">
        <v>37</v>
      </c>
      <c r="P78" s="430" t="s">
        <v>287</v>
      </c>
      <c r="Q78" s="498" t="s">
        <v>322</v>
      </c>
      <c r="R78" s="17"/>
      <c r="S78" s="17"/>
      <c r="T78" s="17"/>
      <c r="U78" s="17"/>
      <c r="AB78" s="330"/>
    </row>
    <row r="79" spans="2:28">
      <c r="B79" s="379"/>
      <c r="E79" s="559" t="s">
        <v>247</v>
      </c>
      <c r="F79" s="684">
        <f>G79/$G$81</f>
        <v>0.44999999999999996</v>
      </c>
      <c r="G79" s="565">
        <f>-'Cash Flow'!$F$64</f>
        <v>1687499.9999999998</v>
      </c>
      <c r="I79" s="13" t="s">
        <v>7</v>
      </c>
      <c r="J79" s="330"/>
      <c r="L79" s="379"/>
      <c r="M79" s="17"/>
      <c r="N79" s="17"/>
      <c r="O79" s="634" t="s">
        <v>38</v>
      </c>
      <c r="P79" s="625"/>
      <c r="Q79" s="626"/>
      <c r="R79" s="17"/>
      <c r="S79" s="17"/>
      <c r="T79" s="17"/>
      <c r="AB79" s="330"/>
    </row>
    <row r="80" spans="2:28" ht="17" thickBot="1">
      <c r="B80" s="11"/>
      <c r="E80" s="597" t="s">
        <v>310</v>
      </c>
      <c r="F80" s="690">
        <f>G80/$G$81</f>
        <v>0</v>
      </c>
      <c r="G80" s="691">
        <f>IF($Q$44="Yes",$Q$43*(1-$G$85),$Q$43)+IF($Q$61="Yes",IF($Q$60=0,($Q$59*$G$7)*(1-$G$87),MIN($Q$60*(1-$G$87),($Q$59*$G$7)*(1-$G$87))),IF($Q$60=0,$Q$59*$G$7,MIN($Q$60,$Q$59*$G$7)))</f>
        <v>0</v>
      </c>
      <c r="H80" s="358"/>
      <c r="I80" s="13" t="s">
        <v>7</v>
      </c>
      <c r="J80" s="330"/>
      <c r="L80" s="379"/>
      <c r="M80" s="460"/>
      <c r="N80" s="17"/>
      <c r="O80" s="559" t="s">
        <v>42</v>
      </c>
      <c r="P80" s="7" t="s">
        <v>35</v>
      </c>
      <c r="Q80" s="560">
        <v>6</v>
      </c>
      <c r="R80" s="17"/>
      <c r="S80" s="13" t="s">
        <v>7</v>
      </c>
      <c r="T80" s="17"/>
      <c r="U80" s="17"/>
      <c r="AB80" s="330"/>
    </row>
    <row r="81" spans="2:28" ht="18" thickTop="1" thickBot="1">
      <c r="B81" s="379"/>
      <c r="E81" s="598" t="s">
        <v>137</v>
      </c>
      <c r="F81" s="557" t="s">
        <v>0</v>
      </c>
      <c r="G81" s="599">
        <f>SUM(G78:G80)</f>
        <v>3750000</v>
      </c>
      <c r="I81" s="13" t="s">
        <v>7</v>
      </c>
      <c r="J81" s="330"/>
      <c r="L81" s="379"/>
      <c r="M81" s="17"/>
      <c r="N81" s="17"/>
      <c r="O81" s="569" t="s">
        <v>41</v>
      </c>
      <c r="P81" s="562" t="s">
        <v>0</v>
      </c>
      <c r="Q81" s="635">
        <f>-'Cash Flow'!$G$97/12*$Q$80</f>
        <v>123389.93714051534</v>
      </c>
      <c r="R81" s="17"/>
      <c r="S81" s="13" t="s">
        <v>7</v>
      </c>
      <c r="T81" s="17"/>
      <c r="AB81" s="330"/>
    </row>
    <row r="82" spans="2:28" ht="17" thickBot="1">
      <c r="B82" s="11"/>
      <c r="J82" s="330"/>
      <c r="L82" s="379"/>
      <c r="M82" s="17"/>
      <c r="N82" s="17"/>
      <c r="O82" s="634" t="s">
        <v>62</v>
      </c>
      <c r="P82" s="625"/>
      <c r="Q82" s="636"/>
      <c r="R82" s="17"/>
      <c r="S82" s="17"/>
      <c r="T82" s="17"/>
      <c r="AB82" s="330"/>
    </row>
    <row r="83" spans="2:28" ht="17" thickBot="1">
      <c r="B83" s="11"/>
      <c r="E83" s="5" t="s">
        <v>157</v>
      </c>
      <c r="F83" s="430" t="s">
        <v>287</v>
      </c>
      <c r="G83" s="498" t="s">
        <v>322</v>
      </c>
      <c r="H83" s="374"/>
      <c r="I83" s="19"/>
      <c r="J83" s="330"/>
      <c r="L83" s="379"/>
      <c r="M83" s="460"/>
      <c r="N83" s="17"/>
      <c r="O83" s="575" t="s">
        <v>39</v>
      </c>
      <c r="P83" s="7" t="s">
        <v>35</v>
      </c>
      <c r="Q83" s="560">
        <v>6</v>
      </c>
      <c r="R83" s="17"/>
      <c r="S83" s="13" t="s">
        <v>7</v>
      </c>
      <c r="T83" s="17"/>
      <c r="AB83" s="330"/>
    </row>
    <row r="84" spans="2:28" ht="17" thickBot="1">
      <c r="B84" s="11"/>
      <c r="C84" s="458"/>
      <c r="E84" s="533" t="s">
        <v>15</v>
      </c>
      <c r="F84" s="658"/>
      <c r="G84" s="659" t="s">
        <v>12</v>
      </c>
      <c r="H84" s="363"/>
      <c r="I84" s="13" t="s">
        <v>7</v>
      </c>
      <c r="J84" s="330"/>
      <c r="L84" s="379"/>
      <c r="M84" s="17"/>
      <c r="N84" s="17"/>
      <c r="O84" s="561" t="s">
        <v>40</v>
      </c>
      <c r="P84" s="562" t="s">
        <v>0</v>
      </c>
      <c r="Q84" s="635">
        <f>-(AVERAGE('Cash Flow'!G48:AJ48)/12*$Q$83)</f>
        <v>213141.38735006598</v>
      </c>
      <c r="R84" s="17"/>
      <c r="S84" s="13" t="s">
        <v>7</v>
      </c>
      <c r="T84" s="17"/>
      <c r="AB84" s="330"/>
    </row>
    <row r="85" spans="2:28" ht="17" thickBot="1">
      <c r="B85" s="11"/>
      <c r="C85" s="455"/>
      <c r="D85" s="1">
        <f>IF(OR(G85&lt;0,G85=""),1,0)</f>
        <v>0</v>
      </c>
      <c r="E85" s="553" t="s">
        <v>5</v>
      </c>
      <c r="F85" s="547" t="s">
        <v>1</v>
      </c>
      <c r="G85" s="660">
        <v>0.35</v>
      </c>
      <c r="H85" s="352"/>
      <c r="I85" s="13" t="s">
        <v>7</v>
      </c>
      <c r="J85" s="490"/>
      <c r="L85" s="379"/>
      <c r="M85" s="460"/>
      <c r="N85" s="17"/>
      <c r="O85" s="638" t="s">
        <v>148</v>
      </c>
      <c r="P85" s="534" t="s">
        <v>1</v>
      </c>
      <c r="Q85" s="637">
        <v>1.4999999999999999E-2</v>
      </c>
      <c r="R85" s="17"/>
      <c r="S85" s="13" t="s">
        <v>7</v>
      </c>
      <c r="T85" s="17"/>
      <c r="AB85" s="330"/>
    </row>
    <row r="86" spans="2:28" ht="17" thickBot="1">
      <c r="B86" s="11"/>
      <c r="C86" s="458"/>
      <c r="E86" s="617" t="s">
        <v>282</v>
      </c>
      <c r="F86" s="661"/>
      <c r="G86" s="621" t="s">
        <v>309</v>
      </c>
      <c r="H86" s="363"/>
      <c r="I86" s="13" t="s">
        <v>7</v>
      </c>
      <c r="J86" s="330"/>
      <c r="L86" s="11"/>
      <c r="AB86" s="330"/>
    </row>
    <row r="87" spans="2:28" ht="17" thickBot="1">
      <c r="B87" s="11"/>
      <c r="C87" s="455"/>
      <c r="D87" s="1">
        <f>IF(OR(G87&lt;0,G87=""),1,0)</f>
        <v>0</v>
      </c>
      <c r="E87" s="553" t="s">
        <v>6</v>
      </c>
      <c r="F87" s="547" t="s">
        <v>1</v>
      </c>
      <c r="G87" s="660">
        <v>8.5000000000000006E-2</v>
      </c>
      <c r="H87" s="352"/>
      <c r="I87" s="13" t="s">
        <v>7</v>
      </c>
      <c r="J87" s="490"/>
      <c r="L87" s="11"/>
      <c r="M87" s="17"/>
      <c r="N87" s="17"/>
      <c r="O87" s="432" t="s">
        <v>94</v>
      </c>
      <c r="P87" s="528" t="s">
        <v>323</v>
      </c>
      <c r="Q87" s="528"/>
      <c r="R87" s="528"/>
      <c r="S87" s="528"/>
      <c r="T87" s="528"/>
      <c r="U87" s="528"/>
      <c r="V87" s="528"/>
      <c r="W87" s="528"/>
      <c r="X87" s="528"/>
      <c r="Y87" s="528"/>
      <c r="Z87" s="399"/>
      <c r="AB87" s="330"/>
    </row>
    <row r="88" spans="2:28" ht="17" thickBot="1">
      <c r="B88" s="11"/>
      <c r="C88" s="458"/>
      <c r="E88" s="617" t="s">
        <v>283</v>
      </c>
      <c r="F88" s="661"/>
      <c r="G88" s="621" t="s">
        <v>309</v>
      </c>
      <c r="H88" s="363"/>
      <c r="I88" s="13" t="s">
        <v>7</v>
      </c>
      <c r="J88" s="490"/>
      <c r="L88" s="11"/>
      <c r="M88" s="458"/>
      <c r="N88" s="17"/>
      <c r="O88" s="618" t="s">
        <v>331</v>
      </c>
      <c r="P88" s="600" t="s">
        <v>138</v>
      </c>
      <c r="S88" s="506" t="s">
        <v>7</v>
      </c>
      <c r="Z88" s="330"/>
      <c r="AB88" s="330"/>
    </row>
    <row r="89" spans="2:28" ht="17" thickBot="1">
      <c r="B89" s="11"/>
      <c r="E89" s="662" t="s">
        <v>29</v>
      </c>
      <c r="F89" s="663" t="s">
        <v>1</v>
      </c>
      <c r="G89" s="664">
        <f>IF($G$84="Yes",$G$85+(G87*(1-$G$85)),0%)</f>
        <v>0.40525</v>
      </c>
      <c r="H89" s="376"/>
      <c r="I89" s="13" t="s">
        <v>7</v>
      </c>
      <c r="J89" s="490"/>
      <c r="L89" s="11"/>
      <c r="M89" s="460"/>
      <c r="O89" s="569" t="s">
        <v>332</v>
      </c>
      <c r="P89" s="639">
        <v>0.5</v>
      </c>
      <c r="S89" s="13" t="s">
        <v>7</v>
      </c>
      <c r="Z89" s="330"/>
      <c r="AB89" s="330"/>
    </row>
    <row r="90" spans="2:28" ht="17" thickBot="1">
      <c r="B90" s="11"/>
      <c r="E90" s="569" t="s">
        <v>94</v>
      </c>
      <c r="F90" s="602"/>
      <c r="G90" s="603" t="s">
        <v>101</v>
      </c>
      <c r="H90" s="487"/>
      <c r="I90" s="13" t="s">
        <v>7</v>
      </c>
      <c r="J90" s="330"/>
      <c r="L90" s="11"/>
      <c r="O90" s="377"/>
      <c r="P90" s="91"/>
      <c r="Q90" s="91"/>
      <c r="R90" s="91"/>
      <c r="S90" s="91"/>
      <c r="T90" s="91"/>
      <c r="U90" s="91"/>
      <c r="V90" s="91"/>
      <c r="W90" s="91"/>
      <c r="X90" s="91"/>
      <c r="Y90" s="91"/>
      <c r="Z90" s="387"/>
      <c r="AB90" s="330"/>
    </row>
    <row r="91" spans="2:28" ht="17" thickBot="1">
      <c r="B91" s="377"/>
      <c r="C91" s="91"/>
      <c r="D91" s="91"/>
      <c r="E91" s="91"/>
      <c r="F91" s="91"/>
      <c r="G91" s="91"/>
      <c r="H91" s="91"/>
      <c r="I91" s="91"/>
      <c r="J91" s="387"/>
      <c r="L91" s="11"/>
      <c r="M91" s="17"/>
      <c r="N91" s="17"/>
      <c r="O91" s="640" t="s">
        <v>333</v>
      </c>
      <c r="P91" s="641" t="s">
        <v>19</v>
      </c>
      <c r="Q91" s="757" t="s">
        <v>130</v>
      </c>
      <c r="R91" s="786" t="s">
        <v>20</v>
      </c>
      <c r="S91" s="787"/>
      <c r="T91" s="788"/>
      <c r="U91" s="641" t="s">
        <v>131</v>
      </c>
      <c r="V91" s="641" t="s">
        <v>132</v>
      </c>
      <c r="W91" s="641" t="s">
        <v>21</v>
      </c>
      <c r="X91" s="641" t="s">
        <v>22</v>
      </c>
      <c r="Y91" s="641" t="s">
        <v>133</v>
      </c>
      <c r="Z91" s="642" t="s">
        <v>23</v>
      </c>
      <c r="AB91" s="330"/>
    </row>
    <row r="92" spans="2:28" ht="17" thickBot="1">
      <c r="L92" s="11">
        <f>IF(AND($G$84="Yes",$G$21="Simple"),1,0)</f>
        <v>1</v>
      </c>
      <c r="M92" s="17"/>
      <c r="N92" s="308">
        <f>IF(AND($G$21="Simple",SUM(P92:Z92)=1),1,IF(AND($G$21="Simple",SUM(P92:Z92)&lt;&gt;1),2,0))</f>
        <v>1</v>
      </c>
      <c r="O92" s="643" t="str">
        <f t="shared" ref="O92:O97" si="0">E22</f>
        <v>Total Installed Cost</v>
      </c>
      <c r="P92" s="644">
        <v>0.94</v>
      </c>
      <c r="Q92" s="758">
        <v>0</v>
      </c>
      <c r="R92" s="789">
        <v>1.4999999999999999E-2</v>
      </c>
      <c r="S92" s="790"/>
      <c r="T92" s="791"/>
      <c r="U92" s="644">
        <v>0.01</v>
      </c>
      <c r="V92" s="644">
        <v>0</v>
      </c>
      <c r="W92" s="644">
        <v>0</v>
      </c>
      <c r="X92" s="644">
        <v>0.01</v>
      </c>
      <c r="Y92" s="644">
        <v>0</v>
      </c>
      <c r="Z92" s="645">
        <v>2.5000000000000001E-2</v>
      </c>
      <c r="AB92" s="375" t="s">
        <v>7</v>
      </c>
    </row>
    <row r="93" spans="2:28">
      <c r="L93" s="11">
        <f>IF(AND($G$84="Yes",$G$21="Intermediate"),1,0)</f>
        <v>0</v>
      </c>
      <c r="M93" s="17"/>
      <c r="N93" s="308">
        <f>IF(AND($G$21="Intermediate",SUM(P93:Z93)=1),1,IF(AND($G$21="Intermediate",SUM(P93:Z93)&lt;&gt;1),2,0))</f>
        <v>0</v>
      </c>
      <c r="O93" s="646" t="str">
        <f t="shared" si="0"/>
        <v>Generation Equipment</v>
      </c>
      <c r="P93" s="647">
        <v>0.96</v>
      </c>
      <c r="Q93" s="759">
        <v>0</v>
      </c>
      <c r="R93" s="792">
        <v>0.02</v>
      </c>
      <c r="S93" s="793"/>
      <c r="T93" s="794"/>
      <c r="U93" s="647">
        <v>0</v>
      </c>
      <c r="V93" s="647">
        <v>0</v>
      </c>
      <c r="W93" s="647">
        <v>0</v>
      </c>
      <c r="X93" s="647">
        <v>0.02</v>
      </c>
      <c r="Y93" s="647">
        <v>0</v>
      </c>
      <c r="Z93" s="648">
        <v>0</v>
      </c>
      <c r="AB93" s="375" t="s">
        <v>7</v>
      </c>
    </row>
    <row r="94" spans="2:28">
      <c r="L94" s="11">
        <f>IF(AND($G$84="Yes",$G$21="Intermediate"),1,0)</f>
        <v>0</v>
      </c>
      <c r="M94" s="17"/>
      <c r="N94" s="308">
        <f>IF(AND($G$21="Intermediate",SUM(P94:Z94)=1),1,IF(AND($G$21="Intermediate",SUM(P94:Z94)&lt;&gt;1),2,0))</f>
        <v>0</v>
      </c>
      <c r="O94" s="649" t="str">
        <f t="shared" si="0"/>
        <v>Balance of Plant</v>
      </c>
      <c r="P94" s="451">
        <v>0.75</v>
      </c>
      <c r="Q94" s="755">
        <v>0</v>
      </c>
      <c r="R94" s="777">
        <v>0</v>
      </c>
      <c r="S94" s="778"/>
      <c r="T94" s="779"/>
      <c r="U94" s="451">
        <v>0</v>
      </c>
      <c r="V94" s="451">
        <v>0</v>
      </c>
      <c r="W94" s="451">
        <v>0.25</v>
      </c>
      <c r="X94" s="451">
        <v>0</v>
      </c>
      <c r="Y94" s="451">
        <v>0</v>
      </c>
      <c r="Z94" s="650">
        <v>0</v>
      </c>
      <c r="AB94" s="375" t="s">
        <v>7</v>
      </c>
    </row>
    <row r="95" spans="2:28">
      <c r="L95" s="11">
        <f>IF(AND($G$84="Yes",$G$21="Intermediate"),1,0)</f>
        <v>0</v>
      </c>
      <c r="M95" s="17"/>
      <c r="N95" s="308">
        <f>IF(AND($G$21="Intermediate",SUM(P95:Z95)=1),1,IF(AND($G$21="Intermediate",SUM(P95:Z95)&lt;&gt;1),2,0))</f>
        <v>0</v>
      </c>
      <c r="O95" s="649" t="str">
        <f t="shared" si="0"/>
        <v>Interconnection</v>
      </c>
      <c r="P95" s="451">
        <v>0</v>
      </c>
      <c r="Q95" s="755">
        <v>0</v>
      </c>
      <c r="R95" s="777">
        <v>1</v>
      </c>
      <c r="S95" s="778"/>
      <c r="T95" s="779"/>
      <c r="U95" s="451">
        <v>0</v>
      </c>
      <c r="V95" s="451">
        <v>0</v>
      </c>
      <c r="W95" s="451">
        <v>0</v>
      </c>
      <c r="X95" s="451">
        <v>0</v>
      </c>
      <c r="Y95" s="451">
        <v>0</v>
      </c>
      <c r="Z95" s="650">
        <v>0</v>
      </c>
      <c r="AB95" s="375" t="s">
        <v>7</v>
      </c>
    </row>
    <row r="96" spans="2:28">
      <c r="L96" s="11">
        <f>IF(AND($G$84="Yes",$G$21="Intermediate"),1,0)</f>
        <v>0</v>
      </c>
      <c r="M96" s="17"/>
      <c r="N96" s="308">
        <f>IF(AND($G$21="Intermediate",SUM(P96:Z96)=1),1,IF(AND($G$21="Intermediate",SUM(P96:Z96)&lt;&gt;1),2,0))</f>
        <v>0</v>
      </c>
      <c r="O96" s="649" t="str">
        <f t="shared" si="0"/>
        <v>Development Costs &amp; Fee</v>
      </c>
      <c r="P96" s="451">
        <v>0.8</v>
      </c>
      <c r="Q96" s="755">
        <v>0</v>
      </c>
      <c r="R96" s="777">
        <v>0</v>
      </c>
      <c r="S96" s="778"/>
      <c r="T96" s="779"/>
      <c r="U96" s="451">
        <v>0</v>
      </c>
      <c r="V96" s="451">
        <v>0</v>
      </c>
      <c r="W96" s="451">
        <v>0.05</v>
      </c>
      <c r="X96" s="451">
        <v>0.05</v>
      </c>
      <c r="Y96" s="451">
        <v>0</v>
      </c>
      <c r="Z96" s="650">
        <v>0.1</v>
      </c>
      <c r="AB96" s="375" t="s">
        <v>7</v>
      </c>
    </row>
    <row r="97" spans="1:29" ht="17" thickBot="1">
      <c r="L97" s="11">
        <f>IF(AND($G$84="Yes",$G$21="Intermediate"),1,0)</f>
        <v>0</v>
      </c>
      <c r="M97" s="17"/>
      <c r="N97" s="308">
        <f>IF(AND($G$21="Intermediate",SUM(P97:Z97)=1),1,IF(AND($G$21="Intermediate",SUM(P97:Z97)&lt;&gt;1),2,0))</f>
        <v>0</v>
      </c>
      <c r="O97" s="651" t="str">
        <f t="shared" si="0"/>
        <v>Reserves &amp; Financing Costs</v>
      </c>
      <c r="P97" s="652">
        <v>0</v>
      </c>
      <c r="Q97" s="756">
        <v>0</v>
      </c>
      <c r="R97" s="780">
        <v>0</v>
      </c>
      <c r="S97" s="781"/>
      <c r="T97" s="782"/>
      <c r="U97" s="652">
        <v>0</v>
      </c>
      <c r="V97" s="652">
        <v>0</v>
      </c>
      <c r="W97" s="652">
        <v>0</v>
      </c>
      <c r="X97" s="652">
        <v>0.5</v>
      </c>
      <c r="Y97" s="652">
        <v>0</v>
      </c>
      <c r="Z97" s="653">
        <v>0.5</v>
      </c>
      <c r="AB97" s="375" t="s">
        <v>7</v>
      </c>
    </row>
    <row r="98" spans="1:29" ht="17" thickBot="1">
      <c r="L98" s="377">
        <f>IF(AND($G$84="Yes",$G$21="Complex"),1,0)</f>
        <v>0</v>
      </c>
      <c r="M98" s="388"/>
      <c r="N98" s="388"/>
      <c r="O98" s="654" t="s">
        <v>307</v>
      </c>
      <c r="P98" s="655"/>
      <c r="Q98" s="656"/>
      <c r="R98" s="783"/>
      <c r="S98" s="784"/>
      <c r="T98" s="785"/>
      <c r="U98" s="655"/>
      <c r="V98" s="655"/>
      <c r="W98" s="655"/>
      <c r="X98" s="655"/>
      <c r="Y98" s="655"/>
      <c r="Z98" s="657"/>
      <c r="AA98" s="91"/>
      <c r="AB98" s="508" t="s">
        <v>7</v>
      </c>
    </row>
    <row r="99" spans="1:29" ht="17" thickBot="1">
      <c r="M99" s="17"/>
      <c r="N99" s="17"/>
      <c r="O99" s="768"/>
      <c r="P99" s="769"/>
      <c r="Q99" s="769"/>
      <c r="R99" s="17"/>
      <c r="S99" s="17"/>
      <c r="T99" s="17"/>
      <c r="U99" s="769"/>
      <c r="V99" s="769"/>
      <c r="W99" s="769"/>
      <c r="X99" s="769"/>
      <c r="Y99" s="769"/>
      <c r="Z99" s="769"/>
      <c r="AB99" s="738"/>
    </row>
    <row r="100" spans="1:29">
      <c r="B100" s="435"/>
      <c r="C100" s="436"/>
      <c r="D100" s="436"/>
      <c r="E100" s="446" t="s">
        <v>288</v>
      </c>
      <c r="F100" s="436"/>
      <c r="G100" s="436"/>
      <c r="H100" s="436"/>
      <c r="I100" s="436"/>
      <c r="J100" s="436"/>
      <c r="K100" s="436"/>
      <c r="L100" s="436"/>
      <c r="M100" s="437"/>
      <c r="N100" s="437"/>
      <c r="O100" s="437"/>
      <c r="P100" s="437"/>
      <c r="Q100" s="437"/>
      <c r="R100" s="437"/>
      <c r="S100" s="437"/>
      <c r="T100" s="437"/>
      <c r="U100" s="437"/>
      <c r="V100" s="437"/>
      <c r="W100" s="437"/>
      <c r="X100" s="437"/>
      <c r="Y100" s="437"/>
      <c r="Z100" s="437"/>
      <c r="AA100" s="437"/>
      <c r="AB100" s="754"/>
    </row>
    <row r="101" spans="1:29">
      <c r="B101" s="438"/>
      <c r="C101" s="433"/>
      <c r="D101" s="433"/>
      <c r="E101" s="439" t="s">
        <v>290</v>
      </c>
      <c r="F101" s="433"/>
      <c r="G101" s="433"/>
      <c r="H101" s="433"/>
      <c r="I101" s="433"/>
      <c r="J101" s="433"/>
      <c r="K101" s="433"/>
      <c r="L101" s="433"/>
      <c r="M101" s="434"/>
      <c r="N101" s="434"/>
      <c r="O101" s="434"/>
      <c r="P101" s="434"/>
      <c r="Q101" s="434"/>
      <c r="R101" s="434"/>
      <c r="S101" s="434"/>
      <c r="T101" s="434"/>
      <c r="U101" s="434"/>
      <c r="V101" s="433"/>
      <c r="W101" s="433"/>
      <c r="X101" s="433"/>
      <c r="Y101" s="433"/>
      <c r="Z101" s="433"/>
      <c r="AA101" s="433"/>
      <c r="AB101" s="440"/>
    </row>
    <row r="102" spans="1:29">
      <c r="B102" s="438"/>
      <c r="C102" s="433"/>
      <c r="D102" s="433"/>
      <c r="E102" s="439" t="s">
        <v>291</v>
      </c>
      <c r="F102" s="433"/>
      <c r="G102" s="433"/>
      <c r="H102" s="433"/>
      <c r="I102" s="433"/>
      <c r="J102" s="433"/>
      <c r="K102" s="433"/>
      <c r="L102" s="433"/>
      <c r="M102" s="434"/>
      <c r="N102" s="434"/>
      <c r="O102" s="434"/>
      <c r="P102" s="434"/>
      <c r="Q102" s="434"/>
      <c r="R102" s="434"/>
      <c r="S102" s="434"/>
      <c r="T102" s="434"/>
      <c r="U102" s="434"/>
      <c r="V102" s="433"/>
      <c r="W102" s="433"/>
      <c r="X102" s="433"/>
      <c r="Y102" s="433"/>
      <c r="Z102" s="433"/>
      <c r="AA102" s="433"/>
      <c r="AB102" s="440"/>
    </row>
    <row r="103" spans="1:29">
      <c r="B103" s="438"/>
      <c r="C103" s="433"/>
      <c r="D103" s="433"/>
      <c r="E103" s="439" t="s">
        <v>304</v>
      </c>
      <c r="F103" s="433"/>
      <c r="G103" s="433"/>
      <c r="H103" s="433"/>
      <c r="I103" s="433"/>
      <c r="J103" s="433"/>
      <c r="K103" s="433"/>
      <c r="L103" s="433"/>
      <c r="M103" s="434"/>
      <c r="N103" s="434"/>
      <c r="O103" s="434"/>
      <c r="P103" s="434"/>
      <c r="Q103" s="434"/>
      <c r="R103" s="434"/>
      <c r="S103" s="434"/>
      <c r="T103" s="434"/>
      <c r="U103" s="434"/>
      <c r="V103" s="433"/>
      <c r="W103" s="433"/>
      <c r="X103" s="433"/>
      <c r="Y103" s="433"/>
      <c r="Z103" s="433"/>
      <c r="AA103" s="433"/>
      <c r="AB103" s="440"/>
    </row>
    <row r="104" spans="1:29">
      <c r="B104" s="438"/>
      <c r="C104" s="433"/>
      <c r="D104" s="433"/>
      <c r="E104" s="439" t="s">
        <v>305</v>
      </c>
      <c r="F104" s="433"/>
      <c r="G104" s="433"/>
      <c r="H104" s="433"/>
      <c r="I104" s="433"/>
      <c r="J104" s="433"/>
      <c r="K104" s="433"/>
      <c r="L104" s="433"/>
      <c r="M104" s="434"/>
      <c r="N104" s="434"/>
      <c r="O104" s="434"/>
      <c r="P104" s="434"/>
      <c r="Q104" s="434"/>
      <c r="R104" s="434"/>
      <c r="S104" s="434"/>
      <c r="T104" s="434"/>
      <c r="U104" s="434"/>
      <c r="V104" s="433"/>
      <c r="W104" s="433"/>
      <c r="X104" s="433"/>
      <c r="Y104" s="433"/>
      <c r="Z104" s="433"/>
      <c r="AA104" s="433"/>
      <c r="AB104" s="440"/>
    </row>
    <row r="105" spans="1:29">
      <c r="B105" s="438"/>
      <c r="C105" s="433"/>
      <c r="D105" s="433"/>
      <c r="E105" s="439" t="s">
        <v>292</v>
      </c>
      <c r="F105" s="433"/>
      <c r="G105" s="433"/>
      <c r="H105" s="433"/>
      <c r="I105" s="433"/>
      <c r="J105" s="433"/>
      <c r="K105" s="433"/>
      <c r="L105" s="433"/>
      <c r="M105" s="434"/>
      <c r="N105" s="434"/>
      <c r="O105" s="434"/>
      <c r="P105" s="434"/>
      <c r="Q105" s="434"/>
      <c r="R105" s="434"/>
      <c r="S105" s="434"/>
      <c r="T105" s="434"/>
      <c r="U105" s="434"/>
      <c r="V105" s="433"/>
      <c r="W105" s="433"/>
      <c r="X105" s="433"/>
      <c r="Y105" s="433"/>
      <c r="Z105" s="433"/>
      <c r="AA105" s="433"/>
      <c r="AB105" s="440"/>
    </row>
    <row r="106" spans="1:29">
      <c r="B106" s="438"/>
      <c r="C106" s="433"/>
      <c r="D106" s="433"/>
      <c r="E106" s="439" t="s">
        <v>293</v>
      </c>
      <c r="F106" s="433"/>
      <c r="G106" s="433"/>
      <c r="H106" s="433"/>
      <c r="I106" s="433"/>
      <c r="J106" s="433"/>
      <c r="K106" s="433"/>
      <c r="L106" s="433"/>
      <c r="M106" s="434"/>
      <c r="N106" s="434"/>
      <c r="O106" s="434"/>
      <c r="P106" s="434"/>
      <c r="Q106" s="434"/>
      <c r="R106" s="434"/>
      <c r="S106" s="434"/>
      <c r="T106" s="434"/>
      <c r="U106" s="434"/>
      <c r="V106" s="433"/>
      <c r="W106" s="433"/>
      <c r="X106" s="433"/>
      <c r="Y106" s="433"/>
      <c r="Z106" s="433"/>
      <c r="AA106" s="433"/>
      <c r="AB106" s="440"/>
    </row>
    <row r="107" spans="1:29">
      <c r="B107" s="438"/>
      <c r="C107" s="433"/>
      <c r="D107" s="433"/>
      <c r="E107" s="439" t="s">
        <v>294</v>
      </c>
      <c r="F107" s="433"/>
      <c r="G107" s="433"/>
      <c r="H107" s="433"/>
      <c r="I107" s="433"/>
      <c r="J107" s="433"/>
      <c r="K107" s="434"/>
      <c r="L107" s="434"/>
      <c r="M107" s="434"/>
      <c r="N107" s="434"/>
      <c r="O107" s="434"/>
      <c r="P107" s="434"/>
      <c r="Q107" s="434"/>
      <c r="R107" s="434"/>
      <c r="S107" s="434"/>
      <c r="T107" s="434"/>
      <c r="U107" s="434"/>
      <c r="V107" s="433"/>
      <c r="W107" s="433"/>
      <c r="X107" s="433"/>
      <c r="Y107" s="433"/>
      <c r="Z107" s="433"/>
      <c r="AA107" s="433"/>
      <c r="AB107" s="440"/>
    </row>
    <row r="108" spans="1:29" s="672" customFormat="1">
      <c r="B108" s="438"/>
      <c r="C108" s="433"/>
      <c r="D108" s="433"/>
      <c r="E108" s="439" t="s">
        <v>295</v>
      </c>
      <c r="F108" s="433"/>
      <c r="G108" s="433"/>
      <c r="H108" s="433"/>
      <c r="I108" s="433"/>
      <c r="J108" s="433"/>
      <c r="K108" s="434"/>
      <c r="L108" s="434"/>
      <c r="M108" s="434"/>
      <c r="N108" s="434"/>
      <c r="O108" s="434"/>
      <c r="P108" s="434"/>
      <c r="Q108" s="434"/>
      <c r="R108" s="434"/>
      <c r="S108" s="434"/>
      <c r="T108" s="434"/>
      <c r="U108" s="434"/>
      <c r="V108" s="433"/>
      <c r="W108" s="433"/>
      <c r="X108" s="433"/>
      <c r="Y108" s="433"/>
      <c r="Z108" s="433"/>
      <c r="AA108" s="433"/>
      <c r="AB108" s="440"/>
    </row>
    <row r="109" spans="1:29">
      <c r="A109" s="672"/>
      <c r="B109" s="438"/>
      <c r="C109" s="433"/>
      <c r="D109" s="433"/>
      <c r="E109" s="439" t="s">
        <v>296</v>
      </c>
      <c r="F109" s="433"/>
      <c r="G109" s="433"/>
      <c r="H109" s="433"/>
      <c r="I109" s="433"/>
      <c r="J109" s="433"/>
      <c r="K109" s="434"/>
      <c r="L109" s="434"/>
      <c r="M109" s="434"/>
      <c r="N109" s="434"/>
      <c r="O109" s="434"/>
      <c r="P109" s="434"/>
      <c r="Q109" s="434"/>
      <c r="R109" s="434"/>
      <c r="S109" s="434"/>
      <c r="T109" s="434"/>
      <c r="U109" s="434"/>
      <c r="V109" s="433"/>
      <c r="W109" s="433"/>
      <c r="X109" s="433"/>
      <c r="Y109" s="433"/>
      <c r="Z109" s="433"/>
      <c r="AA109" s="433"/>
      <c r="AB109" s="440"/>
      <c r="AC109" s="672"/>
    </row>
    <row r="110" spans="1:29" ht="17" thickBot="1">
      <c r="A110" s="672"/>
      <c r="B110" s="441"/>
      <c r="C110" s="442"/>
      <c r="D110" s="442"/>
      <c r="E110" s="443" t="s">
        <v>289</v>
      </c>
      <c r="F110" s="442"/>
      <c r="G110" s="442"/>
      <c r="H110" s="442"/>
      <c r="I110" s="442"/>
      <c r="J110" s="442"/>
      <c r="K110" s="444"/>
      <c r="L110" s="444"/>
      <c r="M110" s="444"/>
      <c r="N110" s="444"/>
      <c r="O110" s="444"/>
      <c r="P110" s="444"/>
      <c r="Q110" s="444"/>
      <c r="R110" s="444"/>
      <c r="S110" s="444"/>
      <c r="T110" s="444"/>
      <c r="U110" s="444"/>
      <c r="V110" s="442"/>
      <c r="W110" s="442"/>
      <c r="X110" s="442"/>
      <c r="Y110" s="442"/>
      <c r="Z110" s="442"/>
      <c r="AA110" s="442"/>
      <c r="AB110" s="445"/>
      <c r="AC110" s="672"/>
    </row>
    <row r="111" spans="1:29">
      <c r="A111" s="672"/>
      <c r="B111" s="672"/>
      <c r="C111" s="672"/>
      <c r="D111" s="672"/>
      <c r="E111" s="675"/>
      <c r="F111" s="672"/>
      <c r="G111" s="676"/>
      <c r="H111" s="672"/>
      <c r="I111" s="672"/>
      <c r="J111" s="672"/>
      <c r="K111" s="672"/>
      <c r="L111" s="672"/>
      <c r="M111" s="677"/>
      <c r="N111" s="672"/>
      <c r="O111" s="672"/>
      <c r="P111" s="672"/>
      <c r="Q111" s="672"/>
      <c r="R111" s="672"/>
      <c r="S111" s="672"/>
      <c r="T111" s="672"/>
      <c r="U111" s="672"/>
      <c r="V111" s="672"/>
      <c r="W111" s="672"/>
      <c r="X111" s="672"/>
      <c r="Y111" s="672"/>
      <c r="Z111" s="672"/>
      <c r="AA111" s="672"/>
      <c r="AB111" s="672"/>
      <c r="AC111" s="672"/>
    </row>
    <row r="112" spans="1:29">
      <c r="A112" s="672"/>
      <c r="B112" s="672"/>
      <c r="C112" s="672"/>
      <c r="D112" s="672"/>
      <c r="E112" s="675"/>
      <c r="F112" s="672"/>
      <c r="G112" s="676"/>
      <c r="H112" s="672"/>
      <c r="I112" s="672"/>
      <c r="V112" s="672"/>
      <c r="W112" s="672"/>
      <c r="X112" s="672"/>
      <c r="Y112" s="672"/>
      <c r="Z112" s="672"/>
      <c r="AA112" s="672"/>
      <c r="AB112" s="672"/>
      <c r="AC112" s="672"/>
    </row>
    <row r="113" spans="1:29">
      <c r="A113" s="672"/>
      <c r="B113" s="672"/>
      <c r="C113" s="672"/>
      <c r="D113" s="672"/>
      <c r="E113" s="675"/>
      <c r="F113" s="672"/>
      <c r="G113" s="676"/>
      <c r="H113" s="672"/>
      <c r="I113" s="672"/>
      <c r="V113" s="672"/>
      <c r="W113" s="672"/>
      <c r="X113" s="672"/>
      <c r="Y113" s="672"/>
      <c r="Z113" s="672"/>
      <c r="AA113" s="672"/>
      <c r="AB113" s="672"/>
      <c r="AC113" s="672"/>
    </row>
    <row r="114" spans="1:29">
      <c r="A114" s="672"/>
      <c r="B114" s="672"/>
      <c r="C114" s="672"/>
      <c r="D114" s="672"/>
      <c r="E114" s="672"/>
      <c r="F114" s="672"/>
      <c r="G114" s="672"/>
      <c r="H114" s="672"/>
      <c r="I114" s="672"/>
      <c r="V114" s="672"/>
      <c r="W114" s="672"/>
      <c r="X114" s="672"/>
      <c r="Y114" s="672"/>
      <c r="Z114" s="672"/>
      <c r="AA114" s="672"/>
      <c r="AB114" s="672"/>
      <c r="AC114" s="672"/>
    </row>
  </sheetData>
  <protectedRanges>
    <protectedRange sqref="Q7:Q16 Q18:Q19 Q59" name="Column Q Inputs"/>
    <protectedRange sqref="P88:P89 P92:Z97" name="Depreciation Inputs"/>
    <protectedRange sqref="Q52:Q55 Q75:Q76 Q80 Q83 Q64:Q71 Q47:Q48 Q50 Q57:Q61" name="Column Q Inputs 2"/>
    <protectedRange sqref="G7 G10 G12 G14:G15 G17:G18 G21:G26 G33:G39 G57:G58 G69 G73 G75 G84:G88 G62:G66 G41:G53" name="Column G Inputs"/>
    <protectedRange sqref="Q22:Q24 Q27:Q29 Q38:Q39 Q33:Q35 Q41:Q44" name="Column Q Inputs 1"/>
  </protectedRanges>
  <mergeCells count="10">
    <mergeCell ref="O4:P4"/>
    <mergeCell ref="C2:T2"/>
    <mergeCell ref="R95:T95"/>
    <mergeCell ref="R96:T96"/>
    <mergeCell ref="R97:T97"/>
    <mergeCell ref="R98:T98"/>
    <mergeCell ref="R91:T91"/>
    <mergeCell ref="R92:T92"/>
    <mergeCell ref="R93:T93"/>
    <mergeCell ref="R94:T94"/>
  </mergeCells>
  <conditionalFormatting sqref="C21">
    <cfRule type="expression" dxfId="142" priority="618">
      <formula>$G$21&lt;&gt;""</formula>
    </cfRule>
  </conditionalFormatting>
  <conditionalFormatting sqref="C34">
    <cfRule type="expression" dxfId="141" priority="612">
      <formula>$G$34&gt;=0</formula>
    </cfRule>
  </conditionalFormatting>
  <conditionalFormatting sqref="C22">
    <cfRule type="expression" dxfId="140" priority="439">
      <formula>AND($G$21="Simple",$G$22&gt;0)</formula>
    </cfRule>
    <cfRule type="expression" dxfId="139" priority="609">
      <formula>AND($G$21="Simple",$G$22&lt;=0)</formula>
    </cfRule>
  </conditionalFormatting>
  <conditionalFormatting sqref="C23">
    <cfRule type="expression" dxfId="138" priority="438">
      <formula>AND($G$21="Intermediate",$G$23&gt;0)</formula>
    </cfRule>
    <cfRule type="expression" dxfId="137" priority="608">
      <formula>AND($G$21="Intermediate",$G$23&lt;=0)</formula>
    </cfRule>
  </conditionalFormatting>
  <conditionalFormatting sqref="C85">
    <cfRule type="expression" dxfId="136" priority="192">
      <formula>$G$84="No"</formula>
    </cfRule>
    <cfRule type="expression" dxfId="135" priority="193">
      <formula>$D$85=1</formula>
    </cfRule>
  </conditionalFormatting>
  <conditionalFormatting sqref="C73">
    <cfRule type="expression" dxfId="134" priority="430">
      <formula>$D$73=1</formula>
    </cfRule>
  </conditionalFormatting>
  <conditionalFormatting sqref="L43 G28:H28 K24">
    <cfRule type="expression" dxfId="133" priority="772">
      <formula>$G$21="Complex"</formula>
    </cfRule>
  </conditionalFormatting>
  <conditionalFormatting sqref="C62">
    <cfRule type="expression" dxfId="132" priority="432">
      <formula>$D$62=1</formula>
    </cfRule>
  </conditionalFormatting>
  <conditionalFormatting sqref="E7:I7">
    <cfRule type="expression" dxfId="131" priority="460">
      <formula>#REF!="Solar Thermal Electric"</formula>
    </cfRule>
  </conditionalFormatting>
  <conditionalFormatting sqref="M24">
    <cfRule type="expression" dxfId="130" priority="455">
      <formula>$Q$24&lt;&gt;""</formula>
    </cfRule>
  </conditionalFormatting>
  <conditionalFormatting sqref="M23">
    <cfRule type="expression" dxfId="129" priority="454">
      <formula>$Q$23&lt;&gt;""</formula>
    </cfRule>
  </conditionalFormatting>
  <conditionalFormatting sqref="E51:G51 E52:H54 E50:H50 E39:H41 E42:G49">
    <cfRule type="expression" dxfId="128" priority="450">
      <formula>$G$33="Simple"</formula>
    </cfRule>
  </conditionalFormatting>
  <conditionalFormatting sqref="C28">
    <cfRule type="expression" dxfId="127" priority="436">
      <formula>AND($G$21="Complex",$G$28&gt;0)</formula>
    </cfRule>
    <cfRule type="expression" dxfId="126" priority="437">
      <formula>$G$21="Complex"</formula>
    </cfRule>
  </conditionalFormatting>
  <conditionalFormatting sqref="C36">
    <cfRule type="expression" dxfId="125" priority="435">
      <formula>$G$36&gt;0</formula>
    </cfRule>
  </conditionalFormatting>
  <conditionalFormatting sqref="C37">
    <cfRule type="expression" dxfId="124" priority="434">
      <formula>AND($G$37&gt;0,$G$37&lt;=$G$18)</formula>
    </cfRule>
  </conditionalFormatting>
  <conditionalFormatting sqref="C38">
    <cfRule type="expression" dxfId="123" priority="433">
      <formula>$G$38&gt;0</formula>
    </cfRule>
  </conditionalFormatting>
  <conditionalFormatting sqref="G68">
    <cfRule type="expression" dxfId="122" priority="417">
      <formula>$G$68="Fail"</formula>
    </cfRule>
  </conditionalFormatting>
  <conditionalFormatting sqref="O76:Q76 S76">
    <cfRule type="expression" dxfId="121" priority="412">
      <formula>$Q$75="Salvage"</formula>
    </cfRule>
  </conditionalFormatting>
  <conditionalFormatting sqref="E57:G59">
    <cfRule type="expression" dxfId="120" priority="390">
      <formula>$G$21="Simple"</formula>
    </cfRule>
  </conditionalFormatting>
  <conditionalFormatting sqref="G71">
    <cfRule type="expression" dxfId="119" priority="358">
      <formula>$G$71="Fail"</formula>
    </cfRule>
  </conditionalFormatting>
  <conditionalFormatting sqref="G22">
    <cfRule type="expression" dxfId="118" priority="322">
      <formula>$G$21="Simple"</formula>
    </cfRule>
  </conditionalFormatting>
  <conditionalFormatting sqref="G27 E23:F27">
    <cfRule type="expression" dxfId="117" priority="321">
      <formula>$G$21="Intermediate"</formula>
    </cfRule>
  </conditionalFormatting>
  <conditionalFormatting sqref="G23 G25:G26">
    <cfRule type="expression" dxfId="116" priority="310">
      <formula>$G$21="Intermediate"</formula>
    </cfRule>
  </conditionalFormatting>
  <conditionalFormatting sqref="G24">
    <cfRule type="expression" dxfId="115" priority="308">
      <formula>$G$21="Intermediate"</formula>
    </cfRule>
    <cfRule type="expression" dxfId="114" priority="309">
      <formula>$G$21="Intermediate"</formula>
    </cfRule>
  </conditionalFormatting>
  <conditionalFormatting sqref="E63:G71 I63:I71">
    <cfRule type="expression" dxfId="113" priority="304">
      <formula>$G$62=0</formula>
    </cfRule>
  </conditionalFormatting>
  <conditionalFormatting sqref="O28:P28">
    <cfRule type="expression" dxfId="112" priority="297">
      <formula>$T$28=1</formula>
    </cfRule>
  </conditionalFormatting>
  <conditionalFormatting sqref="O29:P29">
    <cfRule type="expression" dxfId="111" priority="296">
      <formula>$T$29=1</formula>
    </cfRule>
  </conditionalFormatting>
  <conditionalFormatting sqref="O30">
    <cfRule type="expression" dxfId="110" priority="295">
      <formula>$T$30=1</formula>
    </cfRule>
  </conditionalFormatting>
  <conditionalFormatting sqref="Q28">
    <cfRule type="expression" dxfId="109" priority="292">
      <formula>$T$28=1</formula>
    </cfRule>
  </conditionalFormatting>
  <conditionalFormatting sqref="Q29">
    <cfRule type="expression" dxfId="108" priority="291">
      <formula>$T$29=1</formula>
    </cfRule>
  </conditionalFormatting>
  <conditionalFormatting sqref="P30:Q30">
    <cfRule type="expression" dxfId="107" priority="290">
      <formula>$T$30=1</formula>
    </cfRule>
  </conditionalFormatting>
  <conditionalFormatting sqref="O27:P27">
    <cfRule type="expression" dxfId="106" priority="288">
      <formula>$T$27=1</formula>
    </cfRule>
  </conditionalFormatting>
  <conditionalFormatting sqref="Q27">
    <cfRule type="expression" dxfId="105" priority="287">
      <formula>$T$27=1</formula>
    </cfRule>
  </conditionalFormatting>
  <conditionalFormatting sqref="S41:S42 O41:Q42 S38:S39 O38:Q39">
    <cfRule type="expression" dxfId="104" priority="274">
      <formula>$R$33=1</formula>
    </cfRule>
  </conditionalFormatting>
  <conditionalFormatting sqref="I22">
    <cfRule type="expression" dxfId="103" priority="263">
      <formula>$G$21="Simple"</formula>
    </cfRule>
  </conditionalFormatting>
  <conditionalFormatting sqref="I28">
    <cfRule type="expression" dxfId="102" priority="262">
      <formula>$G$21="Complex"</formula>
    </cfRule>
  </conditionalFormatting>
  <conditionalFormatting sqref="I23:I27">
    <cfRule type="expression" dxfId="101" priority="261">
      <formula>$G$21="Intermediate"</formula>
    </cfRule>
  </conditionalFormatting>
  <conditionalFormatting sqref="I39:I54">
    <cfRule type="expression" dxfId="100" priority="260">
      <formula>$G$33="Intermediate"</formula>
    </cfRule>
  </conditionalFormatting>
  <conditionalFormatting sqref="E22:F22">
    <cfRule type="expression" dxfId="99" priority="254">
      <formula>$G$21="Simple"</formula>
    </cfRule>
  </conditionalFormatting>
  <conditionalFormatting sqref="F28">
    <cfRule type="expression" dxfId="98" priority="251">
      <formula>$G$21="Complex"</formula>
    </cfRule>
  </conditionalFormatting>
  <conditionalFormatting sqref="E28">
    <cfRule type="expression" dxfId="97" priority="250">
      <formula>$G$21="Complex"</formula>
    </cfRule>
  </conditionalFormatting>
  <conditionalFormatting sqref="S27">
    <cfRule type="expression" dxfId="96" priority="239">
      <formula>$T$27=1</formula>
    </cfRule>
  </conditionalFormatting>
  <conditionalFormatting sqref="S28">
    <cfRule type="expression" dxfId="95" priority="238">
      <formula>$T$28=1</formula>
    </cfRule>
  </conditionalFormatting>
  <conditionalFormatting sqref="S29">
    <cfRule type="expression" dxfId="94" priority="237">
      <formula>$T$29=1</formula>
    </cfRule>
  </conditionalFormatting>
  <conditionalFormatting sqref="S30">
    <cfRule type="expression" dxfId="93" priority="236">
      <formula>$T$30=1</formula>
    </cfRule>
  </conditionalFormatting>
  <conditionalFormatting sqref="C68">
    <cfRule type="expression" dxfId="92" priority="235">
      <formula>$G$68="Fail"</formula>
    </cfRule>
  </conditionalFormatting>
  <conditionalFormatting sqref="C71">
    <cfRule type="expression" dxfId="91" priority="234">
      <formula>$G$71="Fail"</formula>
    </cfRule>
  </conditionalFormatting>
  <conditionalFormatting sqref="E74:G74">
    <cfRule type="expression" dxfId="90" priority="233">
      <formula>$G$62=0%</formula>
    </cfRule>
  </conditionalFormatting>
  <conditionalFormatting sqref="C17">
    <cfRule type="expression" dxfId="89" priority="228">
      <formula>$D$17=1</formula>
    </cfRule>
  </conditionalFormatting>
  <conditionalFormatting sqref="M22">
    <cfRule type="expression" dxfId="88" priority="227">
      <formula>$N$22=1</formula>
    </cfRule>
  </conditionalFormatting>
  <conditionalFormatting sqref="C7">
    <cfRule type="expression" dxfId="87" priority="225">
      <formula>$G$7&gt;0</formula>
    </cfRule>
  </conditionalFormatting>
  <conditionalFormatting sqref="C33">
    <cfRule type="expression" dxfId="86" priority="218">
      <formula>$G$33&lt;&gt;""</formula>
    </cfRule>
  </conditionalFormatting>
  <conditionalFormatting sqref="C57">
    <cfRule type="expression" dxfId="85" priority="199">
      <formula>$G$21="Simple"</formula>
    </cfRule>
    <cfRule type="expression" dxfId="84" priority="217">
      <formula>$G$57&lt;=0</formula>
    </cfRule>
  </conditionalFormatting>
  <conditionalFormatting sqref="C58">
    <cfRule type="expression" dxfId="83" priority="198">
      <formula>$G$21="Simple"</formula>
    </cfRule>
    <cfRule type="expression" dxfId="82" priority="214">
      <formula>AND($G$21="Intermediate",$G$58&gt;=0)</formula>
    </cfRule>
  </conditionalFormatting>
  <conditionalFormatting sqref="C63">
    <cfRule type="expression" dxfId="81" priority="197">
      <formula>$G$62=0</formula>
    </cfRule>
    <cfRule type="expression" dxfId="80" priority="213">
      <formula>$D$63=1</formula>
    </cfRule>
  </conditionalFormatting>
  <conditionalFormatting sqref="C64">
    <cfRule type="expression" dxfId="79" priority="210">
      <formula>$D$64=1</formula>
    </cfRule>
  </conditionalFormatting>
  <conditionalFormatting sqref="C66">
    <cfRule type="expression" dxfId="78" priority="209">
      <formula>$G$66&lt;1</formula>
    </cfRule>
  </conditionalFormatting>
  <conditionalFormatting sqref="C69">
    <cfRule type="expression" dxfId="77" priority="208">
      <formula>$G$69&lt;1</formula>
    </cfRule>
  </conditionalFormatting>
  <conditionalFormatting sqref="C65">
    <cfRule type="expression" dxfId="76" priority="207">
      <formula>$D$65=1</formula>
    </cfRule>
  </conditionalFormatting>
  <conditionalFormatting sqref="C68:C69 C71 C63:C66">
    <cfRule type="expression" dxfId="75" priority="196">
      <formula>$G$62=0</formula>
    </cfRule>
  </conditionalFormatting>
  <conditionalFormatting sqref="C75">
    <cfRule type="expression" dxfId="74" priority="195">
      <formula>$G$75&lt;0</formula>
    </cfRule>
  </conditionalFormatting>
  <conditionalFormatting sqref="C84">
    <cfRule type="expression" dxfId="73" priority="194">
      <formula>$G$84=""</formula>
    </cfRule>
  </conditionalFormatting>
  <conditionalFormatting sqref="C87">
    <cfRule type="expression" dxfId="72" priority="185">
      <formula>$G$84="No"</formula>
    </cfRule>
    <cfRule type="expression" dxfId="71" priority="186">
      <formula>$D$87=1</formula>
    </cfRule>
  </conditionalFormatting>
  <conditionalFormatting sqref="C86">
    <cfRule type="expression" dxfId="70" priority="184">
      <formula>$G$86=""</formula>
    </cfRule>
  </conditionalFormatting>
  <conditionalFormatting sqref="C88">
    <cfRule type="expression" dxfId="69" priority="183">
      <formula>$G$88=""</formula>
    </cfRule>
  </conditionalFormatting>
  <conditionalFormatting sqref="M27">
    <cfRule type="expression" dxfId="68" priority="181">
      <formula>$Q$27=""</formula>
    </cfRule>
  </conditionalFormatting>
  <conditionalFormatting sqref="M28">
    <cfRule type="expression" dxfId="67" priority="180">
      <formula>$N$28=1</formula>
    </cfRule>
  </conditionalFormatting>
  <conditionalFormatting sqref="M29">
    <cfRule type="expression" dxfId="66" priority="179">
      <formula>$N$29=1</formula>
    </cfRule>
  </conditionalFormatting>
  <conditionalFormatting sqref="M33">
    <cfRule type="expression" dxfId="65" priority="178">
      <formula>$Q$33=""</formula>
    </cfRule>
  </conditionalFormatting>
  <conditionalFormatting sqref="M34">
    <cfRule type="expression" dxfId="64" priority="177">
      <formula>$Q$34=""</formula>
    </cfRule>
  </conditionalFormatting>
  <conditionalFormatting sqref="M38">
    <cfRule type="expression" dxfId="63" priority="176">
      <formula>$Q$38=""</formula>
    </cfRule>
  </conditionalFormatting>
  <conditionalFormatting sqref="M35 M61 M70 M75 M64 M66 M68 M44 M47:M48 M52">
    <cfRule type="expression" dxfId="62" priority="175">
      <formula>$N35=1</formula>
    </cfRule>
  </conditionalFormatting>
  <conditionalFormatting sqref="M39">
    <cfRule type="expression" dxfId="61" priority="167">
      <formula>$Q$39&lt;0</formula>
    </cfRule>
  </conditionalFormatting>
  <conditionalFormatting sqref="M41">
    <cfRule type="expression" dxfId="60" priority="166">
      <formula>$N$41=1</formula>
    </cfRule>
  </conditionalFormatting>
  <conditionalFormatting sqref="M42">
    <cfRule type="expression" dxfId="59" priority="165">
      <formula>$Q$42=""</formula>
    </cfRule>
  </conditionalFormatting>
  <conditionalFormatting sqref="M59 M80 M83 M43">
    <cfRule type="expression" dxfId="58" priority="163">
      <formula>$Q43&lt;0</formula>
    </cfRule>
  </conditionalFormatting>
  <conditionalFormatting sqref="M50">
    <cfRule type="expression" dxfId="57" priority="159">
      <formula>$N$50=1</formula>
    </cfRule>
  </conditionalFormatting>
  <conditionalFormatting sqref="M55">
    <cfRule type="expression" dxfId="56" priority="158">
      <formula>$Q$55&lt;0</formula>
    </cfRule>
  </conditionalFormatting>
  <conditionalFormatting sqref="M57">
    <cfRule type="expression" dxfId="55" priority="157">
      <formula>$N$57=1</formula>
    </cfRule>
  </conditionalFormatting>
  <conditionalFormatting sqref="M58">
    <cfRule type="expression" dxfId="54" priority="156">
      <formula>$Q$58=""</formula>
    </cfRule>
  </conditionalFormatting>
  <conditionalFormatting sqref="M65 M67 M69 M71">
    <cfRule type="expression" dxfId="53" priority="152">
      <formula>$Q65&gt;=0</formula>
    </cfRule>
  </conditionalFormatting>
  <conditionalFormatting sqref="M76">
    <cfRule type="expression" dxfId="52" priority="140">
      <formula>$Q$75="Salvage"</formula>
    </cfRule>
    <cfRule type="expression" dxfId="51" priority="150">
      <formula>$Q$76&lt;0</formula>
    </cfRule>
  </conditionalFormatting>
  <conditionalFormatting sqref="M85">
    <cfRule type="expression" dxfId="50" priority="147">
      <formula>$Q$85&lt;0</formula>
    </cfRule>
  </conditionalFormatting>
  <conditionalFormatting sqref="M34:M35">
    <cfRule type="expression" dxfId="49" priority="146">
      <formula>$Q$33="Performance-Based"</formula>
    </cfRule>
  </conditionalFormatting>
  <conditionalFormatting sqref="M41:M42 M38:M39">
    <cfRule type="expression" dxfId="48" priority="144">
      <formula>$Q$33="Cost-Based"</formula>
    </cfRule>
  </conditionalFormatting>
  <conditionalFormatting sqref="M52 M57:M58 M55">
    <cfRule type="expression" dxfId="47" priority="141">
      <formula>$R$52=1</formula>
    </cfRule>
  </conditionalFormatting>
  <conditionalFormatting sqref="M92">
    <cfRule type="expression" dxfId="46" priority="136">
      <formula>$N$92=2</formula>
    </cfRule>
    <cfRule type="expression" dxfId="45" priority="137">
      <formula>$N$92=1</formula>
    </cfRule>
  </conditionalFormatting>
  <conditionalFormatting sqref="M93:M97">
    <cfRule type="expression" dxfId="44" priority="132">
      <formula>$N93=2</formula>
    </cfRule>
    <cfRule type="expression" dxfId="43" priority="133">
      <formula>$N93=1</formula>
    </cfRule>
  </conditionalFormatting>
  <conditionalFormatting sqref="O92:R97 AB92:AB98 U92:Z97">
    <cfRule type="expression" dxfId="42" priority="131">
      <formula>$L92=0</formula>
    </cfRule>
  </conditionalFormatting>
  <conditionalFormatting sqref="U98:Z98 O98:R98">
    <cfRule type="expression" dxfId="41" priority="126">
      <formula>$L$98=0</formula>
    </cfRule>
  </conditionalFormatting>
  <conditionalFormatting sqref="C24:C26">
    <cfRule type="expression" dxfId="40" priority="124">
      <formula>$G24&lt;0</formula>
    </cfRule>
  </conditionalFormatting>
  <conditionalFormatting sqref="C39 C41:C53">
    <cfRule type="expression" dxfId="39" priority="121">
      <formula>$G$33="Simple"</formula>
    </cfRule>
  </conditionalFormatting>
  <conditionalFormatting sqref="C39 C52:C53 C49:C50 C47 C44:C45 C41:C42">
    <cfRule type="expression" dxfId="38" priority="118">
      <formula>$G39&lt;0</formula>
    </cfRule>
    <cfRule type="expression" dxfId="37" priority="119">
      <formula>$G39&lt;0</formula>
    </cfRule>
  </conditionalFormatting>
  <conditionalFormatting sqref="C51 C46 C48 C43">
    <cfRule type="expression" dxfId="36" priority="107">
      <formula>$G$51=""</formula>
    </cfRule>
  </conditionalFormatting>
  <conditionalFormatting sqref="C35">
    <cfRule type="expression" dxfId="35" priority="106">
      <formula>$G$35&lt;0</formula>
    </cfRule>
  </conditionalFormatting>
  <conditionalFormatting sqref="C18">
    <cfRule type="expression" dxfId="34" priority="105">
      <formula>$D$18=1</formula>
    </cfRule>
  </conditionalFormatting>
  <conditionalFormatting sqref="I68 I71">
    <cfRule type="expression" dxfId="33" priority="93">
      <formula>$G68="Fail"</formula>
    </cfRule>
  </conditionalFormatting>
  <conditionalFormatting sqref="E68">
    <cfRule type="expression" dxfId="32" priority="88">
      <formula>$G$68="Fail"</formula>
    </cfRule>
  </conditionalFormatting>
  <conditionalFormatting sqref="E71">
    <cfRule type="expression" dxfId="31" priority="87">
      <formula>$G$71="Fail"</formula>
    </cfRule>
  </conditionalFormatting>
  <conditionalFormatting sqref="S52:S53 O57:Q58 O55:Q55 O52:Q53 S57:S58 S55">
    <cfRule type="expression" dxfId="30" priority="85">
      <formula>$R$52=1</formula>
    </cfRule>
  </conditionalFormatting>
  <conditionalFormatting sqref="O54:Q54 S54">
    <cfRule type="expression" dxfId="29" priority="2741">
      <formula>$R$54=1</formula>
    </cfRule>
  </conditionalFormatting>
  <conditionalFormatting sqref="E85:G90 I85:I90">
    <cfRule type="expression" dxfId="28" priority="2824">
      <formula>$G$84="No"</formula>
    </cfRule>
  </conditionalFormatting>
  <conditionalFormatting sqref="M89">
    <cfRule type="expression" dxfId="27" priority="74">
      <formula>$P$88="No"</formula>
    </cfRule>
    <cfRule type="expression" dxfId="26" priority="75">
      <formula>$P$89&lt;0</formula>
    </cfRule>
  </conditionalFormatting>
  <conditionalFormatting sqref="O89:P89">
    <cfRule type="expression" dxfId="25" priority="73">
      <formula>$P$88="No"</formula>
    </cfRule>
  </conditionalFormatting>
  <conditionalFormatting sqref="S89">
    <cfRule type="expression" dxfId="24" priority="72">
      <formula>$P$89="No"</formula>
    </cfRule>
  </conditionalFormatting>
  <conditionalFormatting sqref="M88">
    <cfRule type="expression" dxfId="23" priority="71">
      <formula>$P$88=""</formula>
    </cfRule>
  </conditionalFormatting>
  <conditionalFormatting sqref="O53:Q53 S53">
    <cfRule type="expression" dxfId="22" priority="63">
      <formula>$R$53=1</formula>
    </cfRule>
  </conditionalFormatting>
  <conditionalFormatting sqref="O53:Q53">
    <cfRule type="expression" dxfId="21" priority="62">
      <formula>$Q$53="No"</formula>
    </cfRule>
  </conditionalFormatting>
  <conditionalFormatting sqref="C8">
    <cfRule type="expression" dxfId="20" priority="45">
      <formula>$G$8&gt;0</formula>
    </cfRule>
  </conditionalFormatting>
  <conditionalFormatting sqref="C10">
    <cfRule type="expression" dxfId="19" priority="43">
      <formula>$G$10&gt;0</formula>
    </cfRule>
  </conditionalFormatting>
  <conditionalFormatting sqref="M27:M29">
    <cfRule type="expression" dxfId="18" priority="4987">
      <formula>$G$18=$Q$22</formula>
    </cfRule>
  </conditionalFormatting>
  <conditionalFormatting sqref="L38 K18">
    <cfRule type="expression" dxfId="17" priority="4988">
      <formula>$G$21="Simple"</formula>
    </cfRule>
  </conditionalFormatting>
  <conditionalFormatting sqref="L41:L42 L39 K19:K23">
    <cfRule type="expression" dxfId="16" priority="4990">
      <formula>$G$21="Intermediate"</formula>
    </cfRule>
  </conditionalFormatting>
  <conditionalFormatting sqref="M50 M48">
    <cfRule type="expression" dxfId="15" priority="5350">
      <formula>$R$48=1</formula>
    </cfRule>
  </conditionalFormatting>
  <conditionalFormatting sqref="S50:S51 O50:Q51 S48 O48:Q48">
    <cfRule type="expression" dxfId="14" priority="5368">
      <formula>$R$48=1</formula>
    </cfRule>
  </conditionalFormatting>
  <conditionalFormatting sqref="M54">
    <cfRule type="expression" dxfId="13" priority="5514">
      <formula>$Q$52="Tax Credit"</formula>
    </cfRule>
    <cfRule type="expression" dxfId="12" priority="5515">
      <formula>$Q54=""</formula>
    </cfRule>
  </conditionalFormatting>
  <conditionalFormatting sqref="O40:Q40">
    <cfRule type="expression" dxfId="11" priority="2">
      <formula>$R$33=1</formula>
    </cfRule>
  </conditionalFormatting>
  <conditionalFormatting sqref="O34:Q37 S34:S35">
    <cfRule type="expression" dxfId="10" priority="1">
      <formula>$R$33=2</formula>
    </cfRule>
  </conditionalFormatting>
  <dataValidations count="13">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70" xr:uid="{00000000-0002-0000-0100-000000000000}">
      <formula1>G69</formula1>
    </dataValidation>
    <dataValidation type="list" allowBlank="1" showInputMessage="1" showErrorMessage="1" sqref="Q54 Q44 Q61 G84 P88" xr:uid="{00000000-0002-0000-0100-000001000000}">
      <formula1>"Yes, No"</formula1>
    </dataValidation>
    <dataValidation type="list" allowBlank="1" showInputMessage="1" showErrorMessage="1" sqref="Q52 Q38" xr:uid="{00000000-0002-0000-0100-000002000000}">
      <formula1>"Cash, Tax Credit"</formula1>
    </dataValidation>
    <dataValidation type="list" allowBlank="1" showInputMessage="1" showErrorMessage="1" sqref="Q47 Q33" xr:uid="{00000000-0002-0000-0100-000003000000}">
      <formula1>"Cost-Based, Performance-Based, Neither"</formula1>
    </dataValidation>
    <dataValidation type="list" allowBlank="1" showInputMessage="1" showErrorMessage="1" sqref="Q75" xr:uid="{00000000-0002-0000-0100-000004000000}">
      <formula1>"Operations, Salvage"</formula1>
    </dataValidation>
    <dataValidation type="list" allowBlank="1" showInputMessage="1" showErrorMessage="1" sqref="Q34" xr:uid="{00000000-0002-0000-0100-000005000000}">
      <formula1>"ITC, Cash Grant"</formula1>
    </dataValidation>
    <dataValidation type="list" allowBlank="1" showInputMessage="1" showErrorMessage="1" sqref="Q27" xr:uid="{00000000-0002-0000-0100-000006000000}">
      <formula1>"Year One, Year-by-Year"</formula1>
    </dataValidation>
    <dataValidation type="list" allowBlank="1" showInputMessage="1" showErrorMessage="1" sqref="G86 G88" xr:uid="{00000000-0002-0000-0100-000007000000}">
      <formula1>"As Generated, Carried Forward"</formula1>
    </dataValidation>
    <dataValidation errorStyle="warning" allowBlank="1" showInputMessage="1" showErrorMessage="1" sqref="G68" xr:uid="{00000000-0002-0000-0100-000008000000}"/>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68 H71" xr:uid="{00000000-0002-0000-0100-000009000000}"/>
    <dataValidation errorStyle="warning" operator="greaterThanOrEqual" allowBlank="1" showInputMessage="1" showErrorMessage="1" errorTitle="test" error="test" sqref="G66" xr:uid="{00000000-0002-0000-0100-00000A000000}"/>
    <dataValidation type="list" allowBlank="1" showInputMessage="1" showErrorMessage="1" sqref="G33" xr:uid="{00000000-0002-0000-0100-00000B000000}">
      <formula1>"Simple, Intermediate"</formula1>
    </dataValidation>
    <dataValidation type="list" allowBlank="1" showInputMessage="1" showErrorMessage="1" sqref="G21" xr:uid="{00000000-0002-0000-0100-00000C000000}">
      <formula1>"Simple, Intermediate, Complex"</formula1>
    </dataValidation>
  </dataValidations>
  <hyperlinks>
    <hyperlink ref="E28" location="'Complex Inputs'!A1" display="'Complex Inputs'!A1" xr:uid="{00000000-0004-0000-0100-000000000000}"/>
    <hyperlink ref="O30" location="'Complex Inputs'!A126" display="'Complex Inputs'!A126" xr:uid="{00000000-0004-0000-0100-000001000000}"/>
    <hyperlink ref="O98" location="'Complex Inputs'!A114" display="'Complex Inputs'!A114" xr:uid="{00000000-0004-0000-0100-000002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77"/>
  <sheetViews>
    <sheetView showGridLines="0" tabSelected="1" zoomScale="70" zoomScaleNormal="70" workbookViewId="0">
      <pane xSplit="1" ySplit="2" topLeftCell="B3" activePane="bottomRight" state="frozen"/>
      <selection pane="topRight" activeCell="B1" sqref="B1"/>
      <selection pane="bottomLeft" activeCell="A3" sqref="A3"/>
      <selection pane="bottomRight" activeCell="G6" sqref="G6"/>
    </sheetView>
  </sheetViews>
  <sheetFormatPr baseColWidth="10" defaultColWidth="8.83203125" defaultRowHeight="14"/>
  <cols>
    <col min="1" max="1" width="2.5" style="160" customWidth="1"/>
    <col min="2" max="2" width="57.5" style="160" customWidth="1"/>
    <col min="3" max="3" width="15.5" style="160" customWidth="1"/>
    <col min="4" max="4" width="22.6640625" style="160" bestFit="1" customWidth="1"/>
    <col min="5" max="5" width="3.83203125" style="160" customWidth="1"/>
    <col min="6" max="15" width="26.33203125" style="160" bestFit="1" customWidth="1"/>
    <col min="16" max="243" width="9.1640625" style="160"/>
    <col min="244" max="244" width="21.5" style="160" customWidth="1"/>
    <col min="245" max="245" width="16.5" style="160" customWidth="1"/>
    <col min="246" max="246" width="18" style="160" customWidth="1"/>
    <col min="247" max="247" width="23.6640625" style="160" customWidth="1"/>
    <col min="248" max="248" width="26" style="160" customWidth="1"/>
    <col min="249" max="249" width="21.5" style="160" customWidth="1"/>
    <col min="250" max="250" width="20.83203125" style="160" customWidth="1"/>
    <col min="251" max="251" width="0" style="160" hidden="1" customWidth="1"/>
    <col min="252" max="499" width="9.1640625" style="160"/>
    <col min="500" max="500" width="21.5" style="160" customWidth="1"/>
    <col min="501" max="501" width="16.5" style="160" customWidth="1"/>
    <col min="502" max="502" width="18" style="160" customWidth="1"/>
    <col min="503" max="503" width="23.6640625" style="160" customWidth="1"/>
    <col min="504" max="504" width="26" style="160" customWidth="1"/>
    <col min="505" max="505" width="21.5" style="160" customWidth="1"/>
    <col min="506" max="506" width="20.83203125" style="160" customWidth="1"/>
    <col min="507" max="507" width="0" style="160" hidden="1" customWidth="1"/>
    <col min="508" max="755" width="9.1640625" style="160"/>
    <col min="756" max="756" width="21.5" style="160" customWidth="1"/>
    <col min="757" max="757" width="16.5" style="160" customWidth="1"/>
    <col min="758" max="758" width="18" style="160" customWidth="1"/>
    <col min="759" max="759" width="23.6640625" style="160" customWidth="1"/>
    <col min="760" max="760" width="26" style="160" customWidth="1"/>
    <col min="761" max="761" width="21.5" style="160" customWidth="1"/>
    <col min="762" max="762" width="20.83203125" style="160" customWidth="1"/>
    <col min="763" max="763" width="0" style="160" hidden="1" customWidth="1"/>
    <col min="764" max="1011" width="9.1640625" style="160"/>
    <col min="1012" max="1012" width="21.5" style="160" customWidth="1"/>
    <col min="1013" max="1013" width="16.5" style="160" customWidth="1"/>
    <col min="1014" max="1014" width="18" style="160" customWidth="1"/>
    <col min="1015" max="1015" width="23.6640625" style="160" customWidth="1"/>
    <col min="1016" max="1016" width="26" style="160" customWidth="1"/>
    <col min="1017" max="1017" width="21.5" style="160" customWidth="1"/>
    <col min="1018" max="1018" width="20.83203125" style="160" customWidth="1"/>
    <col min="1019" max="1019" width="0" style="160" hidden="1" customWidth="1"/>
    <col min="1020" max="1267" width="9.1640625" style="160"/>
    <col min="1268" max="1268" width="21.5" style="160" customWidth="1"/>
    <col min="1269" max="1269" width="16.5" style="160" customWidth="1"/>
    <col min="1270" max="1270" width="18" style="160" customWidth="1"/>
    <col min="1271" max="1271" width="23.6640625" style="160" customWidth="1"/>
    <col min="1272" max="1272" width="26" style="160" customWidth="1"/>
    <col min="1273" max="1273" width="21.5" style="160" customWidth="1"/>
    <col min="1274" max="1274" width="20.83203125" style="160" customWidth="1"/>
    <col min="1275" max="1275" width="0" style="160" hidden="1" customWidth="1"/>
    <col min="1276" max="1523" width="9.1640625" style="160"/>
    <col min="1524" max="1524" width="21.5" style="160" customWidth="1"/>
    <col min="1525" max="1525" width="16.5" style="160" customWidth="1"/>
    <col min="1526" max="1526" width="18" style="160" customWidth="1"/>
    <col min="1527" max="1527" width="23.6640625" style="160" customWidth="1"/>
    <col min="1528" max="1528" width="26" style="160" customWidth="1"/>
    <col min="1529" max="1529" width="21.5" style="160" customWidth="1"/>
    <col min="1530" max="1530" width="20.83203125" style="160" customWidth="1"/>
    <col min="1531" max="1531" width="0" style="160" hidden="1" customWidth="1"/>
    <col min="1532" max="1779" width="9.1640625" style="160"/>
    <col min="1780" max="1780" width="21.5" style="160" customWidth="1"/>
    <col min="1781" max="1781" width="16.5" style="160" customWidth="1"/>
    <col min="1782" max="1782" width="18" style="160" customWidth="1"/>
    <col min="1783" max="1783" width="23.6640625" style="160" customWidth="1"/>
    <col min="1784" max="1784" width="26" style="160" customWidth="1"/>
    <col min="1785" max="1785" width="21.5" style="160" customWidth="1"/>
    <col min="1786" max="1786" width="20.83203125" style="160" customWidth="1"/>
    <col min="1787" max="1787" width="0" style="160" hidden="1" customWidth="1"/>
    <col min="1788" max="2035" width="9.1640625" style="160"/>
    <col min="2036" max="2036" width="21.5" style="160" customWidth="1"/>
    <col min="2037" max="2037" width="16.5" style="160" customWidth="1"/>
    <col min="2038" max="2038" width="18" style="160" customWidth="1"/>
    <col min="2039" max="2039" width="23.6640625" style="160" customWidth="1"/>
    <col min="2040" max="2040" width="26" style="160" customWidth="1"/>
    <col min="2041" max="2041" width="21.5" style="160" customWidth="1"/>
    <col min="2042" max="2042" width="20.83203125" style="160" customWidth="1"/>
    <col min="2043" max="2043" width="0" style="160" hidden="1" customWidth="1"/>
    <col min="2044" max="2291" width="9.1640625" style="160"/>
    <col min="2292" max="2292" width="21.5" style="160" customWidth="1"/>
    <col min="2293" max="2293" width="16.5" style="160" customWidth="1"/>
    <col min="2294" max="2294" width="18" style="160" customWidth="1"/>
    <col min="2295" max="2295" width="23.6640625" style="160" customWidth="1"/>
    <col min="2296" max="2296" width="26" style="160" customWidth="1"/>
    <col min="2297" max="2297" width="21.5" style="160" customWidth="1"/>
    <col min="2298" max="2298" width="20.83203125" style="160" customWidth="1"/>
    <col min="2299" max="2299" width="0" style="160" hidden="1" customWidth="1"/>
    <col min="2300" max="2547" width="9.1640625" style="160"/>
    <col min="2548" max="2548" width="21.5" style="160" customWidth="1"/>
    <col min="2549" max="2549" width="16.5" style="160" customWidth="1"/>
    <col min="2550" max="2550" width="18" style="160" customWidth="1"/>
    <col min="2551" max="2551" width="23.6640625" style="160" customWidth="1"/>
    <col min="2552" max="2552" width="26" style="160" customWidth="1"/>
    <col min="2553" max="2553" width="21.5" style="160" customWidth="1"/>
    <col min="2554" max="2554" width="20.83203125" style="160" customWidth="1"/>
    <col min="2555" max="2555" width="0" style="160" hidden="1" customWidth="1"/>
    <col min="2556" max="2803" width="9.1640625" style="160"/>
    <col min="2804" max="2804" width="21.5" style="160" customWidth="1"/>
    <col min="2805" max="2805" width="16.5" style="160" customWidth="1"/>
    <col min="2806" max="2806" width="18" style="160" customWidth="1"/>
    <col min="2807" max="2807" width="23.6640625" style="160" customWidth="1"/>
    <col min="2808" max="2808" width="26" style="160" customWidth="1"/>
    <col min="2809" max="2809" width="21.5" style="160" customWidth="1"/>
    <col min="2810" max="2810" width="20.83203125" style="160" customWidth="1"/>
    <col min="2811" max="2811" width="0" style="160" hidden="1" customWidth="1"/>
    <col min="2812" max="3059" width="9.1640625" style="160"/>
    <col min="3060" max="3060" width="21.5" style="160" customWidth="1"/>
    <col min="3061" max="3061" width="16.5" style="160" customWidth="1"/>
    <col min="3062" max="3062" width="18" style="160" customWidth="1"/>
    <col min="3063" max="3063" width="23.6640625" style="160" customWidth="1"/>
    <col min="3064" max="3064" width="26" style="160" customWidth="1"/>
    <col min="3065" max="3065" width="21.5" style="160" customWidth="1"/>
    <col min="3066" max="3066" width="20.83203125" style="160" customWidth="1"/>
    <col min="3067" max="3067" width="0" style="160" hidden="1" customWidth="1"/>
    <col min="3068" max="3315" width="9.1640625" style="160"/>
    <col min="3316" max="3316" width="21.5" style="160" customWidth="1"/>
    <col min="3317" max="3317" width="16.5" style="160" customWidth="1"/>
    <col min="3318" max="3318" width="18" style="160" customWidth="1"/>
    <col min="3319" max="3319" width="23.6640625" style="160" customWidth="1"/>
    <col min="3320" max="3320" width="26" style="160" customWidth="1"/>
    <col min="3321" max="3321" width="21.5" style="160" customWidth="1"/>
    <col min="3322" max="3322" width="20.83203125" style="160" customWidth="1"/>
    <col min="3323" max="3323" width="0" style="160" hidden="1" customWidth="1"/>
    <col min="3324" max="3571" width="9.1640625" style="160"/>
    <col min="3572" max="3572" width="21.5" style="160" customWidth="1"/>
    <col min="3573" max="3573" width="16.5" style="160" customWidth="1"/>
    <col min="3574" max="3574" width="18" style="160" customWidth="1"/>
    <col min="3575" max="3575" width="23.6640625" style="160" customWidth="1"/>
    <col min="3576" max="3576" width="26" style="160" customWidth="1"/>
    <col min="3577" max="3577" width="21.5" style="160" customWidth="1"/>
    <col min="3578" max="3578" width="20.83203125" style="160" customWidth="1"/>
    <col min="3579" max="3579" width="0" style="160" hidden="1" customWidth="1"/>
    <col min="3580" max="3827" width="9.1640625" style="160"/>
    <col min="3828" max="3828" width="21.5" style="160" customWidth="1"/>
    <col min="3829" max="3829" width="16.5" style="160" customWidth="1"/>
    <col min="3830" max="3830" width="18" style="160" customWidth="1"/>
    <col min="3831" max="3831" width="23.6640625" style="160" customWidth="1"/>
    <col min="3832" max="3832" width="26" style="160" customWidth="1"/>
    <col min="3833" max="3833" width="21.5" style="160" customWidth="1"/>
    <col min="3834" max="3834" width="20.83203125" style="160" customWidth="1"/>
    <col min="3835" max="3835" width="0" style="160" hidden="1" customWidth="1"/>
    <col min="3836" max="4083" width="9.1640625" style="160"/>
    <col min="4084" max="4084" width="21.5" style="160" customWidth="1"/>
    <col min="4085" max="4085" width="16.5" style="160" customWidth="1"/>
    <col min="4086" max="4086" width="18" style="160" customWidth="1"/>
    <col min="4087" max="4087" width="23.6640625" style="160" customWidth="1"/>
    <col min="4088" max="4088" width="26" style="160" customWidth="1"/>
    <col min="4089" max="4089" width="21.5" style="160" customWidth="1"/>
    <col min="4090" max="4090" width="20.83203125" style="160" customWidth="1"/>
    <col min="4091" max="4091" width="0" style="160" hidden="1" customWidth="1"/>
    <col min="4092" max="4339" width="9.1640625" style="160"/>
    <col min="4340" max="4340" width="21.5" style="160" customWidth="1"/>
    <col min="4341" max="4341" width="16.5" style="160" customWidth="1"/>
    <col min="4342" max="4342" width="18" style="160" customWidth="1"/>
    <col min="4343" max="4343" width="23.6640625" style="160" customWidth="1"/>
    <col min="4344" max="4344" width="26" style="160" customWidth="1"/>
    <col min="4345" max="4345" width="21.5" style="160" customWidth="1"/>
    <col min="4346" max="4346" width="20.83203125" style="160" customWidth="1"/>
    <col min="4347" max="4347" width="0" style="160" hidden="1" customWidth="1"/>
    <col min="4348" max="4595" width="9.1640625" style="160"/>
    <col min="4596" max="4596" width="21.5" style="160" customWidth="1"/>
    <col min="4597" max="4597" width="16.5" style="160" customWidth="1"/>
    <col min="4598" max="4598" width="18" style="160" customWidth="1"/>
    <col min="4599" max="4599" width="23.6640625" style="160" customWidth="1"/>
    <col min="4600" max="4600" width="26" style="160" customWidth="1"/>
    <col min="4601" max="4601" width="21.5" style="160" customWidth="1"/>
    <col min="4602" max="4602" width="20.83203125" style="160" customWidth="1"/>
    <col min="4603" max="4603" width="0" style="160" hidden="1" customWidth="1"/>
    <col min="4604" max="4851" width="9.1640625" style="160"/>
    <col min="4852" max="4852" width="21.5" style="160" customWidth="1"/>
    <col min="4853" max="4853" width="16.5" style="160" customWidth="1"/>
    <col min="4854" max="4854" width="18" style="160" customWidth="1"/>
    <col min="4855" max="4855" width="23.6640625" style="160" customWidth="1"/>
    <col min="4856" max="4856" width="26" style="160" customWidth="1"/>
    <col min="4857" max="4857" width="21.5" style="160" customWidth="1"/>
    <col min="4858" max="4858" width="20.83203125" style="160" customWidth="1"/>
    <col min="4859" max="4859" width="0" style="160" hidden="1" customWidth="1"/>
    <col min="4860" max="5107" width="9.1640625" style="160"/>
    <col min="5108" max="5108" width="21.5" style="160" customWidth="1"/>
    <col min="5109" max="5109" width="16.5" style="160" customWidth="1"/>
    <col min="5110" max="5110" width="18" style="160" customWidth="1"/>
    <col min="5111" max="5111" width="23.6640625" style="160" customWidth="1"/>
    <col min="5112" max="5112" width="26" style="160" customWidth="1"/>
    <col min="5113" max="5113" width="21.5" style="160" customWidth="1"/>
    <col min="5114" max="5114" width="20.83203125" style="160" customWidth="1"/>
    <col min="5115" max="5115" width="0" style="160" hidden="1" customWidth="1"/>
    <col min="5116" max="5363" width="9.1640625" style="160"/>
    <col min="5364" max="5364" width="21.5" style="160" customWidth="1"/>
    <col min="5365" max="5365" width="16.5" style="160" customWidth="1"/>
    <col min="5366" max="5366" width="18" style="160" customWidth="1"/>
    <col min="5367" max="5367" width="23.6640625" style="160" customWidth="1"/>
    <col min="5368" max="5368" width="26" style="160" customWidth="1"/>
    <col min="5369" max="5369" width="21.5" style="160" customWidth="1"/>
    <col min="5370" max="5370" width="20.83203125" style="160" customWidth="1"/>
    <col min="5371" max="5371" width="0" style="160" hidden="1" customWidth="1"/>
    <col min="5372" max="5619" width="9.1640625" style="160"/>
    <col min="5620" max="5620" width="21.5" style="160" customWidth="1"/>
    <col min="5621" max="5621" width="16.5" style="160" customWidth="1"/>
    <col min="5622" max="5622" width="18" style="160" customWidth="1"/>
    <col min="5623" max="5623" width="23.6640625" style="160" customWidth="1"/>
    <col min="5624" max="5624" width="26" style="160" customWidth="1"/>
    <col min="5625" max="5625" width="21.5" style="160" customWidth="1"/>
    <col min="5626" max="5626" width="20.83203125" style="160" customWidth="1"/>
    <col min="5627" max="5627" width="0" style="160" hidden="1" customWidth="1"/>
    <col min="5628" max="5875" width="9.1640625" style="160"/>
    <col min="5876" max="5876" width="21.5" style="160" customWidth="1"/>
    <col min="5877" max="5877" width="16.5" style="160" customWidth="1"/>
    <col min="5878" max="5878" width="18" style="160" customWidth="1"/>
    <col min="5879" max="5879" width="23.6640625" style="160" customWidth="1"/>
    <col min="5880" max="5880" width="26" style="160" customWidth="1"/>
    <col min="5881" max="5881" width="21.5" style="160" customWidth="1"/>
    <col min="5882" max="5882" width="20.83203125" style="160" customWidth="1"/>
    <col min="5883" max="5883" width="0" style="160" hidden="1" customWidth="1"/>
    <col min="5884" max="6131" width="9.1640625" style="160"/>
    <col min="6132" max="6132" width="21.5" style="160" customWidth="1"/>
    <col min="6133" max="6133" width="16.5" style="160" customWidth="1"/>
    <col min="6134" max="6134" width="18" style="160" customWidth="1"/>
    <col min="6135" max="6135" width="23.6640625" style="160" customWidth="1"/>
    <col min="6136" max="6136" width="26" style="160" customWidth="1"/>
    <col min="6137" max="6137" width="21.5" style="160" customWidth="1"/>
    <col min="6138" max="6138" width="20.83203125" style="160" customWidth="1"/>
    <col min="6139" max="6139" width="0" style="160" hidden="1" customWidth="1"/>
    <col min="6140" max="6387" width="9.1640625" style="160"/>
    <col min="6388" max="6388" width="21.5" style="160" customWidth="1"/>
    <col min="6389" max="6389" width="16.5" style="160" customWidth="1"/>
    <col min="6390" max="6390" width="18" style="160" customWidth="1"/>
    <col min="6391" max="6391" width="23.6640625" style="160" customWidth="1"/>
    <col min="6392" max="6392" width="26" style="160" customWidth="1"/>
    <col min="6393" max="6393" width="21.5" style="160" customWidth="1"/>
    <col min="6394" max="6394" width="20.83203125" style="160" customWidth="1"/>
    <col min="6395" max="6395" width="0" style="160" hidden="1" customWidth="1"/>
    <col min="6396" max="6643" width="9.1640625" style="160"/>
    <col min="6644" max="6644" width="21.5" style="160" customWidth="1"/>
    <col min="6645" max="6645" width="16.5" style="160" customWidth="1"/>
    <col min="6646" max="6646" width="18" style="160" customWidth="1"/>
    <col min="6647" max="6647" width="23.6640625" style="160" customWidth="1"/>
    <col min="6648" max="6648" width="26" style="160" customWidth="1"/>
    <col min="6649" max="6649" width="21.5" style="160" customWidth="1"/>
    <col min="6650" max="6650" width="20.83203125" style="160" customWidth="1"/>
    <col min="6651" max="6651" width="0" style="160" hidden="1" customWidth="1"/>
    <col min="6652" max="6899" width="9.1640625" style="160"/>
    <col min="6900" max="6900" width="21.5" style="160" customWidth="1"/>
    <col min="6901" max="6901" width="16.5" style="160" customWidth="1"/>
    <col min="6902" max="6902" width="18" style="160" customWidth="1"/>
    <col min="6903" max="6903" width="23.6640625" style="160" customWidth="1"/>
    <col min="6904" max="6904" width="26" style="160" customWidth="1"/>
    <col min="6905" max="6905" width="21.5" style="160" customWidth="1"/>
    <col min="6906" max="6906" width="20.83203125" style="160" customWidth="1"/>
    <col min="6907" max="6907" width="0" style="160" hidden="1" customWidth="1"/>
    <col min="6908" max="7155" width="9.1640625" style="160"/>
    <col min="7156" max="7156" width="21.5" style="160" customWidth="1"/>
    <col min="7157" max="7157" width="16.5" style="160" customWidth="1"/>
    <col min="7158" max="7158" width="18" style="160" customWidth="1"/>
    <col min="7159" max="7159" width="23.6640625" style="160" customWidth="1"/>
    <col min="7160" max="7160" width="26" style="160" customWidth="1"/>
    <col min="7161" max="7161" width="21.5" style="160" customWidth="1"/>
    <col min="7162" max="7162" width="20.83203125" style="160" customWidth="1"/>
    <col min="7163" max="7163" width="0" style="160" hidden="1" customWidth="1"/>
    <col min="7164" max="7411" width="9.1640625" style="160"/>
    <col min="7412" max="7412" width="21.5" style="160" customWidth="1"/>
    <col min="7413" max="7413" width="16.5" style="160" customWidth="1"/>
    <col min="7414" max="7414" width="18" style="160" customWidth="1"/>
    <col min="7415" max="7415" width="23.6640625" style="160" customWidth="1"/>
    <col min="7416" max="7416" width="26" style="160" customWidth="1"/>
    <col min="7417" max="7417" width="21.5" style="160" customWidth="1"/>
    <col min="7418" max="7418" width="20.83203125" style="160" customWidth="1"/>
    <col min="7419" max="7419" width="0" style="160" hidden="1" customWidth="1"/>
    <col min="7420" max="7667" width="9.1640625" style="160"/>
    <col min="7668" max="7668" width="21.5" style="160" customWidth="1"/>
    <col min="7669" max="7669" width="16.5" style="160" customWidth="1"/>
    <col min="7670" max="7670" width="18" style="160" customWidth="1"/>
    <col min="7671" max="7671" width="23.6640625" style="160" customWidth="1"/>
    <col min="7672" max="7672" width="26" style="160" customWidth="1"/>
    <col min="7673" max="7673" width="21.5" style="160" customWidth="1"/>
    <col min="7674" max="7674" width="20.83203125" style="160" customWidth="1"/>
    <col min="7675" max="7675" width="0" style="160" hidden="1" customWidth="1"/>
    <col min="7676" max="7923" width="9.1640625" style="160"/>
    <col min="7924" max="7924" width="21.5" style="160" customWidth="1"/>
    <col min="7925" max="7925" width="16.5" style="160" customWidth="1"/>
    <col min="7926" max="7926" width="18" style="160" customWidth="1"/>
    <col min="7927" max="7927" width="23.6640625" style="160" customWidth="1"/>
    <col min="7928" max="7928" width="26" style="160" customWidth="1"/>
    <col min="7929" max="7929" width="21.5" style="160" customWidth="1"/>
    <col min="7930" max="7930" width="20.83203125" style="160" customWidth="1"/>
    <col min="7931" max="7931" width="0" style="160" hidden="1" customWidth="1"/>
    <col min="7932" max="8179" width="9.1640625" style="160"/>
    <col min="8180" max="8180" width="21.5" style="160" customWidth="1"/>
    <col min="8181" max="8181" width="16.5" style="160" customWidth="1"/>
    <col min="8182" max="8182" width="18" style="160" customWidth="1"/>
    <col min="8183" max="8183" width="23.6640625" style="160" customWidth="1"/>
    <col min="8184" max="8184" width="26" style="160" customWidth="1"/>
    <col min="8185" max="8185" width="21.5" style="160" customWidth="1"/>
    <col min="8186" max="8186" width="20.83203125" style="160" customWidth="1"/>
    <col min="8187" max="8187" width="0" style="160" hidden="1" customWidth="1"/>
    <col min="8188" max="8435" width="9.1640625" style="160"/>
    <col min="8436" max="8436" width="21.5" style="160" customWidth="1"/>
    <col min="8437" max="8437" width="16.5" style="160" customWidth="1"/>
    <col min="8438" max="8438" width="18" style="160" customWidth="1"/>
    <col min="8439" max="8439" width="23.6640625" style="160" customWidth="1"/>
    <col min="8440" max="8440" width="26" style="160" customWidth="1"/>
    <col min="8441" max="8441" width="21.5" style="160" customWidth="1"/>
    <col min="8442" max="8442" width="20.83203125" style="160" customWidth="1"/>
    <col min="8443" max="8443" width="0" style="160" hidden="1" customWidth="1"/>
    <col min="8444" max="8691" width="9.1640625" style="160"/>
    <col min="8692" max="8692" width="21.5" style="160" customWidth="1"/>
    <col min="8693" max="8693" width="16.5" style="160" customWidth="1"/>
    <col min="8694" max="8694" width="18" style="160" customWidth="1"/>
    <col min="8695" max="8695" width="23.6640625" style="160" customWidth="1"/>
    <col min="8696" max="8696" width="26" style="160" customWidth="1"/>
    <col min="8697" max="8697" width="21.5" style="160" customWidth="1"/>
    <col min="8698" max="8698" width="20.83203125" style="160" customWidth="1"/>
    <col min="8699" max="8699" width="0" style="160" hidden="1" customWidth="1"/>
    <col min="8700" max="8947" width="9.1640625" style="160"/>
    <col min="8948" max="8948" width="21.5" style="160" customWidth="1"/>
    <col min="8949" max="8949" width="16.5" style="160" customWidth="1"/>
    <col min="8950" max="8950" width="18" style="160" customWidth="1"/>
    <col min="8951" max="8951" width="23.6640625" style="160" customWidth="1"/>
    <col min="8952" max="8952" width="26" style="160" customWidth="1"/>
    <col min="8953" max="8953" width="21.5" style="160" customWidth="1"/>
    <col min="8954" max="8954" width="20.83203125" style="160" customWidth="1"/>
    <col min="8955" max="8955" width="0" style="160" hidden="1" customWidth="1"/>
    <col min="8956" max="9203" width="9.1640625" style="160"/>
    <col min="9204" max="9204" width="21.5" style="160" customWidth="1"/>
    <col min="9205" max="9205" width="16.5" style="160" customWidth="1"/>
    <col min="9206" max="9206" width="18" style="160" customWidth="1"/>
    <col min="9207" max="9207" width="23.6640625" style="160" customWidth="1"/>
    <col min="9208" max="9208" width="26" style="160" customWidth="1"/>
    <col min="9209" max="9209" width="21.5" style="160" customWidth="1"/>
    <col min="9210" max="9210" width="20.83203125" style="160" customWidth="1"/>
    <col min="9211" max="9211" width="0" style="160" hidden="1" customWidth="1"/>
    <col min="9212" max="9459" width="9.1640625" style="160"/>
    <col min="9460" max="9460" width="21.5" style="160" customWidth="1"/>
    <col min="9461" max="9461" width="16.5" style="160" customWidth="1"/>
    <col min="9462" max="9462" width="18" style="160" customWidth="1"/>
    <col min="9463" max="9463" width="23.6640625" style="160" customWidth="1"/>
    <col min="9464" max="9464" width="26" style="160" customWidth="1"/>
    <col min="9465" max="9465" width="21.5" style="160" customWidth="1"/>
    <col min="9466" max="9466" width="20.83203125" style="160" customWidth="1"/>
    <col min="9467" max="9467" width="0" style="160" hidden="1" customWidth="1"/>
    <col min="9468" max="9715" width="9.1640625" style="160"/>
    <col min="9716" max="9716" width="21.5" style="160" customWidth="1"/>
    <col min="9717" max="9717" width="16.5" style="160" customWidth="1"/>
    <col min="9718" max="9718" width="18" style="160" customWidth="1"/>
    <col min="9719" max="9719" width="23.6640625" style="160" customWidth="1"/>
    <col min="9720" max="9720" width="26" style="160" customWidth="1"/>
    <col min="9721" max="9721" width="21.5" style="160" customWidth="1"/>
    <col min="9722" max="9722" width="20.83203125" style="160" customWidth="1"/>
    <col min="9723" max="9723" width="0" style="160" hidden="1" customWidth="1"/>
    <col min="9724" max="9971" width="9.1640625" style="160"/>
    <col min="9972" max="9972" width="21.5" style="160" customWidth="1"/>
    <col min="9973" max="9973" width="16.5" style="160" customWidth="1"/>
    <col min="9974" max="9974" width="18" style="160" customWidth="1"/>
    <col min="9975" max="9975" width="23.6640625" style="160" customWidth="1"/>
    <col min="9976" max="9976" width="26" style="160" customWidth="1"/>
    <col min="9977" max="9977" width="21.5" style="160" customWidth="1"/>
    <col min="9978" max="9978" width="20.83203125" style="160" customWidth="1"/>
    <col min="9979" max="9979" width="0" style="160" hidden="1" customWidth="1"/>
    <col min="9980" max="10227" width="9.1640625" style="160"/>
    <col min="10228" max="10228" width="21.5" style="160" customWidth="1"/>
    <col min="10229" max="10229" width="16.5" style="160" customWidth="1"/>
    <col min="10230" max="10230" width="18" style="160" customWidth="1"/>
    <col min="10231" max="10231" width="23.6640625" style="160" customWidth="1"/>
    <col min="10232" max="10232" width="26" style="160" customWidth="1"/>
    <col min="10233" max="10233" width="21.5" style="160" customWidth="1"/>
    <col min="10234" max="10234" width="20.83203125" style="160" customWidth="1"/>
    <col min="10235" max="10235" width="0" style="160" hidden="1" customWidth="1"/>
    <col min="10236" max="10483" width="9.1640625" style="160"/>
    <col min="10484" max="10484" width="21.5" style="160" customWidth="1"/>
    <col min="10485" max="10485" width="16.5" style="160" customWidth="1"/>
    <col min="10486" max="10486" width="18" style="160" customWidth="1"/>
    <col min="10487" max="10487" width="23.6640625" style="160" customWidth="1"/>
    <col min="10488" max="10488" width="26" style="160" customWidth="1"/>
    <col min="10489" max="10489" width="21.5" style="160" customWidth="1"/>
    <col min="10490" max="10490" width="20.83203125" style="160" customWidth="1"/>
    <col min="10491" max="10491" width="0" style="160" hidden="1" customWidth="1"/>
    <col min="10492" max="10739" width="9.1640625" style="160"/>
    <col min="10740" max="10740" width="21.5" style="160" customWidth="1"/>
    <col min="10741" max="10741" width="16.5" style="160" customWidth="1"/>
    <col min="10742" max="10742" width="18" style="160" customWidth="1"/>
    <col min="10743" max="10743" width="23.6640625" style="160" customWidth="1"/>
    <col min="10744" max="10744" width="26" style="160" customWidth="1"/>
    <col min="10745" max="10745" width="21.5" style="160" customWidth="1"/>
    <col min="10746" max="10746" width="20.83203125" style="160" customWidth="1"/>
    <col min="10747" max="10747" width="0" style="160" hidden="1" customWidth="1"/>
    <col min="10748" max="10995" width="9.1640625" style="160"/>
    <col min="10996" max="10996" width="21.5" style="160" customWidth="1"/>
    <col min="10997" max="10997" width="16.5" style="160" customWidth="1"/>
    <col min="10998" max="10998" width="18" style="160" customWidth="1"/>
    <col min="10999" max="10999" width="23.6640625" style="160" customWidth="1"/>
    <col min="11000" max="11000" width="26" style="160" customWidth="1"/>
    <col min="11001" max="11001" width="21.5" style="160" customWidth="1"/>
    <col min="11002" max="11002" width="20.83203125" style="160" customWidth="1"/>
    <col min="11003" max="11003" width="0" style="160" hidden="1" customWidth="1"/>
    <col min="11004" max="11251" width="9.1640625" style="160"/>
    <col min="11252" max="11252" width="21.5" style="160" customWidth="1"/>
    <col min="11253" max="11253" width="16.5" style="160" customWidth="1"/>
    <col min="11254" max="11254" width="18" style="160" customWidth="1"/>
    <col min="11255" max="11255" width="23.6640625" style="160" customWidth="1"/>
    <col min="11256" max="11256" width="26" style="160" customWidth="1"/>
    <col min="11257" max="11257" width="21.5" style="160" customWidth="1"/>
    <col min="11258" max="11258" width="20.83203125" style="160" customWidth="1"/>
    <col min="11259" max="11259" width="0" style="160" hidden="1" customWidth="1"/>
    <col min="11260" max="11507" width="9.1640625" style="160"/>
    <col min="11508" max="11508" width="21.5" style="160" customWidth="1"/>
    <col min="11509" max="11509" width="16.5" style="160" customWidth="1"/>
    <col min="11510" max="11510" width="18" style="160" customWidth="1"/>
    <col min="11511" max="11511" width="23.6640625" style="160" customWidth="1"/>
    <col min="11512" max="11512" width="26" style="160" customWidth="1"/>
    <col min="11513" max="11513" width="21.5" style="160" customWidth="1"/>
    <col min="11514" max="11514" width="20.83203125" style="160" customWidth="1"/>
    <col min="11515" max="11515" width="0" style="160" hidden="1" customWidth="1"/>
    <col min="11516" max="11763" width="9.1640625" style="160"/>
    <col min="11764" max="11764" width="21.5" style="160" customWidth="1"/>
    <col min="11765" max="11765" width="16.5" style="160" customWidth="1"/>
    <col min="11766" max="11766" width="18" style="160" customWidth="1"/>
    <col min="11767" max="11767" width="23.6640625" style="160" customWidth="1"/>
    <col min="11768" max="11768" width="26" style="160" customWidth="1"/>
    <col min="11769" max="11769" width="21.5" style="160" customWidth="1"/>
    <col min="11770" max="11770" width="20.83203125" style="160" customWidth="1"/>
    <col min="11771" max="11771" width="0" style="160" hidden="1" customWidth="1"/>
    <col min="11772" max="12019" width="9.1640625" style="160"/>
    <col min="12020" max="12020" width="21.5" style="160" customWidth="1"/>
    <col min="12021" max="12021" width="16.5" style="160" customWidth="1"/>
    <col min="12022" max="12022" width="18" style="160" customWidth="1"/>
    <col min="12023" max="12023" width="23.6640625" style="160" customWidth="1"/>
    <col min="12024" max="12024" width="26" style="160" customWidth="1"/>
    <col min="12025" max="12025" width="21.5" style="160" customWidth="1"/>
    <col min="12026" max="12026" width="20.83203125" style="160" customWidth="1"/>
    <col min="12027" max="12027" width="0" style="160" hidden="1" customWidth="1"/>
    <col min="12028" max="12275" width="9.1640625" style="160"/>
    <col min="12276" max="12276" width="21.5" style="160" customWidth="1"/>
    <col min="12277" max="12277" width="16.5" style="160" customWidth="1"/>
    <col min="12278" max="12278" width="18" style="160" customWidth="1"/>
    <col min="12279" max="12279" width="23.6640625" style="160" customWidth="1"/>
    <col min="12280" max="12280" width="26" style="160" customWidth="1"/>
    <col min="12281" max="12281" width="21.5" style="160" customWidth="1"/>
    <col min="12282" max="12282" width="20.83203125" style="160" customWidth="1"/>
    <col min="12283" max="12283" width="0" style="160" hidden="1" customWidth="1"/>
    <col min="12284" max="12531" width="9.1640625" style="160"/>
    <col min="12532" max="12532" width="21.5" style="160" customWidth="1"/>
    <col min="12533" max="12533" width="16.5" style="160" customWidth="1"/>
    <col min="12534" max="12534" width="18" style="160" customWidth="1"/>
    <col min="12535" max="12535" width="23.6640625" style="160" customWidth="1"/>
    <col min="12536" max="12536" width="26" style="160" customWidth="1"/>
    <col min="12537" max="12537" width="21.5" style="160" customWidth="1"/>
    <col min="12538" max="12538" width="20.83203125" style="160" customWidth="1"/>
    <col min="12539" max="12539" width="0" style="160" hidden="1" customWidth="1"/>
    <col min="12540" max="12787" width="9.1640625" style="160"/>
    <col min="12788" max="12788" width="21.5" style="160" customWidth="1"/>
    <col min="12789" max="12789" width="16.5" style="160" customWidth="1"/>
    <col min="12790" max="12790" width="18" style="160" customWidth="1"/>
    <col min="12791" max="12791" width="23.6640625" style="160" customWidth="1"/>
    <col min="12792" max="12792" width="26" style="160" customWidth="1"/>
    <col min="12793" max="12793" width="21.5" style="160" customWidth="1"/>
    <col min="12794" max="12794" width="20.83203125" style="160" customWidth="1"/>
    <col min="12795" max="12795" width="0" style="160" hidden="1" customWidth="1"/>
    <col min="12796" max="13043" width="9.1640625" style="160"/>
    <col min="13044" max="13044" width="21.5" style="160" customWidth="1"/>
    <col min="13045" max="13045" width="16.5" style="160" customWidth="1"/>
    <col min="13046" max="13046" width="18" style="160" customWidth="1"/>
    <col min="13047" max="13047" width="23.6640625" style="160" customWidth="1"/>
    <col min="13048" max="13048" width="26" style="160" customWidth="1"/>
    <col min="13049" max="13049" width="21.5" style="160" customWidth="1"/>
    <col min="13050" max="13050" width="20.83203125" style="160" customWidth="1"/>
    <col min="13051" max="13051" width="0" style="160" hidden="1" customWidth="1"/>
    <col min="13052" max="13299" width="9.1640625" style="160"/>
    <col min="13300" max="13300" width="21.5" style="160" customWidth="1"/>
    <col min="13301" max="13301" width="16.5" style="160" customWidth="1"/>
    <col min="13302" max="13302" width="18" style="160" customWidth="1"/>
    <col min="13303" max="13303" width="23.6640625" style="160" customWidth="1"/>
    <col min="13304" max="13304" width="26" style="160" customWidth="1"/>
    <col min="13305" max="13305" width="21.5" style="160" customWidth="1"/>
    <col min="13306" max="13306" width="20.83203125" style="160" customWidth="1"/>
    <col min="13307" max="13307" width="0" style="160" hidden="1" customWidth="1"/>
    <col min="13308" max="13555" width="9.1640625" style="160"/>
    <col min="13556" max="13556" width="21.5" style="160" customWidth="1"/>
    <col min="13557" max="13557" width="16.5" style="160" customWidth="1"/>
    <col min="13558" max="13558" width="18" style="160" customWidth="1"/>
    <col min="13559" max="13559" width="23.6640625" style="160" customWidth="1"/>
    <col min="13560" max="13560" width="26" style="160" customWidth="1"/>
    <col min="13561" max="13561" width="21.5" style="160" customWidth="1"/>
    <col min="13562" max="13562" width="20.83203125" style="160" customWidth="1"/>
    <col min="13563" max="13563" width="0" style="160" hidden="1" customWidth="1"/>
    <col min="13564" max="13811" width="9.1640625" style="160"/>
    <col min="13812" max="13812" width="21.5" style="160" customWidth="1"/>
    <col min="13813" max="13813" width="16.5" style="160" customWidth="1"/>
    <col min="13814" max="13814" width="18" style="160" customWidth="1"/>
    <col min="13815" max="13815" width="23.6640625" style="160" customWidth="1"/>
    <col min="13816" max="13816" width="26" style="160" customWidth="1"/>
    <col min="13817" max="13817" width="21.5" style="160" customWidth="1"/>
    <col min="13818" max="13818" width="20.83203125" style="160" customWidth="1"/>
    <col min="13819" max="13819" width="0" style="160" hidden="1" customWidth="1"/>
    <col min="13820" max="14067" width="9.1640625" style="160"/>
    <col min="14068" max="14068" width="21.5" style="160" customWidth="1"/>
    <col min="14069" max="14069" width="16.5" style="160" customWidth="1"/>
    <col min="14070" max="14070" width="18" style="160" customWidth="1"/>
    <col min="14071" max="14071" width="23.6640625" style="160" customWidth="1"/>
    <col min="14072" max="14072" width="26" style="160" customWidth="1"/>
    <col min="14073" max="14073" width="21.5" style="160" customWidth="1"/>
    <col min="14074" max="14074" width="20.83203125" style="160" customWidth="1"/>
    <col min="14075" max="14075" width="0" style="160" hidden="1" customWidth="1"/>
    <col min="14076" max="14323" width="9.1640625" style="160"/>
    <col min="14324" max="14324" width="21.5" style="160" customWidth="1"/>
    <col min="14325" max="14325" width="16.5" style="160" customWidth="1"/>
    <col min="14326" max="14326" width="18" style="160" customWidth="1"/>
    <col min="14327" max="14327" width="23.6640625" style="160" customWidth="1"/>
    <col min="14328" max="14328" width="26" style="160" customWidth="1"/>
    <col min="14329" max="14329" width="21.5" style="160" customWidth="1"/>
    <col min="14330" max="14330" width="20.83203125" style="160" customWidth="1"/>
    <col min="14331" max="14331" width="0" style="160" hidden="1" customWidth="1"/>
    <col min="14332" max="14579" width="9.1640625" style="160"/>
    <col min="14580" max="14580" width="21.5" style="160" customWidth="1"/>
    <col min="14581" max="14581" width="16.5" style="160" customWidth="1"/>
    <col min="14582" max="14582" width="18" style="160" customWidth="1"/>
    <col min="14583" max="14583" width="23.6640625" style="160" customWidth="1"/>
    <col min="14584" max="14584" width="26" style="160" customWidth="1"/>
    <col min="14585" max="14585" width="21.5" style="160" customWidth="1"/>
    <col min="14586" max="14586" width="20.83203125" style="160" customWidth="1"/>
    <col min="14587" max="14587" width="0" style="160" hidden="1" customWidth="1"/>
    <col min="14588" max="14835" width="9.1640625" style="160"/>
    <col min="14836" max="14836" width="21.5" style="160" customWidth="1"/>
    <col min="14837" max="14837" width="16.5" style="160" customWidth="1"/>
    <col min="14838" max="14838" width="18" style="160" customWidth="1"/>
    <col min="14839" max="14839" width="23.6640625" style="160" customWidth="1"/>
    <col min="14840" max="14840" width="26" style="160" customWidth="1"/>
    <col min="14841" max="14841" width="21.5" style="160" customWidth="1"/>
    <col min="14842" max="14842" width="20.83203125" style="160" customWidth="1"/>
    <col min="14843" max="14843" width="0" style="160" hidden="1" customWidth="1"/>
    <col min="14844" max="15091" width="9.1640625" style="160"/>
    <col min="15092" max="15092" width="21.5" style="160" customWidth="1"/>
    <col min="15093" max="15093" width="16.5" style="160" customWidth="1"/>
    <col min="15094" max="15094" width="18" style="160" customWidth="1"/>
    <col min="15095" max="15095" width="23.6640625" style="160" customWidth="1"/>
    <col min="15096" max="15096" width="26" style="160" customWidth="1"/>
    <col min="15097" max="15097" width="21.5" style="160" customWidth="1"/>
    <col min="15098" max="15098" width="20.83203125" style="160" customWidth="1"/>
    <col min="15099" max="15099" width="0" style="160" hidden="1" customWidth="1"/>
    <col min="15100" max="15347" width="9.1640625" style="160"/>
    <col min="15348" max="15348" width="21.5" style="160" customWidth="1"/>
    <col min="15349" max="15349" width="16.5" style="160" customWidth="1"/>
    <col min="15350" max="15350" width="18" style="160" customWidth="1"/>
    <col min="15351" max="15351" width="23.6640625" style="160" customWidth="1"/>
    <col min="15352" max="15352" width="26" style="160" customWidth="1"/>
    <col min="15353" max="15353" width="21.5" style="160" customWidth="1"/>
    <col min="15354" max="15354" width="20.83203125" style="160" customWidth="1"/>
    <col min="15355" max="15355" width="0" style="160" hidden="1" customWidth="1"/>
    <col min="15356" max="15603" width="9.1640625" style="160"/>
    <col min="15604" max="15604" width="21.5" style="160" customWidth="1"/>
    <col min="15605" max="15605" width="16.5" style="160" customWidth="1"/>
    <col min="15606" max="15606" width="18" style="160" customWidth="1"/>
    <col min="15607" max="15607" width="23.6640625" style="160" customWidth="1"/>
    <col min="15608" max="15608" width="26" style="160" customWidth="1"/>
    <col min="15609" max="15609" width="21.5" style="160" customWidth="1"/>
    <col min="15610" max="15610" width="20.83203125" style="160" customWidth="1"/>
    <col min="15611" max="15611" width="0" style="160" hidden="1" customWidth="1"/>
    <col min="15612" max="15859" width="9.1640625" style="160"/>
    <col min="15860" max="15860" width="21.5" style="160" customWidth="1"/>
    <col min="15861" max="15861" width="16.5" style="160" customWidth="1"/>
    <col min="15862" max="15862" width="18" style="160" customWidth="1"/>
    <col min="15863" max="15863" width="23.6640625" style="160" customWidth="1"/>
    <col min="15864" max="15864" width="26" style="160" customWidth="1"/>
    <col min="15865" max="15865" width="21.5" style="160" customWidth="1"/>
    <col min="15866" max="15866" width="20.83203125" style="160" customWidth="1"/>
    <col min="15867" max="15867" width="0" style="160" hidden="1" customWidth="1"/>
    <col min="15868" max="16115" width="9.1640625" style="160"/>
    <col min="16116" max="16116" width="21.5" style="160" customWidth="1"/>
    <col min="16117" max="16117" width="16.5" style="160" customWidth="1"/>
    <col min="16118" max="16118" width="18" style="160" customWidth="1"/>
    <col min="16119" max="16119" width="23.6640625" style="160" customWidth="1"/>
    <col min="16120" max="16120" width="26" style="160" customWidth="1"/>
    <col min="16121" max="16121" width="21.5" style="160" customWidth="1"/>
    <col min="16122" max="16122" width="20.83203125" style="160" customWidth="1"/>
    <col min="16123" max="16123" width="0" style="160" hidden="1" customWidth="1"/>
    <col min="16124" max="16384" width="9.1640625" style="160"/>
  </cols>
  <sheetData>
    <row r="1" spans="2:15" ht="9" customHeight="1"/>
    <row r="2" spans="2:15" ht="30" customHeight="1">
      <c r="B2" s="197" t="s">
        <v>225</v>
      </c>
      <c r="C2" s="198"/>
      <c r="D2" s="198"/>
      <c r="E2" s="198"/>
      <c r="F2" s="198"/>
      <c r="G2" s="198"/>
      <c r="H2" s="198"/>
      <c r="I2" s="198"/>
      <c r="J2" s="199"/>
    </row>
    <row r="3" spans="2:15" ht="30" customHeight="1">
      <c r="B3" s="798" t="s">
        <v>206</v>
      </c>
      <c r="C3" s="799"/>
      <c r="D3" s="799"/>
      <c r="E3" s="799"/>
      <c r="F3" s="799"/>
      <c r="G3" s="799"/>
      <c r="H3" s="799"/>
      <c r="I3" s="799"/>
      <c r="J3" s="800"/>
    </row>
    <row r="4" spans="2:15" ht="15" customHeight="1" thickBot="1">
      <c r="B4" s="322"/>
      <c r="C4" s="322"/>
      <c r="D4" s="322"/>
      <c r="E4" s="322"/>
      <c r="F4" s="322"/>
      <c r="G4" s="322"/>
      <c r="H4" s="322"/>
      <c r="I4" s="322"/>
      <c r="J4" s="322"/>
    </row>
    <row r="5" spans="2:15" ht="45" customHeight="1" thickBot="1">
      <c r="B5" s="803" t="s">
        <v>319</v>
      </c>
      <c r="C5" s="804"/>
      <c r="D5" s="805"/>
      <c r="E5" s="322"/>
      <c r="F5" s="798" t="s">
        <v>204</v>
      </c>
      <c r="G5" s="799"/>
      <c r="H5" s="799"/>
      <c r="I5" s="799"/>
      <c r="J5" s="800"/>
    </row>
    <row r="6" spans="2:15" ht="15" thickBot="1">
      <c r="B6" s="479" t="s">
        <v>50</v>
      </c>
      <c r="C6" s="480" t="s">
        <v>61</v>
      </c>
      <c r="D6" s="481" t="s">
        <v>60</v>
      </c>
      <c r="E6" s="174"/>
      <c r="F6" s="323" t="s">
        <v>205</v>
      </c>
      <c r="G6" s="323" t="s">
        <v>205</v>
      </c>
      <c r="H6" s="323" t="s">
        <v>205</v>
      </c>
      <c r="I6" s="323" t="s">
        <v>205</v>
      </c>
      <c r="J6" s="323" t="s">
        <v>205</v>
      </c>
      <c r="K6" s="323" t="s">
        <v>205</v>
      </c>
      <c r="L6" s="323" t="s">
        <v>205</v>
      </c>
      <c r="M6" s="323" t="s">
        <v>205</v>
      </c>
      <c r="N6" s="323" t="s">
        <v>205</v>
      </c>
      <c r="O6" s="323" t="s">
        <v>205</v>
      </c>
    </row>
    <row r="7" spans="2:15" s="722" customFormat="1" ht="30" customHeight="1">
      <c r="B7" s="720" t="s">
        <v>419</v>
      </c>
      <c r="C7" s="717" t="s">
        <v>52</v>
      </c>
      <c r="D7" s="718">
        <f>'Cash Flow'!G84</f>
        <v>11.349999999999998</v>
      </c>
      <c r="E7" s="721"/>
      <c r="F7" s="718"/>
      <c r="G7" s="718"/>
      <c r="H7" s="718"/>
      <c r="I7" s="718"/>
      <c r="J7" s="718"/>
      <c r="K7" s="718"/>
      <c r="L7" s="718"/>
      <c r="M7" s="718"/>
      <c r="N7" s="718"/>
      <c r="O7" s="719"/>
    </row>
    <row r="8" spans="2:15" ht="15.75" customHeight="1">
      <c r="B8" s="200" t="s">
        <v>199</v>
      </c>
      <c r="C8" s="201" t="s">
        <v>1</v>
      </c>
      <c r="D8" s="324">
        <f>Inputs!$Q$24</f>
        <v>0</v>
      </c>
      <c r="E8" s="256"/>
      <c r="F8" s="324"/>
      <c r="G8" s="324"/>
      <c r="H8" s="324"/>
      <c r="I8" s="324"/>
      <c r="J8" s="324"/>
      <c r="K8" s="324"/>
      <c r="L8" s="324"/>
      <c r="M8" s="324"/>
      <c r="N8" s="324"/>
      <c r="O8" s="531"/>
    </row>
    <row r="9" spans="2:15" ht="15.75" customHeight="1">
      <c r="B9" s="202" t="s">
        <v>103</v>
      </c>
      <c r="C9" s="203" t="s">
        <v>1</v>
      </c>
      <c r="D9" s="324">
        <f>Inputs!$Q$23</f>
        <v>0</v>
      </c>
      <c r="E9" s="256"/>
      <c r="F9" s="324"/>
      <c r="G9" s="324"/>
      <c r="H9" s="324"/>
      <c r="I9" s="324"/>
      <c r="J9" s="324"/>
      <c r="K9" s="324"/>
      <c r="L9" s="324"/>
      <c r="M9" s="324"/>
      <c r="N9" s="324"/>
      <c r="O9" s="531"/>
    </row>
    <row r="10" spans="2:15" ht="30">
      <c r="B10" s="494" t="s">
        <v>297</v>
      </c>
      <c r="C10" s="495"/>
      <c r="D10" s="486" t="str">
        <f>IF(Inputs!$G$68="Pass","Yes","No, see Inputs Worksheet")</f>
        <v>No, see Inputs Worksheet</v>
      </c>
      <c r="E10" s="174"/>
      <c r="F10" s="530"/>
      <c r="G10" s="530"/>
      <c r="H10" s="530"/>
      <c r="I10" s="530"/>
      <c r="J10" s="530"/>
      <c r="K10" s="530"/>
      <c r="L10" s="530"/>
      <c r="M10" s="530"/>
      <c r="N10" s="530"/>
      <c r="O10" s="530"/>
    </row>
    <row r="11" spans="2:15" ht="15">
      <c r="B11" s="496" t="s">
        <v>298</v>
      </c>
      <c r="C11" s="497"/>
      <c r="D11" s="486" t="str">
        <f>IF(Inputs!$G$71="Pass","Yes","No, see Inputs Worksheet")</f>
        <v>Yes</v>
      </c>
      <c r="E11" s="174"/>
      <c r="F11" s="530"/>
      <c r="G11" s="530"/>
      <c r="H11" s="530"/>
      <c r="I11" s="530"/>
      <c r="J11" s="530"/>
      <c r="K11" s="530"/>
      <c r="L11" s="530"/>
      <c r="M11" s="530"/>
      <c r="N11" s="530"/>
      <c r="O11" s="532"/>
    </row>
    <row r="12" spans="2:15" ht="15.75" customHeight="1">
      <c r="B12" s="469" t="s">
        <v>311</v>
      </c>
      <c r="C12" s="467"/>
      <c r="D12" s="468"/>
      <c r="E12" s="174"/>
      <c r="F12" s="529"/>
      <c r="G12" s="529"/>
      <c r="H12" s="529"/>
      <c r="I12" s="529"/>
      <c r="J12" s="529"/>
      <c r="K12" s="529"/>
      <c r="L12" s="529"/>
      <c r="M12" s="529"/>
      <c r="N12" s="529"/>
      <c r="O12" s="529"/>
    </row>
    <row r="13" spans="2:15" ht="15.75" customHeight="1">
      <c r="B13" s="336"/>
      <c r="C13" s="201"/>
      <c r="D13" s="337"/>
      <c r="E13" s="174"/>
      <c r="F13" s="337"/>
      <c r="G13" s="337"/>
      <c r="H13" s="337"/>
      <c r="I13" s="337"/>
      <c r="J13" s="337"/>
      <c r="K13" s="337"/>
      <c r="L13" s="337"/>
      <c r="M13" s="337"/>
      <c r="N13" s="337"/>
      <c r="O13" s="337"/>
    </row>
    <row r="14" spans="2:15" s="722" customFormat="1" ht="30" customHeight="1">
      <c r="B14" s="723" t="s">
        <v>420</v>
      </c>
      <c r="C14" s="724" t="s">
        <v>52</v>
      </c>
      <c r="D14" s="725">
        <f>-PMT(Inputs!$G$73,Inputs!$Q$22,NPV(Inputs!$G$73,'Cash Flow'!G17:AJ17))</f>
        <v>11.349999999999993</v>
      </c>
      <c r="E14" s="726"/>
      <c r="F14" s="725"/>
      <c r="G14" s="725"/>
      <c r="H14" s="725"/>
      <c r="I14" s="725"/>
      <c r="J14" s="725"/>
      <c r="K14" s="725"/>
      <c r="L14" s="725"/>
      <c r="M14" s="725"/>
      <c r="N14" s="725"/>
      <c r="O14" s="725"/>
    </row>
    <row r="15" spans="2:15" s="180" customFormat="1">
      <c r="C15" s="204"/>
      <c r="D15" s="205"/>
      <c r="E15" s="179"/>
      <c r="F15" s="205"/>
      <c r="G15" s="205"/>
      <c r="H15" s="205"/>
      <c r="I15" s="205"/>
      <c r="J15" s="205"/>
      <c r="K15" s="205"/>
      <c r="L15" s="205"/>
      <c r="M15" s="205"/>
      <c r="N15" s="205"/>
      <c r="O15" s="205"/>
    </row>
    <row r="16" spans="2:15" s="180" customFormat="1" ht="15.75" customHeight="1">
      <c r="B16" s="206" t="s">
        <v>49</v>
      </c>
      <c r="C16" s="341"/>
      <c r="D16" s="340"/>
      <c r="E16" s="174"/>
      <c r="F16" s="339"/>
      <c r="G16" s="339"/>
      <c r="H16" s="339"/>
      <c r="I16" s="339"/>
      <c r="J16" s="339"/>
      <c r="K16" s="339"/>
      <c r="L16" s="339"/>
      <c r="M16" s="339"/>
      <c r="N16" s="339"/>
      <c r="O16" s="339"/>
    </row>
    <row r="17" spans="2:15" s="180" customFormat="1" ht="15.75" customHeight="1">
      <c r="B17" s="700"/>
      <c r="C17" s="699"/>
      <c r="D17" s="701"/>
      <c r="E17" s="174"/>
      <c r="F17" s="702"/>
      <c r="G17" s="702"/>
      <c r="H17" s="702"/>
      <c r="I17" s="702"/>
      <c r="J17" s="702"/>
      <c r="K17" s="702"/>
      <c r="L17" s="702"/>
      <c r="M17" s="702"/>
      <c r="N17" s="702"/>
      <c r="O17" s="702"/>
    </row>
    <row r="18" spans="2:15">
      <c r="B18" s="200" t="s">
        <v>28</v>
      </c>
      <c r="C18" s="201" t="str">
        <f>Inputs!F7</f>
        <v>kW</v>
      </c>
      <c r="D18" s="525">
        <f>Inputs!G7</f>
        <v>500</v>
      </c>
      <c r="E18" s="209"/>
      <c r="F18" s="707"/>
      <c r="G18" s="527"/>
      <c r="H18" s="526"/>
      <c r="I18" s="526"/>
      <c r="J18" s="526"/>
      <c r="K18" s="526"/>
      <c r="L18" s="527"/>
      <c r="M18" s="526"/>
      <c r="N18" s="526"/>
      <c r="O18" s="526"/>
    </row>
    <row r="19" spans="2:15">
      <c r="B19" s="736" t="str">
        <f>Inputs!E9</f>
        <v>Biogas Consumption per Year</v>
      </c>
      <c r="C19" s="201" t="str">
        <f>Inputs!F9</f>
        <v>cubic feet/year</v>
      </c>
      <c r="D19" s="525">
        <f>Inputs!G9</f>
        <v>77634077.922077924</v>
      </c>
      <c r="E19" s="209"/>
      <c r="F19" s="707"/>
      <c r="G19" s="527"/>
      <c r="H19" s="526"/>
      <c r="I19" s="526"/>
      <c r="J19" s="526"/>
      <c r="K19" s="526"/>
      <c r="L19" s="527"/>
      <c r="M19" s="526"/>
      <c r="N19" s="526"/>
      <c r="O19" s="526"/>
    </row>
    <row r="20" spans="2:15">
      <c r="B20" s="736" t="str">
        <f>Inputs!E10</f>
        <v>Energy Content per Cubic Foot</v>
      </c>
      <c r="C20" s="201" t="str">
        <f>Inputs!F10</f>
        <v>BTU/cubic foot</v>
      </c>
      <c r="D20" s="525">
        <f>Inputs!G10</f>
        <v>550</v>
      </c>
      <c r="E20" s="209"/>
      <c r="F20" s="707"/>
      <c r="G20" s="527"/>
      <c r="H20" s="526"/>
      <c r="I20" s="526"/>
      <c r="J20" s="526"/>
      <c r="K20" s="526"/>
      <c r="L20" s="527"/>
      <c r="M20" s="526"/>
      <c r="N20" s="526"/>
      <c r="O20" s="526"/>
    </row>
    <row r="21" spans="2:15">
      <c r="B21" s="736" t="str">
        <f>Inputs!E13</f>
        <v>Heat Rate</v>
      </c>
      <c r="C21" s="201" t="str">
        <f>Inputs!F13</f>
        <v>BTU/kWh</v>
      </c>
      <c r="D21" s="525">
        <f>Inputs!G13</f>
        <v>9748.5714285714294</v>
      </c>
      <c r="E21" s="209"/>
      <c r="F21" s="707"/>
      <c r="G21" s="527"/>
      <c r="H21" s="526"/>
      <c r="I21" s="526"/>
      <c r="J21" s="526"/>
      <c r="K21" s="526"/>
      <c r="L21" s="527"/>
      <c r="M21" s="526"/>
      <c r="N21" s="526"/>
      <c r="O21" s="526"/>
    </row>
    <row r="22" spans="2:15">
      <c r="B22" s="736" t="str">
        <f>Inputs!E14</f>
        <v>Availability</v>
      </c>
      <c r="C22" s="201" t="str">
        <f>Inputs!F14</f>
        <v>%</v>
      </c>
      <c r="D22" s="697">
        <f>Inputs!G14</f>
        <v>0.92</v>
      </c>
      <c r="E22" s="211"/>
      <c r="F22" s="708"/>
      <c r="G22" s="212"/>
      <c r="H22" s="210"/>
      <c r="I22" s="210"/>
      <c r="J22" s="210"/>
      <c r="K22" s="210"/>
      <c r="L22" s="212"/>
      <c r="M22" s="210"/>
      <c r="N22" s="210"/>
      <c r="O22" s="210"/>
    </row>
    <row r="23" spans="2:15">
      <c r="B23" s="736" t="str">
        <f>Inputs!E15</f>
        <v>Station Service (Parasitic Load)</v>
      </c>
      <c r="C23" s="201" t="str">
        <f>Inputs!F15</f>
        <v>%</v>
      </c>
      <c r="D23" s="697">
        <f>Inputs!G15</f>
        <v>0.1</v>
      </c>
      <c r="E23" s="211"/>
      <c r="F23" s="708"/>
      <c r="G23" s="212"/>
      <c r="H23" s="210"/>
      <c r="I23" s="210"/>
      <c r="J23" s="210"/>
      <c r="K23" s="210"/>
      <c r="L23" s="212"/>
      <c r="M23" s="210"/>
      <c r="N23" s="210"/>
      <c r="O23" s="210"/>
    </row>
    <row r="24" spans="2:15">
      <c r="B24" s="200" t="s">
        <v>274</v>
      </c>
      <c r="C24" s="201" t="s">
        <v>2</v>
      </c>
      <c r="D24" s="525">
        <f>Inputs!G16</f>
        <v>3626640</v>
      </c>
      <c r="E24" s="211"/>
      <c r="F24" s="707"/>
      <c r="G24" s="212"/>
      <c r="H24" s="210"/>
      <c r="I24" s="210"/>
      <c r="J24" s="210"/>
      <c r="K24" s="210"/>
      <c r="L24" s="212"/>
      <c r="M24" s="210"/>
      <c r="N24" s="210"/>
      <c r="O24" s="210"/>
    </row>
    <row r="25" spans="2:15">
      <c r="B25" s="200" t="s">
        <v>212</v>
      </c>
      <c r="C25" s="201" t="s">
        <v>51</v>
      </c>
      <c r="D25" s="213">
        <f>Inputs!G18</f>
        <v>20</v>
      </c>
      <c r="E25" s="211"/>
      <c r="F25" s="709"/>
      <c r="G25" s="212"/>
      <c r="H25" s="210"/>
      <c r="I25" s="210"/>
      <c r="J25" s="210"/>
      <c r="K25" s="210"/>
      <c r="L25" s="212"/>
      <c r="M25" s="210"/>
      <c r="N25" s="210"/>
      <c r="O25" s="210"/>
    </row>
    <row r="26" spans="2:15">
      <c r="B26" s="200" t="s">
        <v>402</v>
      </c>
      <c r="C26" s="201" t="s">
        <v>51</v>
      </c>
      <c r="D26" s="213">
        <f>Inputs!$Q$22</f>
        <v>20</v>
      </c>
      <c r="E26" s="207"/>
      <c r="F26" s="709"/>
      <c r="G26" s="208"/>
      <c r="H26" s="213"/>
      <c r="I26" s="213"/>
      <c r="J26" s="213"/>
      <c r="K26" s="213"/>
      <c r="L26" s="309"/>
      <c r="M26" s="213"/>
      <c r="N26" s="213"/>
      <c r="O26" s="213"/>
    </row>
    <row r="27" spans="2:15">
      <c r="B27" s="200" t="s">
        <v>404</v>
      </c>
      <c r="C27" s="201" t="s">
        <v>1</v>
      </c>
      <c r="D27" s="697">
        <f>Inputs!Q23</f>
        <v>0</v>
      </c>
      <c r="E27" s="207"/>
      <c r="F27" s="710"/>
      <c r="G27" s="693"/>
      <c r="H27" s="213"/>
      <c r="I27" s="213"/>
      <c r="J27" s="213"/>
      <c r="K27" s="213"/>
      <c r="L27" s="693"/>
      <c r="M27" s="213"/>
      <c r="N27" s="213"/>
      <c r="O27" s="213"/>
    </row>
    <row r="28" spans="2:15">
      <c r="B28" s="200"/>
      <c r="C28" s="201"/>
      <c r="D28" s="213"/>
      <c r="E28" s="207"/>
      <c r="F28" s="709"/>
      <c r="G28" s="208"/>
      <c r="H28" s="213"/>
      <c r="I28" s="213"/>
      <c r="J28" s="213"/>
      <c r="K28" s="213"/>
      <c r="L28" s="309"/>
      <c r="M28" s="213"/>
      <c r="N28" s="213"/>
      <c r="O28" s="213"/>
    </row>
    <row r="29" spans="2:15">
      <c r="B29" s="200" t="s">
        <v>405</v>
      </c>
      <c r="C29" s="201" t="s">
        <v>0</v>
      </c>
      <c r="D29" s="214">
        <f>Inputs!$G29-Inputs!$G$80</f>
        <v>3750000</v>
      </c>
      <c r="E29" s="215"/>
      <c r="F29" s="711"/>
      <c r="G29" s="216"/>
      <c r="H29" s="214"/>
      <c r="I29" s="214"/>
      <c r="J29" s="214"/>
      <c r="K29" s="214"/>
      <c r="L29" s="216"/>
      <c r="M29" s="214"/>
      <c r="N29" s="214"/>
      <c r="O29" s="214"/>
    </row>
    <row r="30" spans="2:15" ht="15">
      <c r="B30" s="200" t="s">
        <v>405</v>
      </c>
      <c r="C30" s="217" t="s">
        <v>327</v>
      </c>
      <c r="D30" s="214">
        <f>D29/D18</f>
        <v>7500</v>
      </c>
      <c r="E30" s="218"/>
      <c r="F30" s="711"/>
      <c r="G30" s="216"/>
      <c r="H30" s="214"/>
      <c r="I30" s="214"/>
      <c r="J30" s="214"/>
      <c r="K30" s="214"/>
      <c r="L30" s="216"/>
      <c r="M30" s="214"/>
      <c r="N30" s="214"/>
      <c r="O30" s="214"/>
    </row>
    <row r="31" spans="2:15">
      <c r="B31" s="200"/>
      <c r="C31" s="201"/>
      <c r="D31" s="214"/>
      <c r="E31" s="218"/>
      <c r="F31" s="711"/>
      <c r="G31" s="216"/>
      <c r="H31" s="214"/>
      <c r="I31" s="214"/>
      <c r="J31" s="214"/>
      <c r="K31" s="214"/>
      <c r="L31" s="216"/>
      <c r="M31" s="214"/>
      <c r="N31" s="214"/>
      <c r="O31" s="214"/>
    </row>
    <row r="32" spans="2:15">
      <c r="B32" s="200" t="s">
        <v>453</v>
      </c>
      <c r="C32" s="201"/>
      <c r="D32" s="214"/>
      <c r="E32" s="218"/>
      <c r="F32" s="711"/>
      <c r="G32" s="216"/>
      <c r="H32" s="214"/>
      <c r="I32" s="214"/>
      <c r="J32" s="214"/>
      <c r="K32" s="214"/>
      <c r="L32" s="216"/>
      <c r="M32" s="214"/>
      <c r="N32" s="214"/>
      <c r="O32" s="214"/>
    </row>
    <row r="33" spans="2:15">
      <c r="B33" s="736" t="str">
        <f>Inputs!O7</f>
        <v>Tipping Fee - Source #1</v>
      </c>
      <c r="C33" s="201" t="str">
        <f>Inputs!P7</f>
        <v>$/ton</v>
      </c>
      <c r="D33" s="737">
        <f>Inputs!Q7</f>
        <v>30</v>
      </c>
      <c r="E33" s="218"/>
      <c r="F33" s="711"/>
      <c r="G33" s="216"/>
      <c r="H33" s="214"/>
      <c r="I33" s="214"/>
      <c r="J33" s="214"/>
      <c r="K33" s="214"/>
      <c r="L33" s="216"/>
      <c r="M33" s="214"/>
      <c r="N33" s="214"/>
      <c r="O33" s="214"/>
    </row>
    <row r="34" spans="2:15">
      <c r="B34" s="736" t="str">
        <f>Inputs!O8</f>
        <v>Quantity Received Each Year</v>
      </c>
      <c r="C34" s="201" t="str">
        <f>Inputs!P8</f>
        <v>tons per year</v>
      </c>
      <c r="D34" s="525">
        <f>Inputs!Q8</f>
        <v>10000</v>
      </c>
      <c r="E34" s="218"/>
      <c r="F34" s="711"/>
      <c r="G34" s="216"/>
      <c r="H34" s="214"/>
      <c r="I34" s="214"/>
      <c r="J34" s="214"/>
      <c r="K34" s="214"/>
      <c r="L34" s="216"/>
      <c r="M34" s="214"/>
      <c r="N34" s="214"/>
      <c r="O34" s="214"/>
    </row>
    <row r="35" spans="2:15">
      <c r="B35" s="736" t="str">
        <f>Inputs!O9</f>
        <v>Tipping Fee - Source #2</v>
      </c>
      <c r="C35" s="201" t="str">
        <f>Inputs!P9</f>
        <v>$/ton</v>
      </c>
      <c r="D35" s="737">
        <f>Inputs!Q9</f>
        <v>0</v>
      </c>
      <c r="E35" s="218"/>
      <c r="F35" s="711"/>
      <c r="G35" s="216"/>
      <c r="H35" s="214"/>
      <c r="I35" s="214"/>
      <c r="J35" s="214"/>
      <c r="K35" s="214"/>
      <c r="L35" s="216"/>
      <c r="M35" s="214"/>
      <c r="N35" s="214"/>
      <c r="O35" s="214"/>
    </row>
    <row r="36" spans="2:15">
      <c r="B36" s="736" t="str">
        <f>Inputs!O10</f>
        <v>Quantity Received Each Year</v>
      </c>
      <c r="C36" s="201" t="str">
        <f>Inputs!P10</f>
        <v>tons per year</v>
      </c>
      <c r="D36" s="525">
        <f>Inputs!Q10</f>
        <v>0</v>
      </c>
      <c r="E36" s="218"/>
      <c r="F36" s="711"/>
      <c r="G36" s="216"/>
      <c r="H36" s="214"/>
      <c r="I36" s="214"/>
      <c r="J36" s="214"/>
      <c r="K36" s="214"/>
      <c r="L36" s="216"/>
      <c r="M36" s="214"/>
      <c r="N36" s="214"/>
      <c r="O36" s="214"/>
    </row>
    <row r="37" spans="2:15">
      <c r="B37" s="736" t="str">
        <f>Inputs!O11</f>
        <v>Tipping Fee - Source #3</v>
      </c>
      <c r="C37" s="201" t="str">
        <f>Inputs!P11</f>
        <v>$/ton</v>
      </c>
      <c r="D37" s="737">
        <f>Inputs!Q11</f>
        <v>0</v>
      </c>
      <c r="E37" s="218"/>
      <c r="F37" s="711"/>
      <c r="G37" s="216"/>
      <c r="H37" s="214"/>
      <c r="I37" s="214"/>
      <c r="J37" s="214"/>
      <c r="K37" s="214"/>
      <c r="L37" s="216"/>
      <c r="M37" s="214"/>
      <c r="N37" s="214"/>
      <c r="O37" s="214"/>
    </row>
    <row r="38" spans="2:15">
      <c r="B38" s="736" t="str">
        <f>Inputs!O12</f>
        <v>Quantity Received Each Year</v>
      </c>
      <c r="C38" s="201" t="str">
        <f>Inputs!P12</f>
        <v>tons per year</v>
      </c>
      <c r="D38" s="525">
        <f>Inputs!Q12</f>
        <v>0</v>
      </c>
      <c r="E38" s="218"/>
      <c r="F38" s="711"/>
      <c r="G38" s="216"/>
      <c r="H38" s="214"/>
      <c r="I38" s="214"/>
      <c r="J38" s="214"/>
      <c r="K38" s="214"/>
      <c r="L38" s="216"/>
      <c r="M38" s="214"/>
      <c r="N38" s="214"/>
      <c r="O38" s="214"/>
    </row>
    <row r="39" spans="2:15">
      <c r="B39" s="200"/>
      <c r="C39" s="201"/>
      <c r="D39" s="214"/>
      <c r="E39" s="218"/>
      <c r="F39" s="711"/>
      <c r="G39" s="216"/>
      <c r="H39" s="214"/>
      <c r="I39" s="214"/>
      <c r="J39" s="214"/>
      <c r="K39" s="214"/>
      <c r="L39" s="216"/>
      <c r="M39" s="214"/>
      <c r="N39" s="214"/>
      <c r="O39" s="214"/>
    </row>
    <row r="40" spans="2:15" ht="15">
      <c r="B40" s="200" t="s">
        <v>406</v>
      </c>
      <c r="C40" s="201" t="s">
        <v>412</v>
      </c>
      <c r="D40" s="698">
        <f>'Cash Flow'!G49</f>
        <v>-9.6752917300862507</v>
      </c>
      <c r="E40" s="218"/>
      <c r="F40" s="712"/>
      <c r="G40" s="216"/>
      <c r="H40" s="214"/>
      <c r="I40" s="214"/>
      <c r="J40" s="214"/>
      <c r="K40" s="214"/>
      <c r="L40" s="216"/>
      <c r="M40" s="214"/>
      <c r="N40" s="214"/>
      <c r="O40" s="214"/>
    </row>
    <row r="41" spans="2:15">
      <c r="B41" s="200"/>
      <c r="C41" s="201"/>
      <c r="D41" s="213"/>
      <c r="E41" s="207"/>
      <c r="F41" s="709"/>
      <c r="G41" s="208"/>
      <c r="H41" s="213"/>
      <c r="I41" s="213"/>
      <c r="J41" s="213"/>
      <c r="K41" s="213"/>
      <c r="L41" s="309"/>
      <c r="M41" s="213"/>
      <c r="N41" s="213"/>
      <c r="O41" s="213"/>
    </row>
    <row r="42" spans="2:15" ht="15">
      <c r="B42" s="200" t="s">
        <v>482</v>
      </c>
      <c r="C42" s="217" t="s">
        <v>1</v>
      </c>
      <c r="D42" s="219">
        <f>Inputs!$G72</f>
        <v>0.44999999999999996</v>
      </c>
      <c r="E42" s="220"/>
      <c r="F42" s="713"/>
      <c r="G42" s="221"/>
      <c r="H42" s="219"/>
      <c r="I42" s="219"/>
      <c r="J42" s="219"/>
      <c r="K42" s="219"/>
      <c r="L42" s="221"/>
      <c r="M42" s="219"/>
      <c r="N42" s="219"/>
      <c r="O42" s="219"/>
    </row>
    <row r="43" spans="2:15">
      <c r="B43" s="200" t="s">
        <v>267</v>
      </c>
      <c r="C43" s="201" t="s">
        <v>1</v>
      </c>
      <c r="D43" s="325">
        <f>Inputs!$G73</f>
        <v>0.12</v>
      </c>
      <c r="E43" s="220"/>
      <c r="F43" s="714"/>
      <c r="G43" s="221"/>
      <c r="H43" s="219"/>
      <c r="I43" s="219"/>
      <c r="J43" s="219"/>
      <c r="K43" s="219"/>
      <c r="L43" s="221"/>
      <c r="M43" s="219"/>
      <c r="N43" s="219"/>
      <c r="O43" s="219"/>
    </row>
    <row r="44" spans="2:15" ht="15">
      <c r="B44" s="200" t="s">
        <v>245</v>
      </c>
      <c r="C44" s="217" t="s">
        <v>1</v>
      </c>
      <c r="D44" s="219">
        <f>Inputs!$G62</f>
        <v>0.55000000000000004</v>
      </c>
      <c r="E44" s="220"/>
      <c r="F44" s="713"/>
      <c r="G44" s="221"/>
      <c r="H44" s="219"/>
      <c r="I44" s="219"/>
      <c r="J44" s="219"/>
      <c r="K44" s="219"/>
      <c r="L44" s="221"/>
      <c r="M44" s="219"/>
      <c r="N44" s="219"/>
      <c r="O44" s="219"/>
    </row>
    <row r="45" spans="2:15" ht="15">
      <c r="B45" s="200" t="s">
        <v>407</v>
      </c>
      <c r="C45" s="217" t="s">
        <v>51</v>
      </c>
      <c r="D45" s="213">
        <f>IF(D44&gt;0%,Inputs!G63,"NA")</f>
        <v>13</v>
      </c>
      <c r="E45" s="220"/>
      <c r="F45" s="709"/>
      <c r="G45" s="221"/>
      <c r="H45" s="219"/>
      <c r="I45" s="219"/>
      <c r="J45" s="219"/>
      <c r="K45" s="219"/>
      <c r="L45" s="221"/>
      <c r="M45" s="219"/>
      <c r="N45" s="219"/>
      <c r="O45" s="219"/>
    </row>
    <row r="46" spans="2:15" ht="15">
      <c r="B46" s="200" t="s">
        <v>207</v>
      </c>
      <c r="C46" s="217" t="s">
        <v>1</v>
      </c>
      <c r="D46" s="325">
        <f>IF(D44&gt;0%,Inputs!$G64,"NA")</f>
        <v>7.0000000000000007E-2</v>
      </c>
      <c r="E46" s="220"/>
      <c r="F46" s="714"/>
      <c r="G46" s="221"/>
      <c r="H46" s="219"/>
      <c r="I46" s="219"/>
      <c r="J46" s="219"/>
      <c r="K46" s="219"/>
      <c r="L46" s="221"/>
      <c r="M46" s="219"/>
      <c r="N46" s="219"/>
      <c r="O46" s="219"/>
    </row>
    <row r="47" spans="2:15">
      <c r="B47" s="200" t="s">
        <v>15</v>
      </c>
      <c r="C47" s="693"/>
      <c r="D47" s="219" t="str">
        <f>Inputs!$G$84</f>
        <v>Yes</v>
      </c>
      <c r="E47" s="221"/>
      <c r="F47" s="713"/>
      <c r="G47" s="221"/>
      <c r="H47" s="219"/>
      <c r="I47" s="219"/>
      <c r="J47" s="219"/>
      <c r="K47" s="219"/>
      <c r="L47" s="221"/>
      <c r="M47" s="219"/>
      <c r="N47" s="219"/>
      <c r="O47" s="219"/>
    </row>
    <row r="48" spans="2:15">
      <c r="B48" s="200" t="s">
        <v>408</v>
      </c>
      <c r="C48" s="693"/>
      <c r="D48" s="219" t="str">
        <f>IF($D$47="Yes",Inputs!G86,"NA")</f>
        <v>As Generated</v>
      </c>
      <c r="E48" s="221"/>
      <c r="F48" s="713"/>
      <c r="G48" s="221"/>
      <c r="H48" s="219"/>
      <c r="I48" s="219"/>
      <c r="J48" s="219"/>
      <c r="K48" s="219"/>
      <c r="L48" s="221"/>
      <c r="M48" s="219"/>
      <c r="N48" s="219"/>
      <c r="O48" s="219"/>
    </row>
    <row r="49" spans="2:15">
      <c r="B49" s="200" t="s">
        <v>409</v>
      </c>
      <c r="C49" s="693"/>
      <c r="D49" s="219" t="str">
        <f>IF($D$47="Yes",Inputs!G88,"NA")</f>
        <v>As Generated</v>
      </c>
      <c r="E49" s="221"/>
      <c r="F49" s="713"/>
      <c r="G49" s="221"/>
      <c r="H49" s="219"/>
      <c r="I49" s="219"/>
      <c r="J49" s="219"/>
      <c r="K49" s="219"/>
      <c r="L49" s="221"/>
      <c r="M49" s="219"/>
      <c r="N49" s="219"/>
      <c r="O49" s="219"/>
    </row>
    <row r="50" spans="2:15">
      <c r="B50" s="695"/>
      <c r="C50" s="693"/>
      <c r="D50" s="219"/>
      <c r="E50" s="221"/>
      <c r="F50" s="713"/>
      <c r="G50" s="221"/>
      <c r="H50" s="219"/>
      <c r="I50" s="219"/>
      <c r="J50" s="219"/>
      <c r="K50" s="219"/>
      <c r="L50" s="221"/>
      <c r="M50" s="219"/>
      <c r="N50" s="219"/>
      <c r="O50" s="219"/>
    </row>
    <row r="51" spans="2:15">
      <c r="B51" s="200" t="s">
        <v>300</v>
      </c>
      <c r="C51" s="201"/>
      <c r="D51" s="214" t="str">
        <f>Inputs!Q33</f>
        <v>Performance-Based</v>
      </c>
      <c r="E51" s="221"/>
      <c r="F51" s="711"/>
      <c r="G51" s="221"/>
      <c r="H51" s="219"/>
      <c r="I51" s="219"/>
      <c r="J51" s="219"/>
      <c r="K51" s="219"/>
      <c r="L51" s="221"/>
      <c r="M51" s="219"/>
      <c r="N51" s="219"/>
      <c r="O51" s="219"/>
    </row>
    <row r="52" spans="2:15">
      <c r="B52" s="200" t="s">
        <v>403</v>
      </c>
      <c r="C52" s="201"/>
      <c r="D52" s="214" t="str">
        <f>IF($D$51="Cost-Based",Inputs!$Q$34,Inputs!$Q$38)</f>
        <v>Tax Credit</v>
      </c>
      <c r="E52" s="221"/>
      <c r="F52" s="711"/>
      <c r="G52" s="221"/>
      <c r="H52" s="219"/>
      <c r="I52" s="219"/>
      <c r="J52" s="219"/>
      <c r="K52" s="219"/>
      <c r="L52" s="221"/>
      <c r="M52" s="219"/>
      <c r="N52" s="219"/>
      <c r="O52" s="219"/>
    </row>
    <row r="53" spans="2:15">
      <c r="B53" s="200"/>
      <c r="C53" s="201"/>
      <c r="D53" s="214"/>
      <c r="E53" s="221"/>
      <c r="F53" s="711"/>
      <c r="G53" s="221"/>
      <c r="H53" s="219"/>
      <c r="I53" s="219"/>
      <c r="J53" s="219"/>
      <c r="K53" s="219"/>
      <c r="L53" s="221"/>
      <c r="M53" s="219"/>
      <c r="N53" s="219"/>
      <c r="O53" s="219"/>
    </row>
    <row r="54" spans="2:15">
      <c r="B54" s="200" t="s">
        <v>176</v>
      </c>
      <c r="C54" s="223"/>
      <c r="D54" s="213" t="str">
        <f>IF(AND(Inputs!$Q$43=0,Inputs!$Q$59=0),"No","Yes")</f>
        <v>No</v>
      </c>
      <c r="E54" s="221"/>
      <c r="F54" s="709"/>
      <c r="G54" s="221"/>
      <c r="H54" s="219"/>
      <c r="I54" s="219"/>
      <c r="J54" s="219"/>
      <c r="K54" s="219"/>
      <c r="L54" s="221"/>
      <c r="M54" s="219"/>
      <c r="N54" s="219"/>
      <c r="O54" s="219"/>
    </row>
    <row r="55" spans="2:15">
      <c r="B55" s="336" t="s">
        <v>410</v>
      </c>
      <c r="C55" s="201" t="s">
        <v>0</v>
      </c>
      <c r="D55" s="214" t="str">
        <f>IF(D54="No","NA",Inputs!$G$80)</f>
        <v>NA</v>
      </c>
      <c r="E55" s="221"/>
      <c r="F55" s="711"/>
      <c r="G55" s="221"/>
      <c r="H55" s="219"/>
      <c r="I55" s="219"/>
      <c r="J55" s="219"/>
      <c r="K55" s="219"/>
      <c r="L55" s="221"/>
      <c r="M55" s="219"/>
      <c r="N55" s="219"/>
      <c r="O55" s="219"/>
    </row>
    <row r="56" spans="2:15">
      <c r="B56" s="336"/>
      <c r="C56" s="201"/>
      <c r="D56" s="214"/>
      <c r="E56" s="221"/>
      <c r="F56" s="711"/>
      <c r="G56" s="221"/>
      <c r="H56" s="219"/>
      <c r="I56" s="219"/>
      <c r="J56" s="219"/>
      <c r="K56" s="219"/>
      <c r="L56" s="221"/>
      <c r="M56" s="219"/>
      <c r="N56" s="219"/>
      <c r="O56" s="219"/>
    </row>
    <row r="57" spans="2:15">
      <c r="B57" s="696" t="s">
        <v>411</v>
      </c>
      <c r="C57" s="183"/>
      <c r="D57" s="222" t="str">
        <f>IF(Inputs!$G$84="No","NA",Inputs!P88)</f>
        <v>No</v>
      </c>
      <c r="E57" s="223"/>
      <c r="F57" s="715"/>
      <c r="G57" s="678"/>
      <c r="H57" s="222"/>
      <c r="I57" s="222"/>
      <c r="J57" s="222"/>
      <c r="K57" s="222"/>
      <c r="L57" s="678"/>
      <c r="M57" s="222"/>
      <c r="N57" s="222"/>
      <c r="O57" s="222"/>
    </row>
    <row r="58" spans="2:15" ht="150.75" customHeight="1">
      <c r="B58" s="447" t="s">
        <v>356</v>
      </c>
      <c r="C58" s="448"/>
      <c r="D58" s="338"/>
      <c r="F58" s="338"/>
      <c r="G58" s="338"/>
      <c r="H58" s="338"/>
      <c r="I58" s="338"/>
      <c r="J58" s="338"/>
      <c r="K58" s="338"/>
      <c r="L58" s="338"/>
      <c r="M58" s="338"/>
      <c r="N58" s="338"/>
      <c r="O58" s="338"/>
    </row>
    <row r="59" spans="2:15" ht="30" customHeight="1">
      <c r="B59" s="248"/>
      <c r="C59" s="248"/>
      <c r="D59" s="248"/>
      <c r="E59" s="248"/>
      <c r="F59" s="248"/>
      <c r="G59" s="248"/>
      <c r="H59" s="248"/>
      <c r="I59" s="248"/>
      <c r="J59" s="248"/>
    </row>
    <row r="60" spans="2:15" s="249" customFormat="1" ht="18">
      <c r="B60" s="248"/>
      <c r="C60" s="248"/>
      <c r="D60" s="250"/>
      <c r="E60" s="248"/>
      <c r="F60" s="248"/>
      <c r="G60" s="248"/>
      <c r="H60" s="248"/>
      <c r="I60" s="248"/>
      <c r="J60" s="248"/>
    </row>
    <row r="61" spans="2:15">
      <c r="B61" s="223"/>
      <c r="C61" s="223"/>
      <c r="D61" s="802"/>
      <c r="E61" s="802"/>
      <c r="F61" s="802"/>
      <c r="G61" s="802"/>
      <c r="H61" s="802"/>
      <c r="I61" s="802"/>
      <c r="J61" s="251"/>
      <c r="K61" s="223"/>
    </row>
    <row r="62" spans="2:15">
      <c r="B62" s="223"/>
      <c r="C62" s="245"/>
      <c r="D62" s="246"/>
      <c r="E62" s="246"/>
      <c r="F62" s="246"/>
      <c r="G62" s="246"/>
      <c r="H62" s="246"/>
      <c r="I62" s="246"/>
      <c r="J62" s="246"/>
      <c r="K62" s="223"/>
    </row>
    <row r="63" spans="2:15">
      <c r="B63" s="801"/>
      <c r="C63" s="247"/>
      <c r="D63" s="223"/>
      <c r="E63" s="223"/>
      <c r="F63" s="223"/>
      <c r="G63" s="223"/>
      <c r="H63" s="223"/>
      <c r="I63" s="223"/>
      <c r="J63" s="223"/>
      <c r="K63" s="223"/>
    </row>
    <row r="64" spans="2:15">
      <c r="B64" s="801"/>
      <c r="C64" s="247"/>
      <c r="D64" s="223"/>
      <c r="E64" s="223"/>
      <c r="F64" s="223"/>
      <c r="G64" s="223"/>
      <c r="H64" s="223"/>
      <c r="I64" s="223"/>
      <c r="J64" s="223"/>
      <c r="K64" s="223"/>
    </row>
    <row r="65" spans="2:11">
      <c r="B65" s="801"/>
      <c r="C65" s="247"/>
      <c r="D65" s="223"/>
      <c r="E65" s="223"/>
      <c r="F65" s="223"/>
      <c r="G65" s="223"/>
      <c r="H65" s="223"/>
      <c r="I65" s="223"/>
      <c r="J65" s="223"/>
      <c r="K65" s="223"/>
    </row>
    <row r="66" spans="2:11">
      <c r="B66" s="801"/>
      <c r="C66" s="247"/>
      <c r="D66" s="223"/>
      <c r="E66" s="223"/>
      <c r="F66" s="223"/>
      <c r="G66" s="223"/>
      <c r="H66" s="223"/>
      <c r="I66" s="223"/>
      <c r="J66" s="223"/>
      <c r="K66" s="223"/>
    </row>
    <row r="67" spans="2:11">
      <c r="B67" s="801"/>
      <c r="C67" s="247"/>
      <c r="D67" s="223"/>
      <c r="E67" s="223"/>
      <c r="F67" s="223"/>
      <c r="G67" s="223"/>
      <c r="H67" s="223"/>
      <c r="I67" s="223"/>
      <c r="J67" s="223"/>
      <c r="K67" s="223"/>
    </row>
    <row r="68" spans="2:11">
      <c r="B68" s="223"/>
      <c r="C68" s="223"/>
      <c r="D68" s="223"/>
      <c r="E68" s="223"/>
      <c r="F68" s="223"/>
      <c r="G68" s="223"/>
      <c r="H68" s="223"/>
      <c r="I68" s="223"/>
      <c r="J68" s="223"/>
      <c r="K68" s="223"/>
    </row>
    <row r="69" spans="2:11">
      <c r="B69" s="223"/>
      <c r="C69" s="223"/>
      <c r="D69" s="223"/>
      <c r="E69" s="223"/>
      <c r="F69" s="223"/>
      <c r="G69" s="223"/>
      <c r="H69" s="223"/>
      <c r="I69" s="223"/>
      <c r="J69" s="223"/>
      <c r="K69" s="223"/>
    </row>
    <row r="70" spans="2:11">
      <c r="B70" s="223"/>
      <c r="C70" s="223"/>
      <c r="D70" s="223"/>
      <c r="E70" s="223"/>
      <c r="F70" s="223"/>
      <c r="G70" s="223"/>
      <c r="H70" s="223"/>
      <c r="I70" s="223"/>
      <c r="J70" s="223"/>
      <c r="K70" s="223"/>
    </row>
    <row r="71" spans="2:11" ht="15.75" customHeight="1">
      <c r="B71" s="223"/>
      <c r="C71" s="223"/>
      <c r="D71" s="223"/>
      <c r="E71" s="223"/>
      <c r="F71" s="223"/>
      <c r="G71" s="223"/>
      <c r="H71" s="223"/>
      <c r="I71" s="223"/>
      <c r="J71" s="223"/>
      <c r="K71" s="223"/>
    </row>
    <row r="72" spans="2:11">
      <c r="B72" s="223"/>
      <c r="C72" s="223"/>
      <c r="D72" s="223"/>
      <c r="E72" s="223"/>
      <c r="F72" s="223"/>
      <c r="G72" s="223"/>
      <c r="H72" s="223"/>
      <c r="I72" s="223"/>
      <c r="J72" s="223"/>
      <c r="K72" s="223"/>
    </row>
    <row r="73" spans="2:11">
      <c r="B73" s="223"/>
      <c r="C73" s="223"/>
      <c r="D73" s="223"/>
      <c r="E73" s="223"/>
      <c r="F73" s="223"/>
      <c r="G73" s="223"/>
      <c r="H73" s="223"/>
      <c r="I73" s="223"/>
      <c r="J73" s="223"/>
      <c r="K73" s="223"/>
    </row>
    <row r="74" spans="2:11">
      <c r="B74" s="223"/>
      <c r="C74" s="223"/>
      <c r="D74" s="223"/>
      <c r="E74" s="223"/>
      <c r="F74" s="223"/>
      <c r="G74" s="223"/>
      <c r="H74" s="223"/>
      <c r="I74" s="223"/>
      <c r="J74" s="223"/>
      <c r="K74" s="223"/>
    </row>
    <row r="75" spans="2:11">
      <c r="B75" s="223"/>
      <c r="C75" s="223"/>
      <c r="D75" s="223"/>
      <c r="E75" s="223"/>
      <c r="F75" s="223"/>
      <c r="G75" s="223"/>
      <c r="H75" s="223"/>
      <c r="I75" s="223"/>
      <c r="J75" s="223"/>
      <c r="K75" s="223"/>
    </row>
    <row r="76" spans="2:11">
      <c r="B76" s="223"/>
      <c r="C76" s="223"/>
      <c r="D76" s="223"/>
      <c r="E76" s="223"/>
      <c r="F76" s="223"/>
      <c r="G76" s="223"/>
      <c r="H76" s="223"/>
      <c r="I76" s="223"/>
      <c r="J76" s="223"/>
      <c r="K76" s="223"/>
    </row>
    <row r="77" spans="2:11">
      <c r="B77" s="223"/>
      <c r="C77" s="223"/>
      <c r="D77" s="223"/>
      <c r="E77" s="223"/>
      <c r="F77" s="223"/>
      <c r="G77" s="223"/>
      <c r="H77" s="223"/>
      <c r="I77" s="223"/>
      <c r="J77" s="223"/>
      <c r="K77" s="223"/>
    </row>
  </sheetData>
  <protectedRanges>
    <protectedRange sqref="F6:O6" name="Scenario Names"/>
    <protectedRange sqref="D58 F7:O58" name="InputsOutputs"/>
  </protectedRanges>
  <mergeCells count="5">
    <mergeCell ref="B3:J3"/>
    <mergeCell ref="B63:B67"/>
    <mergeCell ref="D61:I61"/>
    <mergeCell ref="F5:J5"/>
    <mergeCell ref="B5:D5"/>
  </mergeCells>
  <conditionalFormatting sqref="D10">
    <cfRule type="expression" dxfId="9" priority="9">
      <formula>$D10="Yes"</formula>
    </cfRule>
  </conditionalFormatting>
  <conditionalFormatting sqref="D11">
    <cfRule type="expression" dxfId="8" priority="7">
      <formula>$D11="Yes"</formula>
    </cfRule>
  </conditionalFormatting>
  <conditionalFormatting sqref="B10:C10">
    <cfRule type="expression" dxfId="7" priority="6">
      <formula>$D$10="Yes"</formula>
    </cfRule>
  </conditionalFormatting>
  <conditionalFormatting sqref="B11:C11">
    <cfRule type="expression" dxfId="6" priority="5">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8"/>
  <sheetViews>
    <sheetView showGridLines="0" zoomScale="70" zoomScaleNormal="70" workbookViewId="0">
      <pane xSplit="1" ySplit="5" topLeftCell="B6" activePane="bottomRight" state="frozen"/>
      <selection pane="topRight" activeCell="B1" sqref="B1"/>
      <selection pane="bottomLeft" activeCell="A6" sqref="A6"/>
      <selection pane="bottomRight" activeCell="G8" sqref="G8"/>
    </sheetView>
  </sheetViews>
  <sheetFormatPr baseColWidth="10" defaultColWidth="8.83203125" defaultRowHeight="14"/>
  <cols>
    <col min="1" max="1" width="2.5" style="160" customWidth="1"/>
    <col min="2" max="2" width="9.6640625" style="160" customWidth="1"/>
    <col min="3" max="3" width="15" style="160" customWidth="1"/>
    <col min="4" max="4" width="12.83203125" style="160" customWidth="1"/>
    <col min="5" max="5" width="13.6640625" style="160" customWidth="1"/>
    <col min="6" max="6" width="14.6640625" style="160" customWidth="1"/>
    <col min="7" max="7" width="13" style="161" customWidth="1"/>
    <col min="8" max="8" width="12.5" style="160" customWidth="1"/>
    <col min="9" max="10" width="15.1640625" style="160" bestFit="1" customWidth="1"/>
    <col min="11" max="11" width="15.83203125" style="160" customWidth="1"/>
    <col min="12" max="12" width="14.5" style="160" customWidth="1"/>
    <col min="13" max="13" width="15.6640625" style="160" customWidth="1"/>
    <col min="14" max="14" width="16.5" style="160" customWidth="1"/>
    <col min="15" max="15" width="11.5" style="160" customWidth="1"/>
    <col min="16" max="16" width="11.1640625" style="160" customWidth="1"/>
    <col min="17" max="17" width="9.1640625" style="160"/>
    <col min="18" max="18" width="24.83203125" style="160" bestFit="1" customWidth="1"/>
    <col min="19" max="19" width="29.33203125" style="160" bestFit="1" customWidth="1"/>
    <col min="20" max="235" width="9.1640625" style="160"/>
    <col min="236" max="236" width="21.5" style="160" customWidth="1"/>
    <col min="237" max="237" width="16.5" style="160" customWidth="1"/>
    <col min="238" max="238" width="18" style="160" customWidth="1"/>
    <col min="239" max="239" width="23.6640625" style="160" customWidth="1"/>
    <col min="240" max="240" width="26" style="160" customWidth="1"/>
    <col min="241" max="241" width="21.5" style="160" customWidth="1"/>
    <col min="242" max="242" width="20.83203125" style="160" customWidth="1"/>
    <col min="243" max="243" width="0" style="160" hidden="1" customWidth="1"/>
    <col min="244" max="491" width="9.1640625" style="160"/>
    <col min="492" max="492" width="21.5" style="160" customWidth="1"/>
    <col min="493" max="493" width="16.5" style="160" customWidth="1"/>
    <col min="494" max="494" width="18" style="160" customWidth="1"/>
    <col min="495" max="495" width="23.6640625" style="160" customWidth="1"/>
    <col min="496" max="496" width="26" style="160" customWidth="1"/>
    <col min="497" max="497" width="21.5" style="160" customWidth="1"/>
    <col min="498" max="498" width="20.83203125" style="160" customWidth="1"/>
    <col min="499" max="499" width="0" style="160" hidden="1" customWidth="1"/>
    <col min="500" max="747" width="9.1640625" style="160"/>
    <col min="748" max="748" width="21.5" style="160" customWidth="1"/>
    <col min="749" max="749" width="16.5" style="160" customWidth="1"/>
    <col min="750" max="750" width="18" style="160" customWidth="1"/>
    <col min="751" max="751" width="23.6640625" style="160" customWidth="1"/>
    <col min="752" max="752" width="26" style="160" customWidth="1"/>
    <col min="753" max="753" width="21.5" style="160" customWidth="1"/>
    <col min="754" max="754" width="20.83203125" style="160" customWidth="1"/>
    <col min="755" max="755" width="0" style="160" hidden="1" customWidth="1"/>
    <col min="756" max="1003" width="9.1640625" style="160"/>
    <col min="1004" max="1004" width="21.5" style="160" customWidth="1"/>
    <col min="1005" max="1005" width="16.5" style="160" customWidth="1"/>
    <col min="1006" max="1006" width="18" style="160" customWidth="1"/>
    <col min="1007" max="1007" width="23.6640625" style="160" customWidth="1"/>
    <col min="1008" max="1008" width="26" style="160" customWidth="1"/>
    <col min="1009" max="1009" width="21.5" style="160" customWidth="1"/>
    <col min="1010" max="1010" width="20.83203125" style="160" customWidth="1"/>
    <col min="1011" max="1011" width="0" style="160" hidden="1" customWidth="1"/>
    <col min="1012" max="1259" width="9.1640625" style="160"/>
    <col min="1260" max="1260" width="21.5" style="160" customWidth="1"/>
    <col min="1261" max="1261" width="16.5" style="160" customWidth="1"/>
    <col min="1262" max="1262" width="18" style="160" customWidth="1"/>
    <col min="1263" max="1263" width="23.6640625" style="160" customWidth="1"/>
    <col min="1264" max="1264" width="26" style="160" customWidth="1"/>
    <col min="1265" max="1265" width="21.5" style="160" customWidth="1"/>
    <col min="1266" max="1266" width="20.83203125" style="160" customWidth="1"/>
    <col min="1267" max="1267" width="0" style="160" hidden="1" customWidth="1"/>
    <col min="1268" max="1515" width="9.1640625" style="160"/>
    <col min="1516" max="1516" width="21.5" style="160" customWidth="1"/>
    <col min="1517" max="1517" width="16.5" style="160" customWidth="1"/>
    <col min="1518" max="1518" width="18" style="160" customWidth="1"/>
    <col min="1519" max="1519" width="23.6640625" style="160" customWidth="1"/>
    <col min="1520" max="1520" width="26" style="160" customWidth="1"/>
    <col min="1521" max="1521" width="21.5" style="160" customWidth="1"/>
    <col min="1522" max="1522" width="20.83203125" style="160" customWidth="1"/>
    <col min="1523" max="1523" width="0" style="160" hidden="1" customWidth="1"/>
    <col min="1524" max="1771" width="9.1640625" style="160"/>
    <col min="1772" max="1772" width="21.5" style="160" customWidth="1"/>
    <col min="1773" max="1773" width="16.5" style="160" customWidth="1"/>
    <col min="1774" max="1774" width="18" style="160" customWidth="1"/>
    <col min="1775" max="1775" width="23.6640625" style="160" customWidth="1"/>
    <col min="1776" max="1776" width="26" style="160" customWidth="1"/>
    <col min="1777" max="1777" width="21.5" style="160" customWidth="1"/>
    <col min="1778" max="1778" width="20.83203125" style="160" customWidth="1"/>
    <col min="1779" max="1779" width="0" style="160" hidden="1" customWidth="1"/>
    <col min="1780" max="2027" width="9.1640625" style="160"/>
    <col min="2028" max="2028" width="21.5" style="160" customWidth="1"/>
    <col min="2029" max="2029" width="16.5" style="160" customWidth="1"/>
    <col min="2030" max="2030" width="18" style="160" customWidth="1"/>
    <col min="2031" max="2031" width="23.6640625" style="160" customWidth="1"/>
    <col min="2032" max="2032" width="26" style="160" customWidth="1"/>
    <col min="2033" max="2033" width="21.5" style="160" customWidth="1"/>
    <col min="2034" max="2034" width="20.83203125" style="160" customWidth="1"/>
    <col min="2035" max="2035" width="0" style="160" hidden="1" customWidth="1"/>
    <col min="2036" max="2283" width="9.1640625" style="160"/>
    <col min="2284" max="2284" width="21.5" style="160" customWidth="1"/>
    <col min="2285" max="2285" width="16.5" style="160" customWidth="1"/>
    <col min="2286" max="2286" width="18" style="160" customWidth="1"/>
    <col min="2287" max="2287" width="23.6640625" style="160" customWidth="1"/>
    <col min="2288" max="2288" width="26" style="160" customWidth="1"/>
    <col min="2289" max="2289" width="21.5" style="160" customWidth="1"/>
    <col min="2290" max="2290" width="20.83203125" style="160" customWidth="1"/>
    <col min="2291" max="2291" width="0" style="160" hidden="1" customWidth="1"/>
    <col min="2292" max="2539" width="9.1640625" style="160"/>
    <col min="2540" max="2540" width="21.5" style="160" customWidth="1"/>
    <col min="2541" max="2541" width="16.5" style="160" customWidth="1"/>
    <col min="2542" max="2542" width="18" style="160" customWidth="1"/>
    <col min="2543" max="2543" width="23.6640625" style="160" customWidth="1"/>
    <col min="2544" max="2544" width="26" style="160" customWidth="1"/>
    <col min="2545" max="2545" width="21.5" style="160" customWidth="1"/>
    <col min="2546" max="2546" width="20.83203125" style="160" customWidth="1"/>
    <col min="2547" max="2547" width="0" style="160" hidden="1" customWidth="1"/>
    <col min="2548" max="2795" width="9.1640625" style="160"/>
    <col min="2796" max="2796" width="21.5" style="160" customWidth="1"/>
    <col min="2797" max="2797" width="16.5" style="160" customWidth="1"/>
    <col min="2798" max="2798" width="18" style="160" customWidth="1"/>
    <col min="2799" max="2799" width="23.6640625" style="160" customWidth="1"/>
    <col min="2800" max="2800" width="26" style="160" customWidth="1"/>
    <col min="2801" max="2801" width="21.5" style="160" customWidth="1"/>
    <col min="2802" max="2802" width="20.83203125" style="160" customWidth="1"/>
    <col min="2803" max="2803" width="0" style="160" hidden="1" customWidth="1"/>
    <col min="2804" max="3051" width="9.1640625" style="160"/>
    <col min="3052" max="3052" width="21.5" style="160" customWidth="1"/>
    <col min="3053" max="3053" width="16.5" style="160" customWidth="1"/>
    <col min="3054" max="3054" width="18" style="160" customWidth="1"/>
    <col min="3055" max="3055" width="23.6640625" style="160" customWidth="1"/>
    <col min="3056" max="3056" width="26" style="160" customWidth="1"/>
    <col min="3057" max="3057" width="21.5" style="160" customWidth="1"/>
    <col min="3058" max="3058" width="20.83203125" style="160" customWidth="1"/>
    <col min="3059" max="3059" width="0" style="160" hidden="1" customWidth="1"/>
    <col min="3060" max="3307" width="9.1640625" style="160"/>
    <col min="3308" max="3308" width="21.5" style="160" customWidth="1"/>
    <col min="3309" max="3309" width="16.5" style="160" customWidth="1"/>
    <col min="3310" max="3310" width="18" style="160" customWidth="1"/>
    <col min="3311" max="3311" width="23.6640625" style="160" customWidth="1"/>
    <col min="3312" max="3312" width="26" style="160" customWidth="1"/>
    <col min="3313" max="3313" width="21.5" style="160" customWidth="1"/>
    <col min="3314" max="3314" width="20.83203125" style="160" customWidth="1"/>
    <col min="3315" max="3315" width="0" style="160" hidden="1" customWidth="1"/>
    <col min="3316" max="3563" width="9.1640625" style="160"/>
    <col min="3564" max="3564" width="21.5" style="160" customWidth="1"/>
    <col min="3565" max="3565" width="16.5" style="160" customWidth="1"/>
    <col min="3566" max="3566" width="18" style="160" customWidth="1"/>
    <col min="3567" max="3567" width="23.6640625" style="160" customWidth="1"/>
    <col min="3568" max="3568" width="26" style="160" customWidth="1"/>
    <col min="3569" max="3569" width="21.5" style="160" customWidth="1"/>
    <col min="3570" max="3570" width="20.83203125" style="160" customWidth="1"/>
    <col min="3571" max="3571" width="0" style="160" hidden="1" customWidth="1"/>
    <col min="3572" max="3819" width="9.1640625" style="160"/>
    <col min="3820" max="3820" width="21.5" style="160" customWidth="1"/>
    <col min="3821" max="3821" width="16.5" style="160" customWidth="1"/>
    <col min="3822" max="3822" width="18" style="160" customWidth="1"/>
    <col min="3823" max="3823" width="23.6640625" style="160" customWidth="1"/>
    <col min="3824" max="3824" width="26" style="160" customWidth="1"/>
    <col min="3825" max="3825" width="21.5" style="160" customWidth="1"/>
    <col min="3826" max="3826" width="20.83203125" style="160" customWidth="1"/>
    <col min="3827" max="3827" width="0" style="160" hidden="1" customWidth="1"/>
    <col min="3828" max="4075" width="9.1640625" style="160"/>
    <col min="4076" max="4076" width="21.5" style="160" customWidth="1"/>
    <col min="4077" max="4077" width="16.5" style="160" customWidth="1"/>
    <col min="4078" max="4078" width="18" style="160" customWidth="1"/>
    <col min="4079" max="4079" width="23.6640625" style="160" customWidth="1"/>
    <col min="4080" max="4080" width="26" style="160" customWidth="1"/>
    <col min="4081" max="4081" width="21.5" style="160" customWidth="1"/>
    <col min="4082" max="4082" width="20.83203125" style="160" customWidth="1"/>
    <col min="4083" max="4083" width="0" style="160" hidden="1" customWidth="1"/>
    <col min="4084" max="4331" width="9.1640625" style="160"/>
    <col min="4332" max="4332" width="21.5" style="160" customWidth="1"/>
    <col min="4333" max="4333" width="16.5" style="160" customWidth="1"/>
    <col min="4334" max="4334" width="18" style="160" customWidth="1"/>
    <col min="4335" max="4335" width="23.6640625" style="160" customWidth="1"/>
    <col min="4336" max="4336" width="26" style="160" customWidth="1"/>
    <col min="4337" max="4337" width="21.5" style="160" customWidth="1"/>
    <col min="4338" max="4338" width="20.83203125" style="160" customWidth="1"/>
    <col min="4339" max="4339" width="0" style="160" hidden="1" customWidth="1"/>
    <col min="4340" max="4587" width="9.1640625" style="160"/>
    <col min="4588" max="4588" width="21.5" style="160" customWidth="1"/>
    <col min="4589" max="4589" width="16.5" style="160" customWidth="1"/>
    <col min="4590" max="4590" width="18" style="160" customWidth="1"/>
    <col min="4591" max="4591" width="23.6640625" style="160" customWidth="1"/>
    <col min="4592" max="4592" width="26" style="160" customWidth="1"/>
    <col min="4593" max="4593" width="21.5" style="160" customWidth="1"/>
    <col min="4594" max="4594" width="20.83203125" style="160" customWidth="1"/>
    <col min="4595" max="4595" width="0" style="160" hidden="1" customWidth="1"/>
    <col min="4596" max="4843" width="9.1640625" style="160"/>
    <col min="4844" max="4844" width="21.5" style="160" customWidth="1"/>
    <col min="4845" max="4845" width="16.5" style="160" customWidth="1"/>
    <col min="4846" max="4846" width="18" style="160" customWidth="1"/>
    <col min="4847" max="4847" width="23.6640625" style="160" customWidth="1"/>
    <col min="4848" max="4848" width="26" style="160" customWidth="1"/>
    <col min="4849" max="4849" width="21.5" style="160" customWidth="1"/>
    <col min="4850" max="4850" width="20.83203125" style="160" customWidth="1"/>
    <col min="4851" max="4851" width="0" style="160" hidden="1" customWidth="1"/>
    <col min="4852" max="5099" width="9.1640625" style="160"/>
    <col min="5100" max="5100" width="21.5" style="160" customWidth="1"/>
    <col min="5101" max="5101" width="16.5" style="160" customWidth="1"/>
    <col min="5102" max="5102" width="18" style="160" customWidth="1"/>
    <col min="5103" max="5103" width="23.6640625" style="160" customWidth="1"/>
    <col min="5104" max="5104" width="26" style="160" customWidth="1"/>
    <col min="5105" max="5105" width="21.5" style="160" customWidth="1"/>
    <col min="5106" max="5106" width="20.83203125" style="160" customWidth="1"/>
    <col min="5107" max="5107" width="0" style="160" hidden="1" customWidth="1"/>
    <col min="5108" max="5355" width="9.1640625" style="160"/>
    <col min="5356" max="5356" width="21.5" style="160" customWidth="1"/>
    <col min="5357" max="5357" width="16.5" style="160" customWidth="1"/>
    <col min="5358" max="5358" width="18" style="160" customWidth="1"/>
    <col min="5359" max="5359" width="23.6640625" style="160" customWidth="1"/>
    <col min="5360" max="5360" width="26" style="160" customWidth="1"/>
    <col min="5361" max="5361" width="21.5" style="160" customWidth="1"/>
    <col min="5362" max="5362" width="20.83203125" style="160" customWidth="1"/>
    <col min="5363" max="5363" width="0" style="160" hidden="1" customWidth="1"/>
    <col min="5364" max="5611" width="9.1640625" style="160"/>
    <col min="5612" max="5612" width="21.5" style="160" customWidth="1"/>
    <col min="5613" max="5613" width="16.5" style="160" customWidth="1"/>
    <col min="5614" max="5614" width="18" style="160" customWidth="1"/>
    <col min="5615" max="5615" width="23.6640625" style="160" customWidth="1"/>
    <col min="5616" max="5616" width="26" style="160" customWidth="1"/>
    <col min="5617" max="5617" width="21.5" style="160" customWidth="1"/>
    <col min="5618" max="5618" width="20.83203125" style="160" customWidth="1"/>
    <col min="5619" max="5619" width="0" style="160" hidden="1" customWidth="1"/>
    <col min="5620" max="5867" width="9.1640625" style="160"/>
    <col min="5868" max="5868" width="21.5" style="160" customWidth="1"/>
    <col min="5869" max="5869" width="16.5" style="160" customWidth="1"/>
    <col min="5870" max="5870" width="18" style="160" customWidth="1"/>
    <col min="5871" max="5871" width="23.6640625" style="160" customWidth="1"/>
    <col min="5872" max="5872" width="26" style="160" customWidth="1"/>
    <col min="5873" max="5873" width="21.5" style="160" customWidth="1"/>
    <col min="5874" max="5874" width="20.83203125" style="160" customWidth="1"/>
    <col min="5875" max="5875" width="0" style="160" hidden="1" customWidth="1"/>
    <col min="5876" max="6123" width="9.1640625" style="160"/>
    <col min="6124" max="6124" width="21.5" style="160" customWidth="1"/>
    <col min="6125" max="6125" width="16.5" style="160" customWidth="1"/>
    <col min="6126" max="6126" width="18" style="160" customWidth="1"/>
    <col min="6127" max="6127" width="23.6640625" style="160" customWidth="1"/>
    <col min="6128" max="6128" width="26" style="160" customWidth="1"/>
    <col min="6129" max="6129" width="21.5" style="160" customWidth="1"/>
    <col min="6130" max="6130" width="20.83203125" style="160" customWidth="1"/>
    <col min="6131" max="6131" width="0" style="160" hidden="1" customWidth="1"/>
    <col min="6132" max="6379" width="9.1640625" style="160"/>
    <col min="6380" max="6380" width="21.5" style="160" customWidth="1"/>
    <col min="6381" max="6381" width="16.5" style="160" customWidth="1"/>
    <col min="6382" max="6382" width="18" style="160" customWidth="1"/>
    <col min="6383" max="6383" width="23.6640625" style="160" customWidth="1"/>
    <col min="6384" max="6384" width="26" style="160" customWidth="1"/>
    <col min="6385" max="6385" width="21.5" style="160" customWidth="1"/>
    <col min="6386" max="6386" width="20.83203125" style="160" customWidth="1"/>
    <col min="6387" max="6387" width="0" style="160" hidden="1" customWidth="1"/>
    <col min="6388" max="6635" width="9.1640625" style="160"/>
    <col min="6636" max="6636" width="21.5" style="160" customWidth="1"/>
    <col min="6637" max="6637" width="16.5" style="160" customWidth="1"/>
    <col min="6638" max="6638" width="18" style="160" customWidth="1"/>
    <col min="6639" max="6639" width="23.6640625" style="160" customWidth="1"/>
    <col min="6640" max="6640" width="26" style="160" customWidth="1"/>
    <col min="6641" max="6641" width="21.5" style="160" customWidth="1"/>
    <col min="6642" max="6642" width="20.83203125" style="160" customWidth="1"/>
    <col min="6643" max="6643" width="0" style="160" hidden="1" customWidth="1"/>
    <col min="6644" max="6891" width="9.1640625" style="160"/>
    <col min="6892" max="6892" width="21.5" style="160" customWidth="1"/>
    <col min="6893" max="6893" width="16.5" style="160" customWidth="1"/>
    <col min="6894" max="6894" width="18" style="160" customWidth="1"/>
    <col min="6895" max="6895" width="23.6640625" style="160" customWidth="1"/>
    <col min="6896" max="6896" width="26" style="160" customWidth="1"/>
    <col min="6897" max="6897" width="21.5" style="160" customWidth="1"/>
    <col min="6898" max="6898" width="20.83203125" style="160" customWidth="1"/>
    <col min="6899" max="6899" width="0" style="160" hidden="1" customWidth="1"/>
    <col min="6900" max="7147" width="9.1640625" style="160"/>
    <col min="7148" max="7148" width="21.5" style="160" customWidth="1"/>
    <col min="7149" max="7149" width="16.5" style="160" customWidth="1"/>
    <col min="7150" max="7150" width="18" style="160" customWidth="1"/>
    <col min="7151" max="7151" width="23.6640625" style="160" customWidth="1"/>
    <col min="7152" max="7152" width="26" style="160" customWidth="1"/>
    <col min="7153" max="7153" width="21.5" style="160" customWidth="1"/>
    <col min="7154" max="7154" width="20.83203125" style="160" customWidth="1"/>
    <col min="7155" max="7155" width="0" style="160" hidden="1" customWidth="1"/>
    <col min="7156" max="7403" width="9.1640625" style="160"/>
    <col min="7404" max="7404" width="21.5" style="160" customWidth="1"/>
    <col min="7405" max="7405" width="16.5" style="160" customWidth="1"/>
    <col min="7406" max="7406" width="18" style="160" customWidth="1"/>
    <col min="7407" max="7407" width="23.6640625" style="160" customWidth="1"/>
    <col min="7408" max="7408" width="26" style="160" customWidth="1"/>
    <col min="7409" max="7409" width="21.5" style="160" customWidth="1"/>
    <col min="7410" max="7410" width="20.83203125" style="160" customWidth="1"/>
    <col min="7411" max="7411" width="0" style="160" hidden="1" customWidth="1"/>
    <col min="7412" max="7659" width="9.1640625" style="160"/>
    <col min="7660" max="7660" width="21.5" style="160" customWidth="1"/>
    <col min="7661" max="7661" width="16.5" style="160" customWidth="1"/>
    <col min="7662" max="7662" width="18" style="160" customWidth="1"/>
    <col min="7663" max="7663" width="23.6640625" style="160" customWidth="1"/>
    <col min="7664" max="7664" width="26" style="160" customWidth="1"/>
    <col min="7665" max="7665" width="21.5" style="160" customWidth="1"/>
    <col min="7666" max="7666" width="20.83203125" style="160" customWidth="1"/>
    <col min="7667" max="7667" width="0" style="160" hidden="1" customWidth="1"/>
    <col min="7668" max="7915" width="9.1640625" style="160"/>
    <col min="7916" max="7916" width="21.5" style="160" customWidth="1"/>
    <col min="7917" max="7917" width="16.5" style="160" customWidth="1"/>
    <col min="7918" max="7918" width="18" style="160" customWidth="1"/>
    <col min="7919" max="7919" width="23.6640625" style="160" customWidth="1"/>
    <col min="7920" max="7920" width="26" style="160" customWidth="1"/>
    <col min="7921" max="7921" width="21.5" style="160" customWidth="1"/>
    <col min="7922" max="7922" width="20.83203125" style="160" customWidth="1"/>
    <col min="7923" max="7923" width="0" style="160" hidden="1" customWidth="1"/>
    <col min="7924" max="8171" width="9.1640625" style="160"/>
    <col min="8172" max="8172" width="21.5" style="160" customWidth="1"/>
    <col min="8173" max="8173" width="16.5" style="160" customWidth="1"/>
    <col min="8174" max="8174" width="18" style="160" customWidth="1"/>
    <col min="8175" max="8175" width="23.6640625" style="160" customWidth="1"/>
    <col min="8176" max="8176" width="26" style="160" customWidth="1"/>
    <col min="8177" max="8177" width="21.5" style="160" customWidth="1"/>
    <col min="8178" max="8178" width="20.83203125" style="160" customWidth="1"/>
    <col min="8179" max="8179" width="0" style="160" hidden="1" customWidth="1"/>
    <col min="8180" max="8427" width="9.1640625" style="160"/>
    <col min="8428" max="8428" width="21.5" style="160" customWidth="1"/>
    <col min="8429" max="8429" width="16.5" style="160" customWidth="1"/>
    <col min="8430" max="8430" width="18" style="160" customWidth="1"/>
    <col min="8431" max="8431" width="23.6640625" style="160" customWidth="1"/>
    <col min="8432" max="8432" width="26" style="160" customWidth="1"/>
    <col min="8433" max="8433" width="21.5" style="160" customWidth="1"/>
    <col min="8434" max="8434" width="20.83203125" style="160" customWidth="1"/>
    <col min="8435" max="8435" width="0" style="160" hidden="1" customWidth="1"/>
    <col min="8436" max="8683" width="9.1640625" style="160"/>
    <col min="8684" max="8684" width="21.5" style="160" customWidth="1"/>
    <col min="8685" max="8685" width="16.5" style="160" customWidth="1"/>
    <col min="8686" max="8686" width="18" style="160" customWidth="1"/>
    <col min="8687" max="8687" width="23.6640625" style="160" customWidth="1"/>
    <col min="8688" max="8688" width="26" style="160" customWidth="1"/>
    <col min="8689" max="8689" width="21.5" style="160" customWidth="1"/>
    <col min="8690" max="8690" width="20.83203125" style="160" customWidth="1"/>
    <col min="8691" max="8691" width="0" style="160" hidden="1" customWidth="1"/>
    <col min="8692" max="8939" width="9.1640625" style="160"/>
    <col min="8940" max="8940" width="21.5" style="160" customWidth="1"/>
    <col min="8941" max="8941" width="16.5" style="160" customWidth="1"/>
    <col min="8942" max="8942" width="18" style="160" customWidth="1"/>
    <col min="8943" max="8943" width="23.6640625" style="160" customWidth="1"/>
    <col min="8944" max="8944" width="26" style="160" customWidth="1"/>
    <col min="8945" max="8945" width="21.5" style="160" customWidth="1"/>
    <col min="8946" max="8946" width="20.83203125" style="160" customWidth="1"/>
    <col min="8947" max="8947" width="0" style="160" hidden="1" customWidth="1"/>
    <col min="8948" max="9195" width="9.1640625" style="160"/>
    <col min="9196" max="9196" width="21.5" style="160" customWidth="1"/>
    <col min="9197" max="9197" width="16.5" style="160" customWidth="1"/>
    <col min="9198" max="9198" width="18" style="160" customWidth="1"/>
    <col min="9199" max="9199" width="23.6640625" style="160" customWidth="1"/>
    <col min="9200" max="9200" width="26" style="160" customWidth="1"/>
    <col min="9201" max="9201" width="21.5" style="160" customWidth="1"/>
    <col min="9202" max="9202" width="20.83203125" style="160" customWidth="1"/>
    <col min="9203" max="9203" width="0" style="160" hidden="1" customWidth="1"/>
    <col min="9204" max="9451" width="9.1640625" style="160"/>
    <col min="9452" max="9452" width="21.5" style="160" customWidth="1"/>
    <col min="9453" max="9453" width="16.5" style="160" customWidth="1"/>
    <col min="9454" max="9454" width="18" style="160" customWidth="1"/>
    <col min="9455" max="9455" width="23.6640625" style="160" customWidth="1"/>
    <col min="9456" max="9456" width="26" style="160" customWidth="1"/>
    <col min="9457" max="9457" width="21.5" style="160" customWidth="1"/>
    <col min="9458" max="9458" width="20.83203125" style="160" customWidth="1"/>
    <col min="9459" max="9459" width="0" style="160" hidden="1" customWidth="1"/>
    <col min="9460" max="9707" width="9.1640625" style="160"/>
    <col min="9708" max="9708" width="21.5" style="160" customWidth="1"/>
    <col min="9709" max="9709" width="16.5" style="160" customWidth="1"/>
    <col min="9710" max="9710" width="18" style="160" customWidth="1"/>
    <col min="9711" max="9711" width="23.6640625" style="160" customWidth="1"/>
    <col min="9712" max="9712" width="26" style="160" customWidth="1"/>
    <col min="9713" max="9713" width="21.5" style="160" customWidth="1"/>
    <col min="9714" max="9714" width="20.83203125" style="160" customWidth="1"/>
    <col min="9715" max="9715" width="0" style="160" hidden="1" customWidth="1"/>
    <col min="9716" max="9963" width="9.1640625" style="160"/>
    <col min="9964" max="9964" width="21.5" style="160" customWidth="1"/>
    <col min="9965" max="9965" width="16.5" style="160" customWidth="1"/>
    <col min="9966" max="9966" width="18" style="160" customWidth="1"/>
    <col min="9967" max="9967" width="23.6640625" style="160" customWidth="1"/>
    <col min="9968" max="9968" width="26" style="160" customWidth="1"/>
    <col min="9969" max="9969" width="21.5" style="160" customWidth="1"/>
    <col min="9970" max="9970" width="20.83203125" style="160" customWidth="1"/>
    <col min="9971" max="9971" width="0" style="160" hidden="1" customWidth="1"/>
    <col min="9972" max="10219" width="9.1640625" style="160"/>
    <col min="10220" max="10220" width="21.5" style="160" customWidth="1"/>
    <col min="10221" max="10221" width="16.5" style="160" customWidth="1"/>
    <col min="10222" max="10222" width="18" style="160" customWidth="1"/>
    <col min="10223" max="10223" width="23.6640625" style="160" customWidth="1"/>
    <col min="10224" max="10224" width="26" style="160" customWidth="1"/>
    <col min="10225" max="10225" width="21.5" style="160" customWidth="1"/>
    <col min="10226" max="10226" width="20.83203125" style="160" customWidth="1"/>
    <col min="10227" max="10227" width="0" style="160" hidden="1" customWidth="1"/>
    <col min="10228" max="10475" width="9.1640625" style="160"/>
    <col min="10476" max="10476" width="21.5" style="160" customWidth="1"/>
    <col min="10477" max="10477" width="16.5" style="160" customWidth="1"/>
    <col min="10478" max="10478" width="18" style="160" customWidth="1"/>
    <col min="10479" max="10479" width="23.6640625" style="160" customWidth="1"/>
    <col min="10480" max="10480" width="26" style="160" customWidth="1"/>
    <col min="10481" max="10481" width="21.5" style="160" customWidth="1"/>
    <col min="10482" max="10482" width="20.83203125" style="160" customWidth="1"/>
    <col min="10483" max="10483" width="0" style="160" hidden="1" customWidth="1"/>
    <col min="10484" max="10731" width="9.1640625" style="160"/>
    <col min="10732" max="10732" width="21.5" style="160" customWidth="1"/>
    <col min="10733" max="10733" width="16.5" style="160" customWidth="1"/>
    <col min="10734" max="10734" width="18" style="160" customWidth="1"/>
    <col min="10735" max="10735" width="23.6640625" style="160" customWidth="1"/>
    <col min="10736" max="10736" width="26" style="160" customWidth="1"/>
    <col min="10737" max="10737" width="21.5" style="160" customWidth="1"/>
    <col min="10738" max="10738" width="20.83203125" style="160" customWidth="1"/>
    <col min="10739" max="10739" width="0" style="160" hidden="1" customWidth="1"/>
    <col min="10740" max="10987" width="9.1640625" style="160"/>
    <col min="10988" max="10988" width="21.5" style="160" customWidth="1"/>
    <col min="10989" max="10989" width="16.5" style="160" customWidth="1"/>
    <col min="10990" max="10990" width="18" style="160" customWidth="1"/>
    <col min="10991" max="10991" width="23.6640625" style="160" customWidth="1"/>
    <col min="10992" max="10992" width="26" style="160" customWidth="1"/>
    <col min="10993" max="10993" width="21.5" style="160" customWidth="1"/>
    <col min="10994" max="10994" width="20.83203125" style="160" customWidth="1"/>
    <col min="10995" max="10995" width="0" style="160" hidden="1" customWidth="1"/>
    <col min="10996" max="11243" width="9.1640625" style="160"/>
    <col min="11244" max="11244" width="21.5" style="160" customWidth="1"/>
    <col min="11245" max="11245" width="16.5" style="160" customWidth="1"/>
    <col min="11246" max="11246" width="18" style="160" customWidth="1"/>
    <col min="11247" max="11247" width="23.6640625" style="160" customWidth="1"/>
    <col min="11248" max="11248" width="26" style="160" customWidth="1"/>
    <col min="11249" max="11249" width="21.5" style="160" customWidth="1"/>
    <col min="11250" max="11250" width="20.83203125" style="160" customWidth="1"/>
    <col min="11251" max="11251" width="0" style="160" hidden="1" customWidth="1"/>
    <col min="11252" max="11499" width="9.1640625" style="160"/>
    <col min="11500" max="11500" width="21.5" style="160" customWidth="1"/>
    <col min="11501" max="11501" width="16.5" style="160" customWidth="1"/>
    <col min="11502" max="11502" width="18" style="160" customWidth="1"/>
    <col min="11503" max="11503" width="23.6640625" style="160" customWidth="1"/>
    <col min="11504" max="11504" width="26" style="160" customWidth="1"/>
    <col min="11505" max="11505" width="21.5" style="160" customWidth="1"/>
    <col min="11506" max="11506" width="20.83203125" style="160" customWidth="1"/>
    <col min="11507" max="11507" width="0" style="160" hidden="1" customWidth="1"/>
    <col min="11508" max="11755" width="9.1640625" style="160"/>
    <col min="11756" max="11756" width="21.5" style="160" customWidth="1"/>
    <col min="11757" max="11757" width="16.5" style="160" customWidth="1"/>
    <col min="11758" max="11758" width="18" style="160" customWidth="1"/>
    <col min="11759" max="11759" width="23.6640625" style="160" customWidth="1"/>
    <col min="11760" max="11760" width="26" style="160" customWidth="1"/>
    <col min="11761" max="11761" width="21.5" style="160" customWidth="1"/>
    <col min="11762" max="11762" width="20.83203125" style="160" customWidth="1"/>
    <col min="11763" max="11763" width="0" style="160" hidden="1" customWidth="1"/>
    <col min="11764" max="12011" width="9.1640625" style="160"/>
    <col min="12012" max="12012" width="21.5" style="160" customWidth="1"/>
    <col min="12013" max="12013" width="16.5" style="160" customWidth="1"/>
    <col min="12014" max="12014" width="18" style="160" customWidth="1"/>
    <col min="12015" max="12015" width="23.6640625" style="160" customWidth="1"/>
    <col min="12016" max="12016" width="26" style="160" customWidth="1"/>
    <col min="12017" max="12017" width="21.5" style="160" customWidth="1"/>
    <col min="12018" max="12018" width="20.83203125" style="160" customWidth="1"/>
    <col min="12019" max="12019" width="0" style="160" hidden="1" customWidth="1"/>
    <col min="12020" max="12267" width="9.1640625" style="160"/>
    <col min="12268" max="12268" width="21.5" style="160" customWidth="1"/>
    <col min="12269" max="12269" width="16.5" style="160" customWidth="1"/>
    <col min="12270" max="12270" width="18" style="160" customWidth="1"/>
    <col min="12271" max="12271" width="23.6640625" style="160" customWidth="1"/>
    <col min="12272" max="12272" width="26" style="160" customWidth="1"/>
    <col min="12273" max="12273" width="21.5" style="160" customWidth="1"/>
    <col min="12274" max="12274" width="20.83203125" style="160" customWidth="1"/>
    <col min="12275" max="12275" width="0" style="160" hidden="1" customWidth="1"/>
    <col min="12276" max="12523" width="9.1640625" style="160"/>
    <col min="12524" max="12524" width="21.5" style="160" customWidth="1"/>
    <col min="12525" max="12525" width="16.5" style="160" customWidth="1"/>
    <col min="12526" max="12526" width="18" style="160" customWidth="1"/>
    <col min="12527" max="12527" width="23.6640625" style="160" customWidth="1"/>
    <col min="12528" max="12528" width="26" style="160" customWidth="1"/>
    <col min="12529" max="12529" width="21.5" style="160" customWidth="1"/>
    <col min="12530" max="12530" width="20.83203125" style="160" customWidth="1"/>
    <col min="12531" max="12531" width="0" style="160" hidden="1" customWidth="1"/>
    <col min="12532" max="12779" width="9.1640625" style="160"/>
    <col min="12780" max="12780" width="21.5" style="160" customWidth="1"/>
    <col min="12781" max="12781" width="16.5" style="160" customWidth="1"/>
    <col min="12782" max="12782" width="18" style="160" customWidth="1"/>
    <col min="12783" max="12783" width="23.6640625" style="160" customWidth="1"/>
    <col min="12784" max="12784" width="26" style="160" customWidth="1"/>
    <col min="12785" max="12785" width="21.5" style="160" customWidth="1"/>
    <col min="12786" max="12786" width="20.83203125" style="160" customWidth="1"/>
    <col min="12787" max="12787" width="0" style="160" hidden="1" customWidth="1"/>
    <col min="12788" max="13035" width="9.1640625" style="160"/>
    <col min="13036" max="13036" width="21.5" style="160" customWidth="1"/>
    <col min="13037" max="13037" width="16.5" style="160" customWidth="1"/>
    <col min="13038" max="13038" width="18" style="160" customWidth="1"/>
    <col min="13039" max="13039" width="23.6640625" style="160" customWidth="1"/>
    <col min="13040" max="13040" width="26" style="160" customWidth="1"/>
    <col min="13041" max="13041" width="21.5" style="160" customWidth="1"/>
    <col min="13042" max="13042" width="20.83203125" style="160" customWidth="1"/>
    <col min="13043" max="13043" width="0" style="160" hidden="1" customWidth="1"/>
    <col min="13044" max="13291" width="9.1640625" style="160"/>
    <col min="13292" max="13292" width="21.5" style="160" customWidth="1"/>
    <col min="13293" max="13293" width="16.5" style="160" customWidth="1"/>
    <col min="13294" max="13294" width="18" style="160" customWidth="1"/>
    <col min="13295" max="13295" width="23.6640625" style="160" customWidth="1"/>
    <col min="13296" max="13296" width="26" style="160" customWidth="1"/>
    <col min="13297" max="13297" width="21.5" style="160" customWidth="1"/>
    <col min="13298" max="13298" width="20.83203125" style="160" customWidth="1"/>
    <col min="13299" max="13299" width="0" style="160" hidden="1" customWidth="1"/>
    <col min="13300" max="13547" width="9.1640625" style="160"/>
    <col min="13548" max="13548" width="21.5" style="160" customWidth="1"/>
    <col min="13549" max="13549" width="16.5" style="160" customWidth="1"/>
    <col min="13550" max="13550" width="18" style="160" customWidth="1"/>
    <col min="13551" max="13551" width="23.6640625" style="160" customWidth="1"/>
    <col min="13552" max="13552" width="26" style="160" customWidth="1"/>
    <col min="13553" max="13553" width="21.5" style="160" customWidth="1"/>
    <col min="13554" max="13554" width="20.83203125" style="160" customWidth="1"/>
    <col min="13555" max="13555" width="0" style="160" hidden="1" customWidth="1"/>
    <col min="13556" max="13803" width="9.1640625" style="160"/>
    <col min="13804" max="13804" width="21.5" style="160" customWidth="1"/>
    <col min="13805" max="13805" width="16.5" style="160" customWidth="1"/>
    <col min="13806" max="13806" width="18" style="160" customWidth="1"/>
    <col min="13807" max="13807" width="23.6640625" style="160" customWidth="1"/>
    <col min="13808" max="13808" width="26" style="160" customWidth="1"/>
    <col min="13809" max="13809" width="21.5" style="160" customWidth="1"/>
    <col min="13810" max="13810" width="20.83203125" style="160" customWidth="1"/>
    <col min="13811" max="13811" width="0" style="160" hidden="1" customWidth="1"/>
    <col min="13812" max="14059" width="9.1640625" style="160"/>
    <col min="14060" max="14060" width="21.5" style="160" customWidth="1"/>
    <col min="14061" max="14061" width="16.5" style="160" customWidth="1"/>
    <col min="14062" max="14062" width="18" style="160" customWidth="1"/>
    <col min="14063" max="14063" width="23.6640625" style="160" customWidth="1"/>
    <col min="14064" max="14064" width="26" style="160" customWidth="1"/>
    <col min="14065" max="14065" width="21.5" style="160" customWidth="1"/>
    <col min="14066" max="14066" width="20.83203125" style="160" customWidth="1"/>
    <col min="14067" max="14067" width="0" style="160" hidden="1" customWidth="1"/>
    <col min="14068" max="14315" width="9.1640625" style="160"/>
    <col min="14316" max="14316" width="21.5" style="160" customWidth="1"/>
    <col min="14317" max="14317" width="16.5" style="160" customWidth="1"/>
    <col min="14318" max="14318" width="18" style="160" customWidth="1"/>
    <col min="14319" max="14319" width="23.6640625" style="160" customWidth="1"/>
    <col min="14320" max="14320" width="26" style="160" customWidth="1"/>
    <col min="14321" max="14321" width="21.5" style="160" customWidth="1"/>
    <col min="14322" max="14322" width="20.83203125" style="160" customWidth="1"/>
    <col min="14323" max="14323" width="0" style="160" hidden="1" customWidth="1"/>
    <col min="14324" max="14571" width="9.1640625" style="160"/>
    <col min="14572" max="14572" width="21.5" style="160" customWidth="1"/>
    <col min="14573" max="14573" width="16.5" style="160" customWidth="1"/>
    <col min="14574" max="14574" width="18" style="160" customWidth="1"/>
    <col min="14575" max="14575" width="23.6640625" style="160" customWidth="1"/>
    <col min="14576" max="14576" width="26" style="160" customWidth="1"/>
    <col min="14577" max="14577" width="21.5" style="160" customWidth="1"/>
    <col min="14578" max="14578" width="20.83203125" style="160" customWidth="1"/>
    <col min="14579" max="14579" width="0" style="160" hidden="1" customWidth="1"/>
    <col min="14580" max="14827" width="9.1640625" style="160"/>
    <col min="14828" max="14828" width="21.5" style="160" customWidth="1"/>
    <col min="14829" max="14829" width="16.5" style="160" customWidth="1"/>
    <col min="14830" max="14830" width="18" style="160" customWidth="1"/>
    <col min="14831" max="14831" width="23.6640625" style="160" customWidth="1"/>
    <col min="14832" max="14832" width="26" style="160" customWidth="1"/>
    <col min="14833" max="14833" width="21.5" style="160" customWidth="1"/>
    <col min="14834" max="14834" width="20.83203125" style="160" customWidth="1"/>
    <col min="14835" max="14835" width="0" style="160" hidden="1" customWidth="1"/>
    <col min="14836" max="15083" width="9.1640625" style="160"/>
    <col min="15084" max="15084" width="21.5" style="160" customWidth="1"/>
    <col min="15085" max="15085" width="16.5" style="160" customWidth="1"/>
    <col min="15086" max="15086" width="18" style="160" customWidth="1"/>
    <col min="15087" max="15087" width="23.6640625" style="160" customWidth="1"/>
    <col min="15088" max="15088" width="26" style="160" customWidth="1"/>
    <col min="15089" max="15089" width="21.5" style="160" customWidth="1"/>
    <col min="15090" max="15090" width="20.83203125" style="160" customWidth="1"/>
    <col min="15091" max="15091" width="0" style="160" hidden="1" customWidth="1"/>
    <col min="15092" max="15339" width="9.1640625" style="160"/>
    <col min="15340" max="15340" width="21.5" style="160" customWidth="1"/>
    <col min="15341" max="15341" width="16.5" style="160" customWidth="1"/>
    <col min="15342" max="15342" width="18" style="160" customWidth="1"/>
    <col min="15343" max="15343" width="23.6640625" style="160" customWidth="1"/>
    <col min="15344" max="15344" width="26" style="160" customWidth="1"/>
    <col min="15345" max="15345" width="21.5" style="160" customWidth="1"/>
    <col min="15346" max="15346" width="20.83203125" style="160" customWidth="1"/>
    <col min="15347" max="15347" width="0" style="160" hidden="1" customWidth="1"/>
    <col min="15348" max="15595" width="9.1640625" style="160"/>
    <col min="15596" max="15596" width="21.5" style="160" customWidth="1"/>
    <col min="15597" max="15597" width="16.5" style="160" customWidth="1"/>
    <col min="15598" max="15598" width="18" style="160" customWidth="1"/>
    <col min="15599" max="15599" width="23.6640625" style="160" customWidth="1"/>
    <col min="15600" max="15600" width="26" style="160" customWidth="1"/>
    <col min="15601" max="15601" width="21.5" style="160" customWidth="1"/>
    <col min="15602" max="15602" width="20.83203125" style="160" customWidth="1"/>
    <col min="15603" max="15603" width="0" style="160" hidden="1" customWidth="1"/>
    <col min="15604" max="15851" width="9.1640625" style="160"/>
    <col min="15852" max="15852" width="21.5" style="160" customWidth="1"/>
    <col min="15853" max="15853" width="16.5" style="160" customWidth="1"/>
    <col min="15854" max="15854" width="18" style="160" customWidth="1"/>
    <col min="15855" max="15855" width="23.6640625" style="160" customWidth="1"/>
    <col min="15856" max="15856" width="26" style="160" customWidth="1"/>
    <col min="15857" max="15857" width="21.5" style="160" customWidth="1"/>
    <col min="15858" max="15858" width="20.83203125" style="160" customWidth="1"/>
    <col min="15859" max="15859" width="0" style="160" hidden="1" customWidth="1"/>
    <col min="15860" max="16107" width="9.1640625" style="160"/>
    <col min="16108" max="16108" width="21.5" style="160" customWidth="1"/>
    <col min="16109" max="16109" width="16.5" style="160" customWidth="1"/>
    <col min="16110" max="16110" width="18" style="160" customWidth="1"/>
    <col min="16111" max="16111" width="23.6640625" style="160" customWidth="1"/>
    <col min="16112" max="16112" width="26" style="160" customWidth="1"/>
    <col min="16113" max="16113" width="21.5" style="160" customWidth="1"/>
    <col min="16114" max="16114" width="20.83203125" style="160" customWidth="1"/>
    <col min="16115" max="16115" width="0" style="160" hidden="1" customWidth="1"/>
    <col min="16116" max="16384" width="9.1640625" style="160"/>
  </cols>
  <sheetData>
    <row r="1" spans="2:19" ht="9" customHeight="1" thickBot="1"/>
    <row r="2" spans="2:19" s="162" customFormat="1" ht="30" customHeight="1" thickBot="1">
      <c r="B2" s="184" t="s">
        <v>53</v>
      </c>
      <c r="C2" s="185"/>
      <c r="D2" s="185"/>
      <c r="E2" s="185"/>
      <c r="F2" s="185"/>
      <c r="G2" s="186"/>
      <c r="H2" s="185"/>
      <c r="I2" s="185"/>
      <c r="J2" s="185"/>
      <c r="K2" s="185"/>
      <c r="L2" s="185"/>
      <c r="M2" s="187"/>
      <c r="N2" s="186"/>
      <c r="O2" s="186"/>
      <c r="P2" s="188"/>
    </row>
    <row r="3" spans="2:19">
      <c r="G3" s="189"/>
      <c r="M3" s="190"/>
      <c r="N3" s="191"/>
      <c r="O3" s="191"/>
      <c r="P3" s="191"/>
      <c r="R3" s="810" t="s">
        <v>263</v>
      </c>
      <c r="S3" s="811"/>
    </row>
    <row r="4" spans="2:19" ht="45" customHeight="1">
      <c r="B4" s="163" t="s">
        <v>224</v>
      </c>
      <c r="C4" s="164" t="s">
        <v>223</v>
      </c>
      <c r="D4" s="164" t="s">
        <v>54</v>
      </c>
      <c r="E4" s="164" t="s">
        <v>11</v>
      </c>
      <c r="F4" s="164" t="s">
        <v>58</v>
      </c>
      <c r="G4" s="164" t="s">
        <v>159</v>
      </c>
      <c r="H4" s="164" t="s">
        <v>261</v>
      </c>
      <c r="I4" s="164" t="s">
        <v>349</v>
      </c>
      <c r="J4" s="164" t="s">
        <v>350</v>
      </c>
      <c r="K4" s="164" t="s">
        <v>351</v>
      </c>
      <c r="L4" s="164" t="s">
        <v>352</v>
      </c>
      <c r="M4" s="164" t="s">
        <v>158</v>
      </c>
      <c r="N4" s="164" t="s">
        <v>56</v>
      </c>
      <c r="O4" s="164" t="s">
        <v>57</v>
      </c>
      <c r="P4" s="165" t="s">
        <v>58</v>
      </c>
      <c r="R4" s="806" t="s">
        <v>353</v>
      </c>
      <c r="S4" s="808" t="s">
        <v>262</v>
      </c>
    </row>
    <row r="5" spans="2:19" ht="15.75" customHeight="1">
      <c r="B5" s="166" t="s">
        <v>55</v>
      </c>
      <c r="C5" s="167" t="s">
        <v>52</v>
      </c>
      <c r="D5" s="167" t="s">
        <v>0</v>
      </c>
      <c r="E5" s="167" t="s">
        <v>0</v>
      </c>
      <c r="F5" s="167" t="s">
        <v>0</v>
      </c>
      <c r="G5" s="168" t="s">
        <v>0</v>
      </c>
      <c r="H5" s="168" t="s">
        <v>0</v>
      </c>
      <c r="I5" s="168" t="s">
        <v>0</v>
      </c>
      <c r="J5" s="168" t="s">
        <v>0</v>
      </c>
      <c r="K5" s="167" t="s">
        <v>0</v>
      </c>
      <c r="L5" s="167" t="s">
        <v>0</v>
      </c>
      <c r="M5" s="168" t="s">
        <v>0</v>
      </c>
      <c r="N5" s="168" t="s">
        <v>0</v>
      </c>
      <c r="O5" s="167" t="s">
        <v>1</v>
      </c>
      <c r="P5" s="169" t="s">
        <v>59</v>
      </c>
      <c r="R5" s="807"/>
      <c r="S5" s="809"/>
    </row>
    <row r="6" spans="2:19" ht="15.75" customHeight="1">
      <c r="B6" s="170">
        <v>0</v>
      </c>
      <c r="C6" s="171"/>
      <c r="D6" s="172"/>
      <c r="E6" s="172"/>
      <c r="F6" s="172"/>
      <c r="G6" s="173"/>
      <c r="H6" s="172"/>
      <c r="I6" s="172"/>
      <c r="J6" s="172"/>
      <c r="K6" s="172"/>
      <c r="L6" s="223"/>
      <c r="M6" s="173">
        <f>'Cash Flow'!F79</f>
        <v>-1687499.9999999998</v>
      </c>
      <c r="N6" s="173">
        <f>M6</f>
        <v>-1687499.9999999998</v>
      </c>
      <c r="O6" s="192"/>
      <c r="P6" s="193"/>
      <c r="R6" s="390"/>
      <c r="S6" s="391"/>
    </row>
    <row r="7" spans="2:19" s="180" customFormat="1" ht="15">
      <c r="B7" s="175">
        <v>1</v>
      </c>
      <c r="C7" s="176">
        <f>IF($B7&gt;Inputs!$G$18,"",IF($B7&lt;=Inputs!$Q$22,LOOKUP($B7,'Cash Flow'!$F$2:$AJ$2,'Cash Flow'!$F$17:$AJ$17),LOOKUP($B7,'Cash Flow'!$F$2:$AJ$2,'Cash Flow'!$F$19:$AJ$19)))</f>
        <v>11.349999999999998</v>
      </c>
      <c r="D7" s="173">
        <f>IF($B7&gt;Inputs!$G$18,"",LOOKUP($B7,'Cash Flow'!$F$2:$AJ$2,'Cash Flow'!$F$29:$AJ$29))</f>
        <v>771071.20986735867</v>
      </c>
      <c r="E7" s="173">
        <f>IF($B7&gt;Inputs!$G$18,"",LOOKUP($B7,'Cash Flow'!$F$2:$AJ$2,'Cash Flow'!$F$47:$AJ$47))</f>
        <v>-350888</v>
      </c>
      <c r="F7" s="173">
        <f>IF($B7&gt;Inputs!$G$18,"",LOOKUP($B7,'Cash Flow'!$F$2:$AJ$2,'Cash Flow'!$F$97:$AJ$97))</f>
        <v>-246779.87428103067</v>
      </c>
      <c r="G7" s="173">
        <f>IF($B7&gt;Inputs!$G$18,"",LOOKUP($B7,'Cash Flow'!$F$2:$AJ$2,'Cash Flow'!$F$59:$AJ$59)+LOOKUP($B7,'Cash Flow'!$F$2:$AJ$2,'Cash Flow'!$F$60:$AJ$60))</f>
        <v>0</v>
      </c>
      <c r="H7" s="173">
        <f>IF($B7&gt;Inputs!$G$18,"",SUM(D7:G7))</f>
        <v>173403.335586328</v>
      </c>
      <c r="I7" s="173">
        <f>IF($B7&gt;Inputs!$G$18,"",LOOKUP($B7,'Cash Flow'!$F$2:$AJ$2,'Cash Flow'!$F$72:$AJ$72))</f>
        <v>-434348.04013264133</v>
      </c>
      <c r="J7" s="173">
        <f>IF($B7&gt;Inputs!$G$18,"",LOOKUP($B7,'Cash Flow'!$F$2:$AJ$2,'Cash Flow'!$F$73:$AJ$73))</f>
        <v>-434348.04013264133</v>
      </c>
      <c r="K7" s="173">
        <f>IF($B7&gt;Inputs!$G$18,"",LOOKUP($B7,'Cash Flow'!$F$2:$AJ$2,'Cash Flow'!$F$75:$AJ$75)+LOOKUP($B7,'Cash Flow'!$F$2:$AJ$2,'Cash Flow'!$F$77:$AJ$77))</f>
        <v>179187.93175247841</v>
      </c>
      <c r="L7" s="173">
        <f>IF($B7&gt;Inputs!$G$18,"",LOOKUP($B7,'Cash Flow'!$F$2:$AJ$2,'Cash Flow'!$F$76:$AJ$76)+LOOKUP($B7,'Cash Flow'!$F$2:$AJ$2,'Cash Flow'!$F$78:$AJ$78))</f>
        <v>41543.549411274515</v>
      </c>
      <c r="M7" s="173">
        <f>IF($B7&gt;Inputs!$G$18,"",H7+K7+L7)</f>
        <v>394134.81675008091</v>
      </c>
      <c r="N7" s="173">
        <f>IF($B7&gt;Inputs!$G$18,N6,N6+M7)</f>
        <v>-1293365.1832499187</v>
      </c>
      <c r="O7" s="177">
        <f>IF($B7&gt;Inputs!$G$18,"",LOOKUP($B7,'Cash Flow'!$F$2:$AJ$2,'Cash Flow'!$F$80:$AJ$80))</f>
        <v>-0.76643862711106303</v>
      </c>
      <c r="P7" s="178">
        <f>IF($B7&gt;Inputs!$G$18,"",LOOKUP($B7,'Cash Flow'!$F$2:$AJ$2,'Cash Flow'!$F$53:$AJ$53))</f>
        <v>1.702664008122712</v>
      </c>
      <c r="R7" s="392">
        <f>IF($B7&gt;Inputs!$G$18,"",D7+K7+L7)</f>
        <v>991802.69103111164</v>
      </c>
      <c r="S7" s="393">
        <f>IF($B7&gt;Inputs!$G$18,"",-(E7+F7+G7))</f>
        <v>597667.87428103061</v>
      </c>
    </row>
    <row r="8" spans="2:19" s="180" customFormat="1" ht="15.75" customHeight="1">
      <c r="B8" s="181">
        <v>2</v>
      </c>
      <c r="C8" s="176">
        <f>IF($B8&gt;Inputs!$G$18,"",IF($B8&lt;=Inputs!$Q$22,LOOKUP($B8,'Cash Flow'!$F$2:$AJ$2,'Cash Flow'!$F$17:$AJ$17),LOOKUP($B8,'Cash Flow'!$F$2:$AJ$2,'Cash Flow'!$F$19:$AJ$19)))</f>
        <v>11.349999999999998</v>
      </c>
      <c r="D8" s="173">
        <f>IF($B8&gt;Inputs!$G$18,"",LOOKUP($B8,'Cash Flow'!$F$2:$AJ$2,'Cash Flow'!$F$29:$AJ$29))</f>
        <v>772159.20186735864</v>
      </c>
      <c r="E8" s="173">
        <f>IF($B8&gt;Inputs!$G$18,"",LOOKUP($B8,'Cash Flow'!$F$2:$AJ$2,'Cash Flow'!$F$47:$AJ$47))</f>
        <v>-357905.76</v>
      </c>
      <c r="F8" s="173">
        <f>IF($B8&gt;Inputs!$G$18,"",LOOKUP($B8,'Cash Flow'!$F$2:$AJ$2,'Cash Flow'!$F$97:$AJ$97))</f>
        <v>-246779.87428103067</v>
      </c>
      <c r="G8" s="173">
        <f>IF($B8&gt;Inputs!$G$18,"",LOOKUP($B8,'Cash Flow'!$F$2:$AJ$2,'Cash Flow'!$F$59:$AJ$59)+LOOKUP($B8,'Cash Flow'!$F$2:$AJ$2,'Cash Flow'!$F$60:$AJ$60))</f>
        <v>0</v>
      </c>
      <c r="H8" s="173">
        <f>IF($B8&gt;Inputs!$G$18,"",SUM(D8:G8))</f>
        <v>167473.56758632796</v>
      </c>
      <c r="I8" s="173">
        <f>IF($B8&gt;Inputs!$G$18,"",LOOKUP($B8,'Cash Flow'!$F$2:$AJ$2,'Cash Flow'!$F$72:$AJ$72))</f>
        <v>-860879.09193296928</v>
      </c>
      <c r="J8" s="173">
        <f>IF($B8&gt;Inputs!$G$18,"",LOOKUP($B8,'Cash Flow'!$F$2:$AJ$2,'Cash Flow'!$F$73:$AJ$73))</f>
        <v>-860879.09193296928</v>
      </c>
      <c r="K8" s="173">
        <f>IF($B8&gt;Inputs!$G$18,"",LOOKUP($B8,'Cash Flow'!$F$2:$AJ$2,'Cash Flow'!$F$75:$AJ$75)+LOOKUP($B8,'Cash Flow'!$F$2:$AJ$2,'Cash Flow'!$F$77:$AJ$77))</f>
        <v>316586.26052953338</v>
      </c>
      <c r="L8" s="173">
        <f>IF($B8&gt;Inputs!$G$18,"",LOOKUP($B8,'Cash Flow'!$F$2:$AJ$2,'Cash Flow'!$F$76:$AJ$76)+LOOKUP($B8,'Cash Flow'!$F$2:$AJ$2,'Cash Flow'!$F$78:$AJ$78))</f>
        <v>77891.168134302396</v>
      </c>
      <c r="M8" s="173">
        <f>IF($B8&gt;Inputs!$G$18,"",H8+K8+L8)</f>
        <v>561950.99625016376</v>
      </c>
      <c r="N8" s="173">
        <f>IF($B8&gt;Inputs!$G$18,N7,N7+M8)</f>
        <v>-731414.18699975498</v>
      </c>
      <c r="O8" s="177">
        <f>IF($B8&gt;Inputs!$G$18,"",LOOKUP($B8,'Cash Flow'!$F$2:$AJ$2,'Cash Flow'!$F$80:$AJ$80))</f>
        <v>-0.2944530386175761</v>
      </c>
      <c r="P8" s="178">
        <f>IF($B8&gt;Inputs!$G$18,"",LOOKUP($B8,'Cash Flow'!$F$2:$AJ$2,'Cash Flow'!$F$53:$AJ$53))</f>
        <v>1.6786354360307785</v>
      </c>
      <c r="R8" s="392">
        <f>IF($B8&gt;Inputs!$G$18,"",D8+K8+L8)</f>
        <v>1166636.6305311944</v>
      </c>
      <c r="S8" s="393">
        <f>IF($B8&gt;Inputs!$G$18,"",-(E8+F8+G8))</f>
        <v>604685.63428103062</v>
      </c>
    </row>
    <row r="9" spans="2:19">
      <c r="B9" s="175">
        <v>3</v>
      </c>
      <c r="C9" s="176">
        <f>IF($B9&gt;Inputs!$G$18,"",IF($B9&lt;=Inputs!$Q$22,LOOKUP($B9,'Cash Flow'!$F$2:$AJ$2,'Cash Flow'!$F$17:$AJ$17),LOOKUP($B9,'Cash Flow'!$F$2:$AJ$2,'Cash Flow'!$F$19:$AJ$19)))</f>
        <v>11.349999999999998</v>
      </c>
      <c r="D9" s="173">
        <f>IF($B9&gt;Inputs!$G$18,"",LOOKUP($B9,'Cash Flow'!$F$2:$AJ$2,'Cash Flow'!$F$29:$AJ$29))</f>
        <v>773268.95370735857</v>
      </c>
      <c r="E9" s="173">
        <f>IF($B9&gt;Inputs!$G$18,"",LOOKUP($B9,'Cash Flow'!$F$2:$AJ$2,'Cash Flow'!$F$47:$AJ$47))</f>
        <v>-365063.87520000001</v>
      </c>
      <c r="F9" s="173">
        <f>IF($B9&gt;Inputs!$G$18,"",LOOKUP($B9,'Cash Flow'!$F$2:$AJ$2,'Cash Flow'!$F$97:$AJ$97))</f>
        <v>-246779.87428103067</v>
      </c>
      <c r="G9" s="173">
        <f>IF($B9&gt;Inputs!$G$18,"",LOOKUP($B9,'Cash Flow'!$F$2:$AJ$2,'Cash Flow'!$F$59:$AJ$59)+LOOKUP($B9,'Cash Flow'!$F$2:$AJ$2,'Cash Flow'!$F$60:$AJ$60))</f>
        <v>0</v>
      </c>
      <c r="H9" s="173">
        <f>IF($B9&gt;Inputs!$G$18,"",SUM(D9:G9))</f>
        <v>161425.20422632789</v>
      </c>
      <c r="I9" s="173">
        <f>IF($B9&gt;Inputs!$G$18,"",LOOKUP($B9,'Cash Flow'!$F$2:$AJ$2,'Cash Flow'!$F$72:$AJ$72))</f>
        <v>-407319.70520932012</v>
      </c>
      <c r="J9" s="173">
        <f>IF($B9&gt;Inputs!$G$18,"",LOOKUP($B9,'Cash Flow'!$F$2:$AJ$2,'Cash Flow'!$F$73:$AJ$73))</f>
        <v>-407319.70520932012</v>
      </c>
      <c r="K9" s="173">
        <f>IF($B9&gt;Inputs!$G$18,"",LOOKUP($B9,'Cash Flow'!$F$2:$AJ$2,'Cash Flow'!$F$75:$AJ$75)+LOOKUP($B9,'Cash Flow'!$F$2:$AJ$2,'Cash Flow'!$F$77:$AJ$77))</f>
        <v>172151.66155804475</v>
      </c>
      <c r="L9" s="173">
        <f>IF($B9&gt;Inputs!$G$18,"",LOOKUP($B9,'Cash Flow'!$F$2:$AJ$2,'Cash Flow'!$F$76:$AJ$76)+LOOKUP($B9,'Cash Flow'!$F$2:$AJ$2,'Cash Flow'!$F$78:$AJ$78))</f>
        <v>39432.949169192209</v>
      </c>
      <c r="M9" s="173">
        <f>IF($B9&gt;Inputs!$G$18,"",H9+K9+L9)</f>
        <v>373009.8149535649</v>
      </c>
      <c r="N9" s="173">
        <f>IF($B9&gt;Inputs!$G$18,N8,N8+M9)</f>
        <v>-358404.37204619008</v>
      </c>
      <c r="O9" s="177">
        <f>IF($B9&gt;Inputs!$G$18,"",LOOKUP($B9,'Cash Flow'!$F$2:$AJ$2,'Cash Flow'!$F$80:$AJ$80))</f>
        <v>-0.11156741288034933</v>
      </c>
      <c r="P9" s="178">
        <f>IF($B9&gt;Inputs!$G$18,"",LOOKUP($B9,'Cash Flow'!$F$2:$AJ$2,'Cash Flow'!$F$53:$AJ$53))</f>
        <v>1.6541262924970062</v>
      </c>
      <c r="R9" s="392">
        <f>IF($B9&gt;Inputs!$G$18,"",D9+K9+L9)</f>
        <v>984853.56443459552</v>
      </c>
      <c r="S9" s="393">
        <f>IF($B9&gt;Inputs!$G$18,"",-(E9+F9+G9))</f>
        <v>611843.74948103074</v>
      </c>
    </row>
    <row r="10" spans="2:19">
      <c r="B10" s="175">
        <v>4</v>
      </c>
      <c r="C10" s="176">
        <f>IF($B10&gt;Inputs!$G$18,"",IF($B10&lt;=Inputs!$Q$22,LOOKUP($B10,'Cash Flow'!$F$2:$AJ$2,'Cash Flow'!$F$17:$AJ$17),LOOKUP($B10,'Cash Flow'!$F$2:$AJ$2,'Cash Flow'!$F$19:$AJ$19)))</f>
        <v>11.349999999999998</v>
      </c>
      <c r="D10" s="173">
        <f>IF($B10&gt;Inputs!$G$18,"",LOOKUP($B10,'Cash Flow'!$F$2:$AJ$2,'Cash Flow'!$F$29:$AJ$29))</f>
        <v>774400.90058415872</v>
      </c>
      <c r="E10" s="173">
        <f>IF($B10&gt;Inputs!$G$18,"",LOOKUP($B10,'Cash Flow'!$F$2:$AJ$2,'Cash Flow'!$F$47:$AJ$47))</f>
        <v>-372365.15270400001</v>
      </c>
      <c r="F10" s="173">
        <f>IF($B10&gt;Inputs!$G$18,"",LOOKUP($B10,'Cash Flow'!$F$2:$AJ$2,'Cash Flow'!$F$97:$AJ$97))</f>
        <v>-246779.87428103067</v>
      </c>
      <c r="G10" s="173">
        <f>IF($B10&gt;Inputs!$G$18,"",LOOKUP($B10,'Cash Flow'!$F$2:$AJ$2,'Cash Flow'!$F$59:$AJ$59)+LOOKUP($B10,'Cash Flow'!$F$2:$AJ$2,'Cash Flow'!$F$60:$AJ$60))</f>
        <v>0</v>
      </c>
      <c r="H10" s="173">
        <f>IF($B10&gt;Inputs!$G$18,"",SUM(D10:G10))</f>
        <v>155255.87359912804</v>
      </c>
      <c r="I10" s="173">
        <f>IF($B10&gt;Inputs!$G$18,"",LOOKUP($B10,'Cash Flow'!$F$2:$AJ$2,'Cash Flow'!$F$72:$AJ$72))</f>
        <v>-133896.37699701538</v>
      </c>
      <c r="J10" s="173">
        <f>IF($B10&gt;Inputs!$G$18,"",LOOKUP($B10,'Cash Flow'!$F$2:$AJ$2,'Cash Flow'!$F$73:$AJ$73))</f>
        <v>-133896.37699701538</v>
      </c>
      <c r="K10" s="173">
        <f>IF($B10&gt;Inputs!$G$18,"",LOOKUP($B10,'Cash Flow'!$F$2:$AJ$2,'Cash Flow'!$F$75:$AJ$75)+LOOKUP($B10,'Cash Flow'!$F$2:$AJ$2,'Cash Flow'!$F$77:$AJ$77))</f>
        <v>85421.991217349365</v>
      </c>
      <c r="L10" s="173">
        <f>IF($B10&gt;Inputs!$G$18,"",LOOKUP($B10,'Cash Flow'!$F$2:$AJ$2,'Cash Flow'!$F$76:$AJ$76)+LOOKUP($B10,'Cash Flow'!$F$2:$AJ$2,'Cash Flow'!$F$78:$AJ$78))</f>
        <v>16288.181755674308</v>
      </c>
      <c r="M10" s="173">
        <f>IF($B10&gt;Inputs!$G$18,"",H10+K10+L10)</f>
        <v>256966.04657215171</v>
      </c>
      <c r="N10" s="173">
        <f>IF($B10&gt;Inputs!$G$18,N9,N9+M10)</f>
        <v>-101438.32547403837</v>
      </c>
      <c r="O10" s="177">
        <f>IF($B10&gt;Inputs!$G$18,"",LOOKUP($B10,'Cash Flow'!$F$2:$AJ$2,'Cash Flow'!$F$80:$AJ$80))</f>
        <v>-2.6316837635725565E-2</v>
      </c>
      <c r="P10" s="178">
        <f>IF($B10&gt;Inputs!$G$18,"",LOOKUP($B10,'Cash Flow'!$F$2:$AJ$2,'Cash Flow'!$F$53:$AJ$53))</f>
        <v>1.6291269660925594</v>
      </c>
      <c r="R10" s="392">
        <f>IF($B10&gt;Inputs!$G$18,"",D10+K10+L10)</f>
        <v>876111.07355718245</v>
      </c>
      <c r="S10" s="393">
        <f>IF($B10&gt;Inputs!$G$18,"",-(E10+F10+G10))</f>
        <v>619145.02698503062</v>
      </c>
    </row>
    <row r="11" spans="2:19">
      <c r="B11" s="181">
        <v>5</v>
      </c>
      <c r="C11" s="176">
        <f>IF($B11&gt;Inputs!$G$18,"",IF($B11&lt;=Inputs!$Q$22,LOOKUP($B11,'Cash Flow'!$F$2:$AJ$2,'Cash Flow'!$F$17:$AJ$17),LOOKUP($B11,'Cash Flow'!$F$2:$AJ$2,'Cash Flow'!$F$19:$AJ$19)))</f>
        <v>11.349999999999998</v>
      </c>
      <c r="D11" s="173">
        <f>IF($B11&gt;Inputs!$G$18,"",LOOKUP($B11,'Cash Flow'!$F$2:$AJ$2,'Cash Flow'!$F$29:$AJ$29))</f>
        <v>775555.48639849457</v>
      </c>
      <c r="E11" s="173">
        <f>IF($B11&gt;Inputs!$G$18,"",LOOKUP($B11,'Cash Flow'!$F$2:$AJ$2,'Cash Flow'!$F$47:$AJ$47))</f>
        <v>-379812.45575808</v>
      </c>
      <c r="F11" s="173">
        <f>IF($B11&gt;Inputs!$G$18,"",LOOKUP($B11,'Cash Flow'!$F$2:$AJ$2,'Cash Flow'!$F$97:$AJ$97))</f>
        <v>-246779.87428103067</v>
      </c>
      <c r="G11" s="173">
        <f>IF($B11&gt;Inputs!$G$18,"",LOOKUP($B11,'Cash Flow'!$F$2:$AJ$2,'Cash Flow'!$F$59:$AJ$59)+LOOKUP($B11,'Cash Flow'!$F$2:$AJ$2,'Cash Flow'!$F$60:$AJ$60))</f>
        <v>0</v>
      </c>
      <c r="H11" s="173">
        <f>IF($B11&gt;Inputs!$G$18,"",SUM(D11:G11))</f>
        <v>148963.15635938389</v>
      </c>
      <c r="I11" s="173">
        <f>IF($B11&gt;Inputs!$G$18,"",LOOKUP($B11,'Cash Flow'!$F$2:$AJ$2,'Cash Flow'!$F$72:$AJ$72))</f>
        <v>-130800.44302848954</v>
      </c>
      <c r="J11" s="173">
        <f>IF($B11&gt;Inputs!$G$18,"",LOOKUP($B11,'Cash Flow'!$F$2:$AJ$2,'Cash Flow'!$F$73:$AJ$73))</f>
        <v>-130800.44302848954</v>
      </c>
      <c r="K11" s="173">
        <f>IF($B11&gt;Inputs!$G$18,"",LOOKUP($B11,'Cash Flow'!$F$2:$AJ$2,'Cash Flow'!$F$75:$AJ$75)+LOOKUP($B11,'Cash Flow'!$F$2:$AJ$2,'Cash Flow'!$F$77:$AJ$77))</f>
        <v>85281.351893610074</v>
      </c>
      <c r="L11" s="173">
        <f>IF($B11&gt;Inputs!$G$18,"",LOOKUP($B11,'Cash Flow'!$F$2:$AJ$2,'Cash Flow'!$F$76:$AJ$76)+LOOKUP($B11,'Cash Flow'!$F$2:$AJ$2,'Cash Flow'!$F$78:$AJ$78))</f>
        <v>16123.16716256817</v>
      </c>
      <c r="M11" s="173">
        <f>IF($B11&gt;Inputs!$G$18,"",H11+K11+L11)</f>
        <v>250367.67541556215</v>
      </c>
      <c r="N11" s="173">
        <f>IF($B11&gt;Inputs!$G$18,N10,N10+M11)</f>
        <v>148929.34994152377</v>
      </c>
      <c r="O11" s="177">
        <f>IF($B11&gt;Inputs!$G$18,"",LOOKUP($B11,'Cash Flow'!$F$2:$AJ$2,'Cash Flow'!$F$80:$AJ$80))</f>
        <v>3.2434124637782391E-2</v>
      </c>
      <c r="P11" s="178">
        <f>IF($B11&gt;Inputs!$G$18,"",LOOKUP($B11,'Cash Flow'!$F$2:$AJ$2,'Cash Flow'!$F$53:$AJ$53))</f>
        <v>1.6036276531600224</v>
      </c>
      <c r="R11" s="392">
        <f>IF($B11&gt;Inputs!$G$18,"",D11+K11+L11)</f>
        <v>876960.00545467285</v>
      </c>
      <c r="S11" s="393">
        <f>IF($B11&gt;Inputs!$G$18,"",-(E11+F11+G11))</f>
        <v>626592.33003911073</v>
      </c>
    </row>
    <row r="12" spans="2:19">
      <c r="B12" s="175">
        <v>6</v>
      </c>
      <c r="C12" s="176">
        <f>IF($B12&gt;Inputs!$G$18,"",IF($B12&lt;=Inputs!$Q$22,LOOKUP($B12,'Cash Flow'!$F$2:$AJ$2,'Cash Flow'!$F$17:$AJ$17),LOOKUP($B12,'Cash Flow'!$F$2:$AJ$2,'Cash Flow'!$F$19:$AJ$19)))</f>
        <v>11.349999999999998</v>
      </c>
      <c r="D12" s="173">
        <f>IF($B12&gt;Inputs!$G$18,"",LOOKUP($B12,'Cash Flow'!$F$2:$AJ$2,'Cash Flow'!$F$29:$AJ$29))</f>
        <v>776733.16392911738</v>
      </c>
      <c r="E12" s="173">
        <f>IF($B12&gt;Inputs!$G$18,"",LOOKUP($B12,'Cash Flow'!$F$2:$AJ$2,'Cash Flow'!$F$47:$AJ$47))</f>
        <v>-387408.70487324154</v>
      </c>
      <c r="F12" s="173">
        <f>IF($B12&gt;Inputs!$G$18,"",LOOKUP($B12,'Cash Flow'!$F$2:$AJ$2,'Cash Flow'!$F$97:$AJ$97))</f>
        <v>-246779.8742810307</v>
      </c>
      <c r="G12" s="173">
        <f>IF($B12&gt;Inputs!$G$18,"",LOOKUP($B12,'Cash Flow'!$F$2:$AJ$2,'Cash Flow'!$F$59:$AJ$59)+LOOKUP($B12,'Cash Flow'!$F$2:$AJ$2,'Cash Flow'!$F$60:$AJ$60))</f>
        <v>0</v>
      </c>
      <c r="H12" s="173">
        <f>IF($B12&gt;Inputs!$G$18,"",SUM(D12:G12))</f>
        <v>142544.58477484513</v>
      </c>
      <c r="I12" s="173">
        <f>IF($B12&gt;Inputs!$G$18,"",LOOKUP($B12,'Cash Flow'!$F$2:$AJ$2,'Cash Flow'!$F$72:$AJ$72))</f>
        <v>75771.468429820612</v>
      </c>
      <c r="J12" s="173">
        <f>IF($B12&gt;Inputs!$G$18,"",LOOKUP($B12,'Cash Flow'!$F$2:$AJ$2,'Cash Flow'!$F$73:$AJ$73))</f>
        <v>75771.468429820612</v>
      </c>
      <c r="K12" s="173">
        <f>IF($B12&gt;Inputs!$G$18,"",LOOKUP($B12,'Cash Flow'!$F$2:$AJ$2,'Cash Flow'!$F$75:$AJ$75)+LOOKUP($B12,'Cash Flow'!$F$2:$AJ$2,'Cash Flow'!$F$77:$AJ$77))</f>
        <v>19994.547449360984</v>
      </c>
      <c r="L12" s="173">
        <f>IF($B12&gt;Inputs!$G$18,"",LOOKUP($B12,'Cash Flow'!$F$2:$AJ$2,'Cash Flow'!$F$76:$AJ$76)+LOOKUP($B12,'Cash Flow'!$F$2:$AJ$2,'Cash Flow'!$F$78:$AJ$78))</f>
        <v>-1335.3427212852605</v>
      </c>
      <c r="M12" s="173">
        <f>IF($B12&gt;Inputs!$G$18,"",H12+K12+L12)</f>
        <v>161203.78950292084</v>
      </c>
      <c r="N12" s="173">
        <f>IF($B12&gt;Inputs!$G$18,N11,N11+M12)</f>
        <v>310133.13944444462</v>
      </c>
      <c r="O12" s="177">
        <f>IF($B12&gt;Inputs!$G$18,"",LOOKUP($B12,'Cash Flow'!$F$2:$AJ$2,'Cash Flow'!$F$80:$AJ$80))</f>
        <v>6.0429195766765087E-2</v>
      </c>
      <c r="P12" s="178">
        <f>IF($B12&gt;Inputs!$G$18,"",LOOKUP($B12,'Cash Flow'!$F$2:$AJ$2,'Cash Flow'!$F$53:$AJ$53))</f>
        <v>1.5776183539688355</v>
      </c>
      <c r="R12" s="392">
        <f>IF($B12&gt;Inputs!$G$18,"",D12+K12+L12)</f>
        <v>795392.36865719303</v>
      </c>
      <c r="S12" s="393">
        <f>IF($B12&gt;Inputs!$G$18,"",-(E12+F12+G12))</f>
        <v>634188.57915427221</v>
      </c>
    </row>
    <row r="13" spans="2:19">
      <c r="B13" s="175">
        <v>7</v>
      </c>
      <c r="C13" s="176">
        <f>IF($B13&gt;Inputs!$G$18,"",IF($B13&lt;=Inputs!$Q$22,LOOKUP($B13,'Cash Flow'!$F$2:$AJ$2,'Cash Flow'!$F$17:$AJ$17),LOOKUP($B13,'Cash Flow'!$F$2:$AJ$2,'Cash Flow'!$F$19:$AJ$19)))</f>
        <v>11.349999999999998</v>
      </c>
      <c r="D13" s="173">
        <f>IF($B13&gt;Inputs!$G$18,"",LOOKUP($B13,'Cash Flow'!$F$2:$AJ$2,'Cash Flow'!$F$29:$AJ$29))</f>
        <v>777934.3950103526</v>
      </c>
      <c r="E13" s="173">
        <f>IF($B13&gt;Inputs!$G$18,"",LOOKUP($B13,'Cash Flow'!$F$2:$AJ$2,'Cash Flow'!$F$47:$AJ$47))</f>
        <v>-395156.87897070643</v>
      </c>
      <c r="F13" s="173">
        <f>IF($B13&gt;Inputs!$G$18,"",LOOKUP($B13,'Cash Flow'!$F$2:$AJ$2,'Cash Flow'!$F$97:$AJ$97))</f>
        <v>-246779.87428103067</v>
      </c>
      <c r="G13" s="173">
        <f>IF($B13&gt;Inputs!$G$18,"",LOOKUP($B13,'Cash Flow'!$F$2:$AJ$2,'Cash Flow'!$F$59:$AJ$59)+LOOKUP($B13,'Cash Flow'!$F$2:$AJ$2,'Cash Flow'!$F$60:$AJ$60))</f>
        <v>0</v>
      </c>
      <c r="H13" s="173">
        <f>IF($B13&gt;Inputs!$G$18,"",SUM(D13:G13))</f>
        <v>135997.6417586155</v>
      </c>
      <c r="I13" s="173">
        <f>IF($B13&gt;Inputs!$G$18,"",LOOKUP($B13,'Cash Flow'!$F$2:$AJ$2,'Cash Flow'!$F$72:$AJ$72))</f>
        <v>282652.99476943922</v>
      </c>
      <c r="J13" s="173">
        <f>IF($B13&gt;Inputs!$G$18,"",LOOKUP($B13,'Cash Flow'!$F$2:$AJ$2,'Cash Flow'!$F$73:$AJ$73))</f>
        <v>282652.99476943922</v>
      </c>
      <c r="K13" s="173">
        <f>IF($B13&gt;Inputs!$G$18,"",LOOKUP($B13,'Cash Flow'!$F$2:$AJ$2,'Cash Flow'!$F$75:$AJ$75)+LOOKUP($B13,'Cash Flow'!$F$2:$AJ$2,'Cash Flow'!$F$77:$AJ$77))</f>
        <v>-45374.054156621656</v>
      </c>
      <c r="L13" s="173">
        <f>IF($B13&gt;Inputs!$G$18,"",LOOKUP($B13,'Cash Flow'!$F$2:$AJ$2,'Cash Flow'!$F$76:$AJ$76)+LOOKUP($B13,'Cash Flow'!$F$2:$AJ$2,'Cash Flow'!$F$78:$AJ$78))</f>
        <v>-18818.167818247854</v>
      </c>
      <c r="M13" s="173">
        <f>IF($B13&gt;Inputs!$G$18,"",H13+K13+L13)</f>
        <v>71805.419783745994</v>
      </c>
      <c r="N13" s="173">
        <f>IF($B13&gt;Inputs!$G$18,N12,N12+M13)</f>
        <v>381938.55922819063</v>
      </c>
      <c r="O13" s="177">
        <f>IF($B13&gt;Inputs!$G$18,"",LOOKUP($B13,'Cash Flow'!$F$2:$AJ$2,'Cash Flow'!$F$80:$AJ$80))</f>
        <v>7.0623020396582525E-2</v>
      </c>
      <c r="P13" s="178">
        <f>IF($B13&gt;Inputs!$G$18,"",LOOKUP($B13,'Cash Flow'!$F$2:$AJ$2,'Cash Flow'!$F$53:$AJ$53))</f>
        <v>1.5510888687938249</v>
      </c>
      <c r="R13" s="392">
        <f>IF($B13&gt;Inputs!$G$18,"",D13+K13+L13)</f>
        <v>713742.17303548311</v>
      </c>
      <c r="S13" s="393">
        <f>IF($B13&gt;Inputs!$G$18,"",-(E13+F13+G13))</f>
        <v>641936.7532517371</v>
      </c>
    </row>
    <row r="14" spans="2:19">
      <c r="B14" s="181">
        <v>8</v>
      </c>
      <c r="C14" s="176">
        <f>IF($B14&gt;Inputs!$G$18,"",IF($B14&lt;=Inputs!$Q$22,LOOKUP($B14,'Cash Flow'!$F$2:$AJ$2,'Cash Flow'!$F$17:$AJ$17),LOOKUP($B14,'Cash Flow'!$F$2:$AJ$2,'Cash Flow'!$F$19:$AJ$19)))</f>
        <v>11.349999999999998</v>
      </c>
      <c r="D14" s="173">
        <f>IF($B14&gt;Inputs!$G$18,"",LOOKUP($B14,'Cash Flow'!$F$2:$AJ$2,'Cash Flow'!$F$29:$AJ$29))</f>
        <v>779159.65071321232</v>
      </c>
      <c r="E14" s="173">
        <f>IF($B14&gt;Inputs!$G$18,"",LOOKUP($B14,'Cash Flow'!$F$2:$AJ$2,'Cash Flow'!$F$47:$AJ$47))</f>
        <v>-403060.01655012055</v>
      </c>
      <c r="F14" s="173">
        <f>IF($B14&gt;Inputs!$G$18,"",LOOKUP($B14,'Cash Flow'!$F$2:$AJ$2,'Cash Flow'!$F$97:$AJ$97))</f>
        <v>-246779.8742810307</v>
      </c>
      <c r="G14" s="173">
        <f>IF($B14&gt;Inputs!$G$18,"",LOOKUP($B14,'Cash Flow'!$F$2:$AJ$2,'Cash Flow'!$F$59:$AJ$59)+LOOKUP($B14,'Cash Flow'!$F$2:$AJ$2,'Cash Flow'!$F$60:$AJ$60))</f>
        <v>0</v>
      </c>
      <c r="H14" s="173">
        <f>IF($B14&gt;Inputs!$G$18,"",SUM(D14:G14))</f>
        <v>129319.75988206107</v>
      </c>
      <c r="I14" s="173">
        <f>IF($B14&gt;Inputs!$G$18,"",LOOKUP($B14,'Cash Flow'!$F$2:$AJ$2,'Cash Flow'!$F$72:$AJ$72))</f>
        <v>286870.11010364245</v>
      </c>
      <c r="J14" s="173">
        <f>IF($B14&gt;Inputs!$G$18,"",LOOKUP($B14,'Cash Flow'!$F$2:$AJ$2,'Cash Flow'!$F$73:$AJ$73))</f>
        <v>286870.11010364245</v>
      </c>
      <c r="K14" s="173">
        <f>IF($B14&gt;Inputs!$G$18,"",LOOKUP($B14,'Cash Flow'!$F$2:$AJ$2,'Cash Flow'!$F$75:$AJ$75)+LOOKUP($B14,'Cash Flow'!$F$2:$AJ$2,'Cash Flow'!$F$77:$AJ$77))</f>
        <v>-45821.673994034412</v>
      </c>
      <c r="L14" s="173">
        <f>IF($B14&gt;Inputs!$G$18,"",LOOKUP($B14,'Cash Flow'!$F$2:$AJ$2,'Cash Flow'!$F$76:$AJ$76)+LOOKUP($B14,'Cash Flow'!$F$2:$AJ$2,'Cash Flow'!$F$78:$AJ$78))</f>
        <v>-19072.475886912038</v>
      </c>
      <c r="M14" s="173">
        <f>IF($B14&gt;Inputs!$G$18,"",H14+K14+L14)</f>
        <v>64425.610001114619</v>
      </c>
      <c r="N14" s="173">
        <f>IF($B14&gt;Inputs!$G$18,N13,N13+M14)</f>
        <v>446364.16922930523</v>
      </c>
      <c r="O14" s="177">
        <f>IF($B14&gt;Inputs!$G$18,"",LOOKUP($B14,'Cash Flow'!$F$2:$AJ$2,'Cash Flow'!$F$80:$AJ$80))</f>
        <v>7.8472196121055271E-2</v>
      </c>
      <c r="P14" s="178">
        <f>IF($B14&gt;Inputs!$G$18,"",LOOKUP($B14,'Cash Flow'!$F$2:$AJ$2,'Cash Flow'!$F$53:$AJ$53))</f>
        <v>1.524028793915313</v>
      </c>
      <c r="R14" s="392">
        <f>IF($B14&gt;Inputs!$G$18,"",D14+K14+L14)</f>
        <v>714265.50083226583</v>
      </c>
      <c r="S14" s="393">
        <f>IF($B14&gt;Inputs!$G$18,"",-(E14+F14+G14))</f>
        <v>649839.89083115128</v>
      </c>
    </row>
    <row r="15" spans="2:19">
      <c r="B15" s="175">
        <v>9</v>
      </c>
      <c r="C15" s="176">
        <f>IF($B15&gt;Inputs!$G$18,"",IF($B15&lt;=Inputs!$Q$22,LOOKUP($B15,'Cash Flow'!$F$2:$AJ$2,'Cash Flow'!$F$17:$AJ$17),LOOKUP($B15,'Cash Flow'!$F$2:$AJ$2,'Cash Flow'!$F$19:$AJ$19)))</f>
        <v>11.349999999999998</v>
      </c>
      <c r="D15" s="173">
        <f>IF($B15&gt;Inputs!$G$18,"",LOOKUP($B15,'Cash Flow'!$F$2:$AJ$2,'Cash Flow'!$F$29:$AJ$29))</f>
        <v>780409.4115301295</v>
      </c>
      <c r="E15" s="173">
        <f>IF($B15&gt;Inputs!$G$18,"",LOOKUP($B15,'Cash Flow'!$F$2:$AJ$2,'Cash Flow'!$F$47:$AJ$47))</f>
        <v>-411121.21688112291</v>
      </c>
      <c r="F15" s="173">
        <f>IF($B15&gt;Inputs!$G$18,"",LOOKUP($B15,'Cash Flow'!$F$2:$AJ$2,'Cash Flow'!$F$97:$AJ$97))</f>
        <v>-246779.87428103067</v>
      </c>
      <c r="G15" s="173">
        <f>IF($B15&gt;Inputs!$G$18,"",LOOKUP($B15,'Cash Flow'!$F$2:$AJ$2,'Cash Flow'!$F$59:$AJ$59)+LOOKUP($B15,'Cash Flow'!$F$2:$AJ$2,'Cash Flow'!$F$60:$AJ$60))</f>
        <v>0</v>
      </c>
      <c r="H15" s="173">
        <f>IF($B15&gt;Inputs!$G$18,"",SUM(D15:G15))</f>
        <v>122508.32036797592</v>
      </c>
      <c r="I15" s="173">
        <f>IF($B15&gt;Inputs!$G$18,"",LOOKUP($B15,'Cash Flow'!$F$2:$AJ$2,'Cash Flow'!$F$72:$AJ$72))</f>
        <v>291586.33510506799</v>
      </c>
      <c r="J15" s="173">
        <f>IF($B15&gt;Inputs!$G$18,"",LOOKUP($B15,'Cash Flow'!$F$2:$AJ$2,'Cash Flow'!$F$73:$AJ$73))</f>
        <v>291586.33510506799</v>
      </c>
      <c r="K15" s="173">
        <f>IF($B15&gt;Inputs!$G$18,"",LOOKUP($B15,'Cash Flow'!$F$2:$AJ$2,'Cash Flow'!$F$75:$AJ$75)+LOOKUP($B15,'Cash Flow'!$F$2:$AJ$2,'Cash Flow'!$F$77:$AJ$77))</f>
        <v>-46411.075475407786</v>
      </c>
      <c r="L15" s="173">
        <f>IF($B15&gt;Inputs!$G$18,"",LOOKUP($B15,'Cash Flow'!$F$2:$AJ$2,'Cash Flow'!$F$76:$AJ$76)+LOOKUP($B15,'Cash Flow'!$F$2:$AJ$2,'Cash Flow'!$F$78:$AJ$78))</f>
        <v>-19367.125342595256</v>
      </c>
      <c r="M15" s="173">
        <f>IF($B15&gt;Inputs!$G$18,"",H15+K15+L15)</f>
        <v>56730.119549972864</v>
      </c>
      <c r="N15" s="173">
        <f>IF($B15&gt;Inputs!$G$18,N14,N14+M15)</f>
        <v>503094.28877927811</v>
      </c>
      <c r="O15" s="177">
        <f>IF($B15&gt;Inputs!$G$18,"",LOOKUP($B15,'Cash Flow'!$F$2:$AJ$2,'Cash Flow'!$F$80:$AJ$80))</f>
        <v>8.4414089718550356E-2</v>
      </c>
      <c r="P15" s="178">
        <f>IF($B15&gt;Inputs!$G$18,"",LOOKUP($B15,'Cash Flow'!$F$2:$AJ$2,'Cash Flow'!$F$53:$AJ$53))</f>
        <v>1.4964275175392323</v>
      </c>
      <c r="R15" s="392">
        <f>IF($B15&gt;Inputs!$G$18,"",D15+K15+L15)</f>
        <v>714631.21071212646</v>
      </c>
      <c r="S15" s="393">
        <f>IF($B15&gt;Inputs!$G$18,"",-(E15+F15+G15))</f>
        <v>657901.09116215352</v>
      </c>
    </row>
    <row r="16" spans="2:19">
      <c r="B16" s="175">
        <v>10</v>
      </c>
      <c r="C16" s="176">
        <f>IF($B16&gt;Inputs!$G$18,"",IF($B16&lt;=Inputs!$Q$22,LOOKUP($B16,'Cash Flow'!$F$2:$AJ$2,'Cash Flow'!$F$17:$AJ$17),LOOKUP($B16,'Cash Flow'!$F$2:$AJ$2,'Cash Flow'!$F$19:$AJ$19)))</f>
        <v>11.349999999999998</v>
      </c>
      <c r="D16" s="173">
        <f>IF($B16&gt;Inputs!$G$18,"",LOOKUP($B16,'Cash Flow'!$F$2:$AJ$2,'Cash Flow'!$F$29:$AJ$29))</f>
        <v>781684.16756338486</v>
      </c>
      <c r="E16" s="173">
        <f>IF($B16&gt;Inputs!$G$18,"",LOOKUP($B16,'Cash Flow'!$F$2:$AJ$2,'Cash Flow'!$F$47:$AJ$47))</f>
        <v>-419343.64121874544</v>
      </c>
      <c r="F16" s="173">
        <f>IF($B16&gt;Inputs!$G$18,"",LOOKUP($B16,'Cash Flow'!$F$2:$AJ$2,'Cash Flow'!$F$97:$AJ$97))</f>
        <v>-246779.87428103067</v>
      </c>
      <c r="G16" s="173">
        <f>IF($B16&gt;Inputs!$G$18,"",LOOKUP($B16,'Cash Flow'!$F$2:$AJ$2,'Cash Flow'!$F$59:$AJ$59)+LOOKUP($B16,'Cash Flow'!$F$2:$AJ$2,'Cash Flow'!$F$60:$AJ$60))</f>
        <v>0</v>
      </c>
      <c r="H16" s="173">
        <f>IF($B16&gt;Inputs!$G$18,"",SUM(D16:G16))</f>
        <v>115560.65206360875</v>
      </c>
      <c r="I16" s="173">
        <f>IF($B16&gt;Inputs!$G$18,"",LOOKUP($B16,'Cash Flow'!$F$2:$AJ$2,'Cash Flow'!$F$72:$AJ$72))</f>
        <v>296961.21158229728</v>
      </c>
      <c r="J16" s="173">
        <f>IF($B16&gt;Inputs!$G$18,"",LOOKUP($B16,'Cash Flow'!$F$2:$AJ$2,'Cash Flow'!$F$73:$AJ$73))</f>
        <v>296961.21158229728</v>
      </c>
      <c r="K16" s="173">
        <f>IF($B16&gt;Inputs!$G$18,"",LOOKUP($B16,'Cash Flow'!$F$2:$AJ$2,'Cash Flow'!$F$75:$AJ$75)+LOOKUP($B16,'Cash Flow'!$F$2:$AJ$2,'Cash Flow'!$F$77:$AJ$77))</f>
        <v>-47192.990700400682</v>
      </c>
      <c r="L16" s="173">
        <f>IF($B16&gt;Inputs!$G$18,"",LOOKUP($B16,'Cash Flow'!$F$2:$AJ$2,'Cash Flow'!$F$76:$AJ$76)+LOOKUP($B16,'Cash Flow'!$F$2:$AJ$2,'Cash Flow'!$F$78:$AJ$78))</f>
        <v>-19715.635580333037</v>
      </c>
      <c r="M16" s="173">
        <f>IF($B16&gt;Inputs!$G$18,"",H16+K16+L16)</f>
        <v>48652.025782875033</v>
      </c>
      <c r="N16" s="173">
        <f>IF($B16&gt;Inputs!$G$18,N15,N15+M16)</f>
        <v>551746.31456215319</v>
      </c>
      <c r="O16" s="177">
        <f>IF($B16&gt;Inputs!$G$18,"",LOOKUP($B16,'Cash Flow'!$F$2:$AJ$2,'Cash Flow'!$F$80:$AJ$80))</f>
        <v>8.8818010374481338E-2</v>
      </c>
      <c r="P16" s="178">
        <f>IF($B16&gt;Inputs!$G$18,"",LOOKUP($B16,'Cash Flow'!$F$2:$AJ$2,'Cash Flow'!$F$53:$AJ$53))</f>
        <v>1.468274215635629</v>
      </c>
      <c r="R16" s="392">
        <f>IF($B16&gt;Inputs!$G$18,"",D16+K16+L16)</f>
        <v>714775.54128265113</v>
      </c>
      <c r="S16" s="393">
        <f>IF($B16&gt;Inputs!$G$18,"",-(E16+F16+G16))</f>
        <v>666123.51549977611</v>
      </c>
    </row>
    <row r="17" spans="2:19">
      <c r="B17" s="181">
        <v>11</v>
      </c>
      <c r="C17" s="176">
        <f>IF($B17&gt;Inputs!$G$18,"",IF($B17&lt;=Inputs!$Q$22,LOOKUP($B17,'Cash Flow'!$F$2:$AJ$2,'Cash Flow'!$F$17:$AJ$17),LOOKUP($B17,'Cash Flow'!$F$2:$AJ$2,'Cash Flow'!$F$19:$AJ$19)))</f>
        <v>11.349999999999998</v>
      </c>
      <c r="D17" s="173">
        <f>IF($B17&gt;Inputs!$G$18,"",LOOKUP($B17,'Cash Flow'!$F$2:$AJ$2,'Cash Flow'!$F$29:$AJ$29))</f>
        <v>716671.60986735858</v>
      </c>
      <c r="E17" s="173">
        <f>IF($B17&gt;Inputs!$G$18,"",LOOKUP($B17,'Cash Flow'!$F$2:$AJ$2,'Cash Flow'!$F$47:$AJ$47))</f>
        <v>-427730.51404312032</v>
      </c>
      <c r="F17" s="173">
        <f>IF($B17&gt;Inputs!$G$18,"",LOOKUP($B17,'Cash Flow'!$F$2:$AJ$2,'Cash Flow'!$F$97:$AJ$97))</f>
        <v>-246779.87428103067</v>
      </c>
      <c r="G17" s="173">
        <f>IF($B17&gt;Inputs!$G$18,"",LOOKUP($B17,'Cash Flow'!$F$2:$AJ$2,'Cash Flow'!$F$59:$AJ$59)+LOOKUP($B17,'Cash Flow'!$F$2:$AJ$2,'Cash Flow'!$F$60:$AJ$60))</f>
        <v>0</v>
      </c>
      <c r="H17" s="173">
        <f>IF($B17&gt;Inputs!$G$18,"",SUM(D17:G17))</f>
        <v>42161.22154320759</v>
      </c>
      <c r="I17" s="173">
        <f>IF($B17&gt;Inputs!$G$18,"",LOOKUP($B17,'Cash Flow'!$F$2:$AJ$2,'Cash Flow'!$F$72:$AJ$72))</f>
        <v>236734.48397820431</v>
      </c>
      <c r="J17" s="173">
        <f>IF($B17&gt;Inputs!$G$18,"",LOOKUP($B17,'Cash Flow'!$F$2:$AJ$2,'Cash Flow'!$F$73:$AJ$73))</f>
        <v>236734.48397820431</v>
      </c>
      <c r="K17" s="173">
        <f>IF($B17&gt;Inputs!$G$18,"",LOOKUP($B17,'Cash Flow'!$F$2:$AJ$2,'Cash Flow'!$F$75:$AJ$75)+LOOKUP($B17,'Cash Flow'!$F$2:$AJ$2,'Cash Flow'!$F$77:$AJ$77))</f>
        <v>-75814.218494019922</v>
      </c>
      <c r="L17" s="173">
        <f>IF($B17&gt;Inputs!$G$18,"",LOOKUP($B17,'Cash Flow'!$F$2:$AJ$2,'Cash Flow'!$F$76:$AJ$76)+LOOKUP($B17,'Cash Flow'!$F$2:$AJ$2,'Cash Flow'!$F$78:$AJ$78))</f>
        <v>-20122.431138147367</v>
      </c>
      <c r="M17" s="173">
        <f>IF($B17&gt;Inputs!$G$18,"",H17+K17+L17)</f>
        <v>-53775.428088959699</v>
      </c>
      <c r="N17" s="173">
        <f>IF($B17&gt;Inputs!$G$18,N16,N16+M17)</f>
        <v>497970.88647319347</v>
      </c>
      <c r="O17" s="177">
        <f>IF($B17&gt;Inputs!$G$18,"",LOOKUP($B17,'Cash Flow'!$F$2:$AJ$2,'Cash Flow'!$F$80:$AJ$80))</f>
        <v>8.4326237962799588E-2</v>
      </c>
      <c r="P17" s="178">
        <f>IF($B17&gt;Inputs!$G$18,"",LOOKUP($B17,'Cash Flow'!$F$2:$AJ$2,'Cash Flow'!$F$53:$AJ$53))</f>
        <v>1.1708454616327213</v>
      </c>
      <c r="R17" s="392">
        <f>IF($B17&gt;Inputs!$G$18,"",D17+K17+L17)</f>
        <v>620734.96023519128</v>
      </c>
      <c r="S17" s="393">
        <f>IF($B17&gt;Inputs!$G$18,"",-(E17+F17+G17))</f>
        <v>674510.38832415105</v>
      </c>
    </row>
    <row r="18" spans="2:19">
      <c r="B18" s="175">
        <v>12</v>
      </c>
      <c r="C18" s="176">
        <f>IF($B18&gt;Inputs!$G$18,"",IF($B18&lt;=Inputs!$Q$22,LOOKUP($B18,'Cash Flow'!$F$2:$AJ$2,'Cash Flow'!$F$17:$AJ$17),LOOKUP($B18,'Cash Flow'!$F$2:$AJ$2,'Cash Flow'!$F$19:$AJ$19)))</f>
        <v>11.349999999999998</v>
      </c>
      <c r="D18" s="173">
        <f>IF($B18&gt;Inputs!$G$18,"",LOOKUP($B18,'Cash Flow'!$F$2:$AJ$2,'Cash Flow'!$F$29:$AJ$29))</f>
        <v>716671.60986735858</v>
      </c>
      <c r="E18" s="173">
        <f>IF($B18&gt;Inputs!$G$18,"",LOOKUP($B18,'Cash Flow'!$F$2:$AJ$2,'Cash Flow'!$F$47:$AJ$47))</f>
        <v>-436285.1243239828</v>
      </c>
      <c r="F18" s="173">
        <f>IF($B18&gt;Inputs!$G$18,"",LOOKUP($B18,'Cash Flow'!$F$2:$AJ$2,'Cash Flow'!$F$97:$AJ$97))</f>
        <v>-246779.87428103067</v>
      </c>
      <c r="G18" s="173">
        <f>IF($B18&gt;Inputs!$G$18,"",LOOKUP($B18,'Cash Flow'!$F$2:$AJ$2,'Cash Flow'!$F$59:$AJ$59)+LOOKUP($B18,'Cash Flow'!$F$2:$AJ$2,'Cash Flow'!$F$60:$AJ$60))</f>
        <v>0</v>
      </c>
      <c r="H18" s="173">
        <f>IF($B18&gt;Inputs!$G$18,"",SUM(D18:G18))</f>
        <v>33606.611262345104</v>
      </c>
      <c r="I18" s="173">
        <f>IF($B18&gt;Inputs!$G$18,"",LOOKUP($B18,'Cash Flow'!$F$2:$AJ$2,'Cash Flow'!$F$72:$AJ$72))</f>
        <v>242287.08581779158</v>
      </c>
      <c r="J18" s="173">
        <f>IF($B18&gt;Inputs!$G$18,"",LOOKUP($B18,'Cash Flow'!$F$2:$AJ$2,'Cash Flow'!$F$73:$AJ$73))</f>
        <v>242287.08581779158</v>
      </c>
      <c r="K18" s="173">
        <f>IF($B18&gt;Inputs!$G$18,"",LOOKUP($B18,'Cash Flow'!$F$2:$AJ$2,'Cash Flow'!$F$75:$AJ$75)+LOOKUP($B18,'Cash Flow'!$F$2:$AJ$2,'Cash Flow'!$F$77:$AJ$77))</f>
        <v>-77592.439233147743</v>
      </c>
      <c r="L18" s="173">
        <f>IF($B18&gt;Inputs!$G$18,"",LOOKUP($B18,'Cash Flow'!$F$2:$AJ$2,'Cash Flow'!$F$76:$AJ$76)+LOOKUP($B18,'Cash Flow'!$F$2:$AJ$2,'Cash Flow'!$F$78:$AJ$78))</f>
        <v>-20594.402294512285</v>
      </c>
      <c r="M18" s="173">
        <f>IF($B18&gt;Inputs!$G$18,"",H18+K18+L18)</f>
        <v>-64580.230265314924</v>
      </c>
      <c r="N18" s="173">
        <f>IF($B18&gt;Inputs!$G$18,N17,N17+M18)</f>
        <v>433390.65620787855</v>
      </c>
      <c r="O18" s="177">
        <f>IF($B18&gt;Inputs!$G$18,"",LOOKUP($B18,'Cash Flow'!$F$2:$AJ$2,'Cash Flow'!$F$80:$AJ$80))</f>
        <v>7.8927770498732563E-2</v>
      </c>
      <c r="P18" s="178">
        <f>IF($B18&gt;Inputs!$G$18,"",LOOKUP($B18,'Cash Flow'!$F$2:$AJ$2,'Cash Flow'!$F$53:$AJ$53))</f>
        <v>1.1361805186109877</v>
      </c>
      <c r="R18" s="392">
        <f>IF($B18&gt;Inputs!$G$18,"",D18+K18+L18)</f>
        <v>618484.76833969855</v>
      </c>
      <c r="S18" s="393">
        <f>IF($B18&gt;Inputs!$G$18,"",-(E18+F18+G18))</f>
        <v>683064.99860501348</v>
      </c>
    </row>
    <row r="19" spans="2:19">
      <c r="B19" s="175">
        <v>13</v>
      </c>
      <c r="C19" s="176">
        <f>IF($B19&gt;Inputs!$G$18,"",IF($B19&lt;=Inputs!$Q$22,LOOKUP($B19,'Cash Flow'!$F$2:$AJ$2,'Cash Flow'!$F$17:$AJ$17),LOOKUP($B19,'Cash Flow'!$F$2:$AJ$2,'Cash Flow'!$F$19:$AJ$19)))</f>
        <v>11.349999999999998</v>
      </c>
      <c r="D19" s="173">
        <f>IF($B19&gt;Inputs!$G$18,"",LOOKUP($B19,'Cash Flow'!$F$2:$AJ$2,'Cash Flow'!$F$29:$AJ$29))</f>
        <v>716671.60986735858</v>
      </c>
      <c r="E19" s="173">
        <f>IF($B19&gt;Inputs!$G$18,"",LOOKUP($B19,'Cash Flow'!$F$2:$AJ$2,'Cash Flow'!$F$47:$AJ$47))</f>
        <v>-445010.8268104624</v>
      </c>
      <c r="F19" s="173">
        <f>IF($B19&gt;Inputs!$G$18,"",LOOKUP($B19,'Cash Flow'!$F$2:$AJ$2,'Cash Flow'!$F$97:$AJ$97))</f>
        <v>-246779.87428103067</v>
      </c>
      <c r="G19" s="173">
        <f>IF($B19&gt;Inputs!$G$18,"",LOOKUP($B19,'Cash Flow'!$F$2:$AJ$2,'Cash Flow'!$F$59:$AJ$59)+LOOKUP($B19,'Cash Flow'!$F$2:$AJ$2,'Cash Flow'!$F$60:$AJ$60))</f>
        <v>0</v>
      </c>
      <c r="H19" s="173">
        <f>IF($B19&gt;Inputs!$G$18,"",SUM(D19:G19))</f>
        <v>24880.908775865508</v>
      </c>
      <c r="I19" s="173">
        <f>IF($B19&gt;Inputs!$G$18,"",LOOKUP($B19,'Cash Flow'!$F$2:$AJ$2,'Cash Flow'!$F$72:$AJ$72))</f>
        <v>248643.68030019323</v>
      </c>
      <c r="J19" s="173">
        <f>IF($B19&gt;Inputs!$G$18,"",LOOKUP($B19,'Cash Flow'!$F$2:$AJ$2,'Cash Flow'!$F$73:$AJ$73))</f>
        <v>248643.68030019323</v>
      </c>
      <c r="K19" s="173">
        <f>IF($B19&gt;Inputs!$G$18,"",LOOKUP($B19,'Cash Flow'!$F$2:$AJ$2,'Cash Flow'!$F$75:$AJ$75)+LOOKUP($B19,'Cash Flow'!$F$2:$AJ$2,'Cash Flow'!$F$77:$AJ$77))</f>
        <v>-79628.138616136886</v>
      </c>
      <c r="L19" s="173">
        <f>IF($B19&gt;Inputs!$G$18,"",LOOKUP($B19,'Cash Flow'!$F$2:$AJ$2,'Cash Flow'!$F$76:$AJ$76)+LOOKUP($B19,'Cash Flow'!$F$2:$AJ$2,'Cash Flow'!$F$78:$AJ$78))</f>
        <v>-21134.712825516424</v>
      </c>
      <c r="M19" s="173">
        <f>IF($B19&gt;Inputs!$G$18,"",H19+K19+L19)</f>
        <v>-75881.942665787807</v>
      </c>
      <c r="N19" s="173">
        <f>IF($B19&gt;Inputs!$G$18,N18,N18+M19)</f>
        <v>357508.71354209073</v>
      </c>
      <c r="O19" s="177">
        <f>IF($B19&gt;Inputs!$G$18,"",LOOKUP($B19,'Cash Flow'!$F$2:$AJ$2,'Cash Flow'!$F$80:$AJ$80))</f>
        <v>7.2343097216246655E-2</v>
      </c>
      <c r="P19" s="178">
        <f>IF($B19&gt;Inputs!$G$18,"",LOOKUP($B19,'Cash Flow'!$F$2:$AJ$2,'Cash Flow'!$F$53:$AJ$53))</f>
        <v>1.10082227672882</v>
      </c>
      <c r="R19" s="392">
        <f>IF($B19&gt;Inputs!$G$18,"",D19+K19+L19)</f>
        <v>615908.75842570525</v>
      </c>
      <c r="S19" s="393">
        <f>IF($B19&gt;Inputs!$G$18,"",-(E19+F19+G19))</f>
        <v>691790.70109149301</v>
      </c>
    </row>
    <row r="20" spans="2:19" ht="15">
      <c r="B20" s="181">
        <v>14</v>
      </c>
      <c r="C20" s="176">
        <f>IF($B20&gt;Inputs!$G$18,"",IF($B20&lt;=Inputs!$Q$22,LOOKUP($B20,'Cash Flow'!$F$2:$AJ$2,'Cash Flow'!$F$17:$AJ$17),LOOKUP($B20,'Cash Flow'!$F$2:$AJ$2,'Cash Flow'!$F$19:$AJ$19)))</f>
        <v>11.349999999999998</v>
      </c>
      <c r="D20" s="173">
        <f>IF($B20&gt;Inputs!$G$18,"",LOOKUP($B20,'Cash Flow'!$F$2:$AJ$2,'Cash Flow'!$F$29:$AJ$29))</f>
        <v>715746.18533880473</v>
      </c>
      <c r="E20" s="173">
        <f>IF($B20&gt;Inputs!$G$18,"",LOOKUP($B20,'Cash Flow'!$F$2:$AJ$2,'Cash Flow'!$F$47:$AJ$47))</f>
        <v>-453911.04334667168</v>
      </c>
      <c r="F20" s="173">
        <f>IF($B20&gt;Inputs!$G$18,"",LOOKUP($B20,'Cash Flow'!$F$2:$AJ$2,'Cash Flow'!$F$97:$AJ$97))</f>
        <v>0</v>
      </c>
      <c r="G20" s="173">
        <f>IF($B20&gt;Inputs!$G$18,"",LOOKUP($B20,'Cash Flow'!$F$2:$AJ$2,'Cash Flow'!$F$59:$AJ$59)+LOOKUP($B20,'Cash Flow'!$F$2:$AJ$2,'Cash Flow'!$F$60:$AJ$60))</f>
        <v>123389.93714051534</v>
      </c>
      <c r="H20" s="173">
        <f>IF($B20&gt;Inputs!$G$18,"",SUM(D20:G20))</f>
        <v>385225.07913264842</v>
      </c>
      <c r="I20" s="173">
        <f>IF($B20&gt;Inputs!$G$18,"",LOOKUP($B20,'Cash Flow'!$F$2:$AJ$2,'Cash Flow'!$F$72:$AJ$72))</f>
        <v>254968.51699213305</v>
      </c>
      <c r="J20" s="173">
        <f>IF($B20&gt;Inputs!$G$18,"",LOOKUP($B20,'Cash Flow'!$F$2:$AJ$2,'Cash Flow'!$F$73:$AJ$73))</f>
        <v>254968.51699213305</v>
      </c>
      <c r="K20" s="173">
        <f>IF($B20&gt;Inputs!$G$18,"",LOOKUP($B20,'Cash Flow'!$F$2:$AJ$2,'Cash Flow'!$F$75:$AJ$75)+LOOKUP($B20,'Cash Flow'!$F$2:$AJ$2,'Cash Flow'!$F$77:$AJ$77))</f>
        <v>-81653.667566730597</v>
      </c>
      <c r="L20" s="173">
        <f>IF($B20&gt;Inputs!$G$18,"",LOOKUP($B20,'Cash Flow'!$F$2:$AJ$2,'Cash Flow'!$F$76:$AJ$76)+LOOKUP($B20,'Cash Flow'!$F$2:$AJ$2,'Cash Flow'!$F$78:$AJ$78))</f>
        <v>-21672.32394433131</v>
      </c>
      <c r="M20" s="173">
        <f>IF($B20&gt;Inputs!$G$18,"",H20+K20+L20)</f>
        <v>281899.08762158651</v>
      </c>
      <c r="N20" s="173">
        <f>IF($B20&gt;Inputs!$G$18,N19,N19+M20)</f>
        <v>639407.80116367724</v>
      </c>
      <c r="O20" s="177">
        <f>IF($B20&gt;Inputs!$G$18,"",LOOKUP($B20,'Cash Flow'!$F$2:$AJ$2,'Cash Flow'!$F$80:$AJ$80))</f>
        <v>9.1966671569487568E-2</v>
      </c>
      <c r="P20" s="178" t="str">
        <f>IF($B20&gt;Inputs!$G$18,"",LOOKUP($B20,'Cash Flow'!$F$2:$AJ$2,'Cash Flow'!$F$53:$AJ$53))</f>
        <v>N/A</v>
      </c>
      <c r="R20" s="392">
        <f>IF($B20&gt;Inputs!$G$18,"",D20+K20+L20)</f>
        <v>612420.19382774283</v>
      </c>
      <c r="S20" s="393">
        <f>IF($B20&gt;Inputs!$G$18,"",-(E20+F20+G20))</f>
        <v>330521.10620615631</v>
      </c>
    </row>
    <row r="21" spans="2:19" ht="15">
      <c r="B21" s="175">
        <v>15</v>
      </c>
      <c r="C21" s="176">
        <f>IF($B21&gt;Inputs!$G$18,"",IF($B21&lt;=Inputs!$Q$22,LOOKUP($B21,'Cash Flow'!$F$2:$AJ$2,'Cash Flow'!$F$17:$AJ$17),LOOKUP($B21,'Cash Flow'!$F$2:$AJ$2,'Cash Flow'!$F$19:$AJ$19)))</f>
        <v>11.349999999999998</v>
      </c>
      <c r="D21" s="173">
        <f>IF($B21&gt;Inputs!$G$18,"",LOOKUP($B21,'Cash Flow'!$F$2:$AJ$2,'Cash Flow'!$F$29:$AJ$29))</f>
        <v>714820.76081025088</v>
      </c>
      <c r="E21" s="173">
        <f>IF($B21&gt;Inputs!$G$18,"",LOOKUP($B21,'Cash Flow'!$F$2:$AJ$2,'Cash Flow'!$F$47:$AJ$47))</f>
        <v>-462989.26421360514</v>
      </c>
      <c r="F21" s="173">
        <f>IF($B21&gt;Inputs!$G$18,"",LOOKUP($B21,'Cash Flow'!$F$2:$AJ$2,'Cash Flow'!$F$97:$AJ$97))</f>
        <v>0</v>
      </c>
      <c r="G21" s="173">
        <f>IF($B21&gt;Inputs!$G$18,"",LOOKUP($B21,'Cash Flow'!$F$2:$AJ$2,'Cash Flow'!$F$59:$AJ$59)+LOOKUP($B21,'Cash Flow'!$F$2:$AJ$2,'Cash Flow'!$F$60:$AJ$60))</f>
        <v>0</v>
      </c>
      <c r="H21" s="173">
        <f>IF($B21&gt;Inputs!$G$18,"",SUM(D21:G21))</f>
        <v>251831.49659664574</v>
      </c>
      <c r="I21" s="173">
        <f>IF($B21&gt;Inputs!$G$18,"",LOOKUP($B21,'Cash Flow'!$F$2:$AJ$2,'Cash Flow'!$F$72:$AJ$72))</f>
        <v>244958.87159664574</v>
      </c>
      <c r="J21" s="173">
        <f>IF($B21&gt;Inputs!$G$18,"",LOOKUP($B21,'Cash Flow'!$F$2:$AJ$2,'Cash Flow'!$F$73:$AJ$73))</f>
        <v>244958.87159664574</v>
      </c>
      <c r="K21" s="173">
        <f>IF($B21&gt;Inputs!$G$18,"",LOOKUP($B21,'Cash Flow'!$F$2:$AJ$2,'Cash Flow'!$F$75:$AJ$75)+LOOKUP($B21,'Cash Flow'!$F$2:$AJ$2,'Cash Flow'!$F$77:$AJ$77))</f>
        <v>-78448.078628825795</v>
      </c>
      <c r="L21" s="173">
        <f>IF($B21&gt;Inputs!$G$18,"",LOOKUP($B21,'Cash Flow'!$F$2:$AJ$2,'Cash Flow'!$F$76:$AJ$76)+LOOKUP($B21,'Cash Flow'!$F$2:$AJ$2,'Cash Flow'!$F$78:$AJ$78))</f>
        <v>-20821.504085714889</v>
      </c>
      <c r="M21" s="173">
        <f>IF($B21&gt;Inputs!$G$18,"",H21+K21+L21)</f>
        <v>152561.91388210506</v>
      </c>
      <c r="N21" s="173">
        <f>IF($B21&gt;Inputs!$G$18,N20,N20+M21)</f>
        <v>791969.71504578227</v>
      </c>
      <c r="O21" s="177">
        <f>IF($B21&gt;Inputs!$G$18,"",LOOKUP($B21,'Cash Flow'!$F$2:$AJ$2,'Cash Flow'!$F$80:$AJ$80))</f>
        <v>9.9350674436399E-2</v>
      </c>
      <c r="P21" s="178" t="str">
        <f>IF($B21&gt;Inputs!$G$18,"",LOOKUP($B21,'Cash Flow'!$F$2:$AJ$2,'Cash Flow'!$F$53:$AJ$53))</f>
        <v>N/A</v>
      </c>
      <c r="R21" s="392">
        <f>IF($B21&gt;Inputs!$G$18,"",D21+K21+L21)</f>
        <v>615551.17809571011</v>
      </c>
      <c r="S21" s="393">
        <f>IF($B21&gt;Inputs!$G$18,"",-(E21+F21+G21))</f>
        <v>462989.26421360514</v>
      </c>
    </row>
    <row r="22" spans="2:19" ht="15">
      <c r="B22" s="175">
        <v>16</v>
      </c>
      <c r="C22" s="176">
        <f>IF($B22&gt;Inputs!$G$18,"",IF($B22&lt;=Inputs!$Q$22,LOOKUP($B22,'Cash Flow'!$F$2:$AJ$2,'Cash Flow'!$F$17:$AJ$17),LOOKUP($B22,'Cash Flow'!$F$2:$AJ$2,'Cash Flow'!$F$19:$AJ$19)))</f>
        <v>11.349999999999998</v>
      </c>
      <c r="D22" s="173">
        <f>IF($B22&gt;Inputs!$G$18,"",LOOKUP($B22,'Cash Flow'!$F$2:$AJ$2,'Cash Flow'!$F$29:$AJ$29))</f>
        <v>714820.76081025088</v>
      </c>
      <c r="E22" s="173">
        <f>IF($B22&gt;Inputs!$G$18,"",LOOKUP($B22,'Cash Flow'!$F$2:$AJ$2,'Cash Flow'!$F$47:$AJ$47))</f>
        <v>-472249.04949787725</v>
      </c>
      <c r="F22" s="173">
        <f>IF($B22&gt;Inputs!$G$18,"",LOOKUP($B22,'Cash Flow'!$F$2:$AJ$2,'Cash Flow'!$F$97:$AJ$97))</f>
        <v>0</v>
      </c>
      <c r="G22" s="173">
        <f>IF($B22&gt;Inputs!$G$18,"",LOOKUP($B22,'Cash Flow'!$F$2:$AJ$2,'Cash Flow'!$F$59:$AJ$59)+LOOKUP($B22,'Cash Flow'!$F$2:$AJ$2,'Cash Flow'!$F$60:$AJ$60))</f>
        <v>0</v>
      </c>
      <c r="H22" s="173">
        <f>IF($B22&gt;Inputs!$G$18,"",SUM(D22:G22))</f>
        <v>242571.71131237363</v>
      </c>
      <c r="I22" s="173">
        <f>IF($B22&gt;Inputs!$G$18,"",LOOKUP($B22,'Cash Flow'!$F$2:$AJ$2,'Cash Flow'!$F$72:$AJ$72))</f>
        <v>237364.46131237363</v>
      </c>
      <c r="J22" s="173">
        <f>IF($B22&gt;Inputs!$G$18,"",LOOKUP($B22,'Cash Flow'!$F$2:$AJ$2,'Cash Flow'!$F$73:$AJ$73))</f>
        <v>237364.46131237363</v>
      </c>
      <c r="K22" s="173">
        <f>IF($B22&gt;Inputs!$G$18,"",LOOKUP($B22,'Cash Flow'!$F$2:$AJ$2,'Cash Flow'!$F$75:$AJ$75)+LOOKUP($B22,'Cash Flow'!$F$2:$AJ$2,'Cash Flow'!$F$77:$AJ$77))</f>
        <v>-76015.96873528765</v>
      </c>
      <c r="L22" s="173">
        <f>IF($B22&gt;Inputs!$G$18,"",LOOKUP($B22,'Cash Flow'!$F$2:$AJ$2,'Cash Flow'!$F$76:$AJ$76)+LOOKUP($B22,'Cash Flow'!$F$2:$AJ$2,'Cash Flow'!$F$78:$AJ$78))</f>
        <v>-20175.979211551759</v>
      </c>
      <c r="M22" s="173">
        <f>IF($B22&gt;Inputs!$G$18,"",H22+K22+L22)</f>
        <v>146379.76336553422</v>
      </c>
      <c r="N22" s="173">
        <f>IF($B22&gt;Inputs!$G$18,N21,N21+M22)</f>
        <v>938349.47841131652</v>
      </c>
      <c r="O22" s="177">
        <f>IF($B22&gt;Inputs!$G$18,"",LOOKUP($B22,'Cash Flow'!$F$2:$AJ$2,'Cash Flow'!$F$80:$AJ$80))</f>
        <v>0.10495214847886247</v>
      </c>
      <c r="P22" s="178" t="str">
        <f>IF($B22&gt;Inputs!$G$18,"",LOOKUP($B22,'Cash Flow'!$F$2:$AJ$2,'Cash Flow'!$F$53:$AJ$53))</f>
        <v>N/A</v>
      </c>
      <c r="R22" s="392">
        <f>IF($B22&gt;Inputs!$G$18,"",D22+K22+L22)</f>
        <v>618628.8128634115</v>
      </c>
      <c r="S22" s="393">
        <f>IF($B22&gt;Inputs!$G$18,"",-(E22+F22+G22))</f>
        <v>472249.04949787725</v>
      </c>
    </row>
    <row r="23" spans="2:19" ht="15">
      <c r="B23" s="181">
        <v>17</v>
      </c>
      <c r="C23" s="176">
        <f>IF($B23&gt;Inputs!$G$18,"",IF($B23&lt;=Inputs!$Q$22,LOOKUP($B23,'Cash Flow'!$F$2:$AJ$2,'Cash Flow'!$F$17:$AJ$17),LOOKUP($B23,'Cash Flow'!$F$2:$AJ$2,'Cash Flow'!$F$19:$AJ$19)))</f>
        <v>11.349999999999998</v>
      </c>
      <c r="D23" s="173">
        <f>IF($B23&gt;Inputs!$G$18,"",LOOKUP($B23,'Cash Flow'!$F$2:$AJ$2,'Cash Flow'!$F$29:$AJ$29))</f>
        <v>714820.76081025088</v>
      </c>
      <c r="E23" s="173">
        <f>IF($B23&gt;Inputs!$G$18,"",LOOKUP($B23,'Cash Flow'!$F$2:$AJ$2,'Cash Flow'!$F$47:$AJ$47))</f>
        <v>-481694.03048783483</v>
      </c>
      <c r="F23" s="173">
        <f>IF($B23&gt;Inputs!$G$18,"",LOOKUP($B23,'Cash Flow'!$F$2:$AJ$2,'Cash Flow'!$F$97:$AJ$97))</f>
        <v>0</v>
      </c>
      <c r="G23" s="173">
        <f>IF($B23&gt;Inputs!$G$18,"",LOOKUP($B23,'Cash Flow'!$F$2:$AJ$2,'Cash Flow'!$F$59:$AJ$59)+LOOKUP($B23,'Cash Flow'!$F$2:$AJ$2,'Cash Flow'!$F$60:$AJ$60))</f>
        <v>0</v>
      </c>
      <c r="H23" s="173">
        <f>IF($B23&gt;Inputs!$G$18,"",SUM(D23:G23))</f>
        <v>233126.73032241606</v>
      </c>
      <c r="I23" s="173">
        <f>IF($B23&gt;Inputs!$G$18,"",LOOKUP($B23,'Cash Flow'!$F$2:$AJ$2,'Cash Flow'!$F$72:$AJ$72))</f>
        <v>229578.48032241606</v>
      </c>
      <c r="J23" s="173">
        <f>IF($B23&gt;Inputs!$G$18,"",LOOKUP($B23,'Cash Flow'!$F$2:$AJ$2,'Cash Flow'!$F$73:$AJ$73))</f>
        <v>229578.48032241606</v>
      </c>
      <c r="K23" s="173">
        <f>IF($B23&gt;Inputs!$G$18,"",LOOKUP($B23,'Cash Flow'!$F$2:$AJ$2,'Cash Flow'!$F$75:$AJ$75)+LOOKUP($B23,'Cash Flow'!$F$2:$AJ$2,'Cash Flow'!$F$77:$AJ$77))</f>
        <v>-73522.508323253744</v>
      </c>
      <c r="L23" s="173">
        <f>IF($B23&gt;Inputs!$G$18,"",LOOKUP($B23,'Cash Flow'!$F$2:$AJ$2,'Cash Flow'!$F$76:$AJ$76)+LOOKUP($B23,'Cash Flow'!$F$2:$AJ$2,'Cash Flow'!$F$78:$AJ$78))</f>
        <v>-19514.170827405367</v>
      </c>
      <c r="M23" s="173">
        <f>IF($B23&gt;Inputs!$G$18,"",H23+K23+L23)</f>
        <v>140090.05117175693</v>
      </c>
      <c r="N23" s="173">
        <f>IF($B23&gt;Inputs!$G$18,N22,N22+M23)</f>
        <v>1078439.5295830735</v>
      </c>
      <c r="O23" s="177">
        <f>IF($B23&gt;Inputs!$G$18,"",LOOKUP($B23,'Cash Flow'!$F$2:$AJ$2,'Cash Flow'!$F$80:$AJ$80))</f>
        <v>0.10928620226272545</v>
      </c>
      <c r="P23" s="178" t="str">
        <f>IF($B23&gt;Inputs!$G$18,"",LOOKUP($B23,'Cash Flow'!$F$2:$AJ$2,'Cash Flow'!$F$53:$AJ$53))</f>
        <v>N/A</v>
      </c>
      <c r="R23" s="392">
        <f>IF($B23&gt;Inputs!$G$18,"",D23+K23+L23)</f>
        <v>621784.08165959176</v>
      </c>
      <c r="S23" s="393">
        <f>IF($B23&gt;Inputs!$G$18,"",-(E23+F23+G23))</f>
        <v>481694.03048783483</v>
      </c>
    </row>
    <row r="24" spans="2:19" ht="15">
      <c r="B24" s="175">
        <v>18</v>
      </c>
      <c r="C24" s="176">
        <f>IF($B24&gt;Inputs!$G$18,"",IF($B24&lt;=Inputs!$Q$22,LOOKUP($B24,'Cash Flow'!$F$2:$AJ$2,'Cash Flow'!$F$17:$AJ$17),LOOKUP($B24,'Cash Flow'!$F$2:$AJ$2,'Cash Flow'!$F$19:$AJ$19)))</f>
        <v>11.349999999999998</v>
      </c>
      <c r="D24" s="173">
        <f>IF($B24&gt;Inputs!$G$18,"",LOOKUP($B24,'Cash Flow'!$F$2:$AJ$2,'Cash Flow'!$F$29:$AJ$29))</f>
        <v>714820.76081025088</v>
      </c>
      <c r="E24" s="173">
        <f>IF($B24&gt;Inputs!$G$18,"",LOOKUP($B24,'Cash Flow'!$F$2:$AJ$2,'Cash Flow'!$F$47:$AJ$47))</f>
        <v>-491327.91109759163</v>
      </c>
      <c r="F24" s="173">
        <f>IF($B24&gt;Inputs!$G$18,"",LOOKUP($B24,'Cash Flow'!$F$2:$AJ$2,'Cash Flow'!$F$97:$AJ$97))</f>
        <v>0</v>
      </c>
      <c r="G24" s="173">
        <f>IF($B24&gt;Inputs!$G$18,"",LOOKUP($B24,'Cash Flow'!$F$2:$AJ$2,'Cash Flow'!$F$59:$AJ$59)+LOOKUP($B24,'Cash Flow'!$F$2:$AJ$2,'Cash Flow'!$F$60:$AJ$60))</f>
        <v>0</v>
      </c>
      <c r="H24" s="173">
        <f>IF($B24&gt;Inputs!$G$18,"",SUM(D24:G24))</f>
        <v>223492.84971265926</v>
      </c>
      <c r="I24" s="173">
        <f>IF($B24&gt;Inputs!$G$18,"",LOOKUP($B24,'Cash Flow'!$F$2:$AJ$2,'Cash Flow'!$F$72:$AJ$72))</f>
        <v>219944.97471265926</v>
      </c>
      <c r="J24" s="173">
        <f>IF($B24&gt;Inputs!$G$18,"",LOOKUP($B24,'Cash Flow'!$F$2:$AJ$2,'Cash Flow'!$F$73:$AJ$73))</f>
        <v>219944.97471265926</v>
      </c>
      <c r="K24" s="173">
        <f>IF($B24&gt;Inputs!$G$18,"",LOOKUP($B24,'Cash Flow'!$F$2:$AJ$2,'Cash Flow'!$F$75:$AJ$75)+LOOKUP($B24,'Cash Flow'!$F$2:$AJ$2,'Cash Flow'!$F$77:$AJ$77))</f>
        <v>-70437.378151729121</v>
      </c>
      <c r="L24" s="173">
        <f>IF($B24&gt;Inputs!$G$18,"",LOOKUP($B24,'Cash Flow'!$F$2:$AJ$2,'Cash Flow'!$F$76:$AJ$76)+LOOKUP($B24,'Cash Flow'!$F$2:$AJ$2,'Cash Flow'!$F$78:$AJ$78))</f>
        <v>-18695.322850576038</v>
      </c>
      <c r="M24" s="173">
        <f>IF($B24&gt;Inputs!$G$18,"",H24+K24+L24)</f>
        <v>134360.14871035409</v>
      </c>
      <c r="N24" s="173">
        <f>IF($B24&gt;Inputs!$G$18,N23,N23+M24)</f>
        <v>1212799.6782934275</v>
      </c>
      <c r="O24" s="177">
        <f>IF($B24&gt;Inputs!$G$18,"",LOOKUP($B24,'Cash Flow'!$F$2:$AJ$2,'Cash Flow'!$F$80:$AJ$80))</f>
        <v>0.1127015966335343</v>
      </c>
      <c r="P24" s="178" t="str">
        <f>IF($B24&gt;Inputs!$G$18,"",LOOKUP($B24,'Cash Flow'!$F$2:$AJ$2,'Cash Flow'!$F$53:$AJ$53))</f>
        <v>N/A</v>
      </c>
      <c r="R24" s="392">
        <f>IF($B24&gt;Inputs!$G$18,"",D24+K24+L24)</f>
        <v>625688.05980794574</v>
      </c>
      <c r="S24" s="393">
        <f>IF($B24&gt;Inputs!$G$18,"",-(E24+F24+G24))</f>
        <v>491327.91109759163</v>
      </c>
    </row>
    <row r="25" spans="2:19" ht="15">
      <c r="B25" s="175">
        <v>19</v>
      </c>
      <c r="C25" s="176">
        <f>IF($B25&gt;Inputs!$G$18,"",IF($B25&lt;=Inputs!$Q$22,LOOKUP($B25,'Cash Flow'!$F$2:$AJ$2,'Cash Flow'!$F$17:$AJ$17),LOOKUP($B25,'Cash Flow'!$F$2:$AJ$2,'Cash Flow'!$F$19:$AJ$19)))</f>
        <v>11.349999999999998</v>
      </c>
      <c r="D25" s="173">
        <f>IF($B25&gt;Inputs!$G$18,"",LOOKUP($B25,'Cash Flow'!$F$2:$AJ$2,'Cash Flow'!$F$29:$AJ$29))</f>
        <v>714820.76081025088</v>
      </c>
      <c r="E25" s="173">
        <f>IF($B25&gt;Inputs!$G$18,"",LOOKUP($B25,'Cash Flow'!$F$2:$AJ$2,'Cash Flow'!$F$47:$AJ$47))</f>
        <v>-501154.46931954345</v>
      </c>
      <c r="F25" s="173">
        <f>IF($B25&gt;Inputs!$G$18,"",LOOKUP($B25,'Cash Flow'!$F$2:$AJ$2,'Cash Flow'!$F$97:$AJ$97))</f>
        <v>0</v>
      </c>
      <c r="G25" s="173">
        <f>IF($B25&gt;Inputs!$G$18,"",LOOKUP($B25,'Cash Flow'!$F$2:$AJ$2,'Cash Flow'!$F$59:$AJ$59)+LOOKUP($B25,'Cash Flow'!$F$2:$AJ$2,'Cash Flow'!$F$60:$AJ$60))</f>
        <v>0</v>
      </c>
      <c r="H25" s="173">
        <f>IF($B25&gt;Inputs!$G$18,"",SUM(D25:G25))</f>
        <v>213666.29149070743</v>
      </c>
      <c r="I25" s="173">
        <f>IF($B25&gt;Inputs!$G$18,"",LOOKUP($B25,'Cash Flow'!$F$2:$AJ$2,'Cash Flow'!$F$72:$AJ$72))</f>
        <v>210118.04149070743</v>
      </c>
      <c r="J25" s="173">
        <f>IF($B25&gt;Inputs!$G$18,"",LOOKUP($B25,'Cash Flow'!$F$2:$AJ$2,'Cash Flow'!$F$73:$AJ$73))</f>
        <v>210118.04149070743</v>
      </c>
      <c r="K25" s="173">
        <f>IF($B25&gt;Inputs!$G$18,"",LOOKUP($B25,'Cash Flow'!$F$2:$AJ$2,'Cash Flow'!$F$75:$AJ$75)+LOOKUP($B25,'Cash Flow'!$F$2:$AJ$2,'Cash Flow'!$F$77:$AJ$77))</f>
        <v>-67290.30278739905</v>
      </c>
      <c r="L25" s="173">
        <f>IF($B25&gt;Inputs!$G$18,"",LOOKUP($B25,'Cash Flow'!$F$2:$AJ$2,'Cash Flow'!$F$76:$AJ$76)+LOOKUP($B25,'Cash Flow'!$F$2:$AJ$2,'Cash Flow'!$F$78:$AJ$78))</f>
        <v>-17860.033526710133</v>
      </c>
      <c r="M25" s="173">
        <f>IF($B25&gt;Inputs!$G$18,"",H25+K25+L25)</f>
        <v>128515.95517659826</v>
      </c>
      <c r="N25" s="173">
        <f>IF($B25&gt;Inputs!$G$18,N24,N24+M25)</f>
        <v>1341315.6334700256</v>
      </c>
      <c r="O25" s="177">
        <f>IF($B25&gt;Inputs!$G$18,"",LOOKUP($B25,'Cash Flow'!$F$2:$AJ$2,'Cash Flow'!$F$80:$AJ$80))</f>
        <v>0.11541896133559271</v>
      </c>
      <c r="P25" s="178" t="str">
        <f>IF($B25&gt;Inputs!$G$18,"",LOOKUP($B25,'Cash Flow'!$F$2:$AJ$2,'Cash Flow'!$F$53:$AJ$53))</f>
        <v>N/A</v>
      </c>
      <c r="R25" s="392">
        <f>IF($B25&gt;Inputs!$G$18,"",D25+K25+L25)</f>
        <v>629670.42449614173</v>
      </c>
      <c r="S25" s="393">
        <f>IF($B25&gt;Inputs!$G$18,"",-(E25+F25+G25))</f>
        <v>501154.46931954345</v>
      </c>
    </row>
    <row r="26" spans="2:19" ht="15">
      <c r="B26" s="181">
        <v>20</v>
      </c>
      <c r="C26" s="176">
        <f>IF($B26&gt;Inputs!$G$18,"",IF($B26&lt;=Inputs!$Q$22,LOOKUP($B26,'Cash Flow'!$F$2:$AJ$2,'Cash Flow'!$F$17:$AJ$17),LOOKUP($B26,'Cash Flow'!$F$2:$AJ$2,'Cash Flow'!$F$19:$AJ$19)))</f>
        <v>11.349999999999998</v>
      </c>
      <c r="D26" s="173">
        <f>IF($B26&gt;Inputs!$G$18,"",LOOKUP($B26,'Cash Flow'!$F$2:$AJ$2,'Cash Flow'!$F$29:$AJ$29))</f>
        <v>713222.20040512539</v>
      </c>
      <c r="E26" s="173">
        <f>IF($B26&gt;Inputs!$G$18,"",LOOKUP($B26,'Cash Flow'!$F$2:$AJ$2,'Cash Flow'!$F$47:$AJ$47))</f>
        <v>-511177.55870593427</v>
      </c>
      <c r="F26" s="173">
        <f>IF($B26&gt;Inputs!$G$18,"",LOOKUP($B26,'Cash Flow'!$F$2:$AJ$2,'Cash Flow'!$F$97:$AJ$97))</f>
        <v>0</v>
      </c>
      <c r="G26" s="173">
        <f>IF($B26&gt;Inputs!$G$18,"",LOOKUP($B26,'Cash Flow'!$F$2:$AJ$2,'Cash Flow'!$F$59:$AJ$59)+LOOKUP($B26,'Cash Flow'!$F$2:$AJ$2,'Cash Flow'!$F$60:$AJ$60))</f>
        <v>213141.38735006598</v>
      </c>
      <c r="H26" s="173">
        <f>IF($B26&gt;Inputs!$G$18,"",SUM(D26:G26))</f>
        <v>415186.02904925711</v>
      </c>
      <c r="I26" s="173">
        <f>IF($B26&gt;Inputs!$G$18,"",LOOKUP($B26,'Cash Flow'!$F$2:$AJ$2,'Cash Flow'!$F$72:$AJ$72))</f>
        <v>198496.76669919112</v>
      </c>
      <c r="J26" s="173">
        <f>IF($B26&gt;Inputs!$G$18,"",LOOKUP($B26,'Cash Flow'!$F$2:$AJ$2,'Cash Flow'!$F$73:$AJ$73))</f>
        <v>198496.76669919112</v>
      </c>
      <c r="K26" s="173">
        <f>IF($B26&gt;Inputs!$G$18,"",LOOKUP($B26,'Cash Flow'!$F$2:$AJ$2,'Cash Flow'!$F$75:$AJ$75)+LOOKUP($B26,'Cash Flow'!$F$2:$AJ$2,'Cash Flow'!$F$77:$AJ$77))</f>
        <v>-63568.589535415951</v>
      </c>
      <c r="L26" s="173">
        <f>IF($B26&gt;Inputs!$G$18,"",LOOKUP($B26,'Cash Flow'!$F$2:$AJ$2,'Cash Flow'!$F$76:$AJ$76)+LOOKUP($B26,'Cash Flow'!$F$2:$AJ$2,'Cash Flow'!$F$78:$AJ$78))</f>
        <v>-16872.225169431247</v>
      </c>
      <c r="M26" s="173">
        <f>IF($B26&gt;Inputs!$G$18,"",H26+K26+L26)</f>
        <v>334745.21434440993</v>
      </c>
      <c r="N26" s="173">
        <f>IF($B26&gt;Inputs!$G$18,N25,N25+M26)</f>
        <v>1676060.8478144356</v>
      </c>
      <c r="O26" s="177">
        <f>IF($B26&gt;Inputs!$G$18,"",LOOKUP($B26,'Cash Flow'!$F$2:$AJ$2,'Cash Flow'!$F$80:$AJ$80))</f>
        <v>0.12108520247293408</v>
      </c>
      <c r="P26" s="178" t="str">
        <f>IF($B26&gt;Inputs!$G$18,"",LOOKUP($B26,'Cash Flow'!$F$2:$AJ$2,'Cash Flow'!$F$53:$AJ$53))</f>
        <v>N/A</v>
      </c>
      <c r="R26" s="392">
        <f>IF($B26&gt;Inputs!$G$18,"",D26+K26+L26)</f>
        <v>632781.3857002781</v>
      </c>
      <c r="S26" s="393">
        <f>IF($B26&gt;Inputs!$G$18,"",-(E26+F26+G26))</f>
        <v>298036.17135586828</v>
      </c>
    </row>
    <row r="27" spans="2:19" ht="15">
      <c r="B27" s="175">
        <v>21</v>
      </c>
      <c r="C27" s="176" t="str">
        <f>IF($B27&gt;Inputs!$G$18,"",IF($B27&lt;=Inputs!$Q$22,LOOKUP($B27,'Cash Flow'!$F$2:$AJ$2,'Cash Flow'!$F$17:$AJ$17),LOOKUP($B27,'Cash Flow'!$F$2:$AJ$2,'Cash Flow'!$F$19:$AJ$19)))</f>
        <v/>
      </c>
      <c r="D27" s="173" t="str">
        <f>IF($B27&gt;Inputs!$G$18,"",LOOKUP($B27,'Cash Flow'!$F$2:$AJ$2,'Cash Flow'!$F$29:$AJ$29))</f>
        <v/>
      </c>
      <c r="E27" s="173" t="str">
        <f>IF($B27&gt;Inputs!$G$18,"",LOOKUP($B27,'Cash Flow'!$F$2:$AJ$2,'Cash Flow'!$F$47:$AJ$47))</f>
        <v/>
      </c>
      <c r="F27" s="173" t="str">
        <f>IF($B27&gt;Inputs!$G$18,"",LOOKUP($B27,'Cash Flow'!$F$2:$AJ$2,'Cash Flow'!$F$97:$AJ$97))</f>
        <v/>
      </c>
      <c r="G27" s="173" t="str">
        <f>IF($B27&gt;Inputs!$G$18,"",LOOKUP($B27,'Cash Flow'!$F$2:$AJ$2,'Cash Flow'!$F$59:$AJ$59)+LOOKUP($B27,'Cash Flow'!$F$2:$AJ$2,'Cash Flow'!$F$60:$AJ$60))</f>
        <v/>
      </c>
      <c r="H27" s="173" t="str">
        <f>IF($B27&gt;Inputs!$G$18,"",SUM(D27:G27))</f>
        <v/>
      </c>
      <c r="I27" s="173" t="str">
        <f>IF($B27&gt;Inputs!$G$18,"",LOOKUP($B27,'Cash Flow'!$F$2:$AJ$2,'Cash Flow'!$F$72:$AJ$72))</f>
        <v/>
      </c>
      <c r="J27" s="173" t="str">
        <f>IF($B27&gt;Inputs!$G$18,"",LOOKUP($B27,'Cash Flow'!$F$2:$AJ$2,'Cash Flow'!$F$73:$AJ$73))</f>
        <v/>
      </c>
      <c r="K27" s="173" t="str">
        <f>IF($B27&gt;Inputs!$G$18,"",LOOKUP($B27,'Cash Flow'!$F$2:$AJ$2,'Cash Flow'!$F$75:$AJ$75)+LOOKUP($B27,'Cash Flow'!$F$2:$AJ$2,'Cash Flow'!$F$77:$AJ$77))</f>
        <v/>
      </c>
      <c r="L27" s="173" t="str">
        <f>IF($B27&gt;Inputs!$G$18,"",LOOKUP($B27,'Cash Flow'!$F$2:$AJ$2,'Cash Flow'!$F$76:$AJ$76)+LOOKUP($B27,'Cash Flow'!$F$2:$AJ$2,'Cash Flow'!$F$78:$AJ$78))</f>
        <v/>
      </c>
      <c r="M27" s="173" t="str">
        <f>IF($B27&gt;Inputs!$G$18,"",H27+K27+L27)</f>
        <v/>
      </c>
      <c r="N27" s="173">
        <f>IF($B27&gt;Inputs!$G$18,N26,N26+M27)</f>
        <v>1676060.8478144356</v>
      </c>
      <c r="O27" s="177" t="str">
        <f>IF($B27&gt;Inputs!$G$18,"",LOOKUP($B27,'Cash Flow'!$F$2:$AJ$2,'Cash Flow'!$F$80:$AJ$80))</f>
        <v/>
      </c>
      <c r="P27" s="178" t="str">
        <f>IF($B27&gt;Inputs!$G$18,"",LOOKUP($B27,'Cash Flow'!$F$2:$AJ$2,'Cash Flow'!$F$53:$AJ$53))</f>
        <v/>
      </c>
      <c r="R27" s="392" t="str">
        <f>IF($B27&gt;Inputs!$G$18,"",D27+K27+L27)</f>
        <v/>
      </c>
      <c r="S27" s="393" t="str">
        <f>IF($B27&gt;Inputs!$G$18,"",-(E27+F27+G27))</f>
        <v/>
      </c>
    </row>
    <row r="28" spans="2:19" ht="15">
      <c r="B28" s="175">
        <v>22</v>
      </c>
      <c r="C28" s="176" t="str">
        <f>IF($B28&gt;Inputs!$G$18,"",IF($B28&lt;=Inputs!$Q$22,LOOKUP($B28,'Cash Flow'!$F$2:$AJ$2,'Cash Flow'!$F$17:$AJ$17),LOOKUP($B28,'Cash Flow'!$F$2:$AJ$2,'Cash Flow'!$F$19:$AJ$19)))</f>
        <v/>
      </c>
      <c r="D28" s="173" t="str">
        <f>IF($B28&gt;Inputs!$G$18,"",LOOKUP($B28,'Cash Flow'!$F$2:$AJ$2,'Cash Flow'!$F$29:$AJ$29))</f>
        <v/>
      </c>
      <c r="E28" s="173" t="str">
        <f>IF($B28&gt;Inputs!$G$18,"",LOOKUP($B28,'Cash Flow'!$F$2:$AJ$2,'Cash Flow'!$F$47:$AJ$47))</f>
        <v/>
      </c>
      <c r="F28" s="173" t="str">
        <f>IF($B28&gt;Inputs!$G$18,"",LOOKUP($B28,'Cash Flow'!$F$2:$AJ$2,'Cash Flow'!$F$97:$AJ$97))</f>
        <v/>
      </c>
      <c r="G28" s="173" t="str">
        <f>IF($B28&gt;Inputs!$G$18,"",LOOKUP($B28,'Cash Flow'!$F$2:$AJ$2,'Cash Flow'!$F$59:$AJ$59)+LOOKUP($B28,'Cash Flow'!$F$2:$AJ$2,'Cash Flow'!$F$60:$AJ$60))</f>
        <v/>
      </c>
      <c r="H28" s="173" t="str">
        <f>IF($B28&gt;Inputs!$G$18,"",SUM(D28:G28))</f>
        <v/>
      </c>
      <c r="I28" s="173" t="str">
        <f>IF($B28&gt;Inputs!$G$18,"",LOOKUP($B28,'Cash Flow'!$F$2:$AJ$2,'Cash Flow'!$F$72:$AJ$72))</f>
        <v/>
      </c>
      <c r="J28" s="173" t="str">
        <f>IF($B28&gt;Inputs!$G$18,"",LOOKUP($B28,'Cash Flow'!$F$2:$AJ$2,'Cash Flow'!$F$73:$AJ$73))</f>
        <v/>
      </c>
      <c r="K28" s="173" t="str">
        <f>IF($B28&gt;Inputs!$G$18,"",LOOKUP($B28,'Cash Flow'!$F$2:$AJ$2,'Cash Flow'!$F$75:$AJ$75)+LOOKUP($B28,'Cash Flow'!$F$2:$AJ$2,'Cash Flow'!$F$77:$AJ$77))</f>
        <v/>
      </c>
      <c r="L28" s="173" t="str">
        <f>IF($B28&gt;Inputs!$G$18,"",LOOKUP($B28,'Cash Flow'!$F$2:$AJ$2,'Cash Flow'!$F$76:$AJ$76)+LOOKUP($B28,'Cash Flow'!$F$2:$AJ$2,'Cash Flow'!$F$78:$AJ$78))</f>
        <v/>
      </c>
      <c r="M28" s="173" t="str">
        <f>IF($B28&gt;Inputs!$G$18,"",H28+K28+L28)</f>
        <v/>
      </c>
      <c r="N28" s="173">
        <f>IF($B28&gt;Inputs!$G$18,N27,N27+M28)</f>
        <v>1676060.8478144356</v>
      </c>
      <c r="O28" s="177" t="str">
        <f>IF($B28&gt;Inputs!$G$18,"",LOOKUP($B28,'Cash Flow'!$F$2:$AJ$2,'Cash Flow'!$F$80:$AJ$80))</f>
        <v/>
      </c>
      <c r="P28" s="178" t="str">
        <f>IF($B28&gt;Inputs!$G$18,"",LOOKUP($B28,'Cash Flow'!$F$2:$AJ$2,'Cash Flow'!$F$53:$AJ$53))</f>
        <v/>
      </c>
      <c r="R28" s="392" t="str">
        <f>IF($B28&gt;Inputs!$G$18,"",D28+K28+L28)</f>
        <v/>
      </c>
      <c r="S28" s="393" t="str">
        <f>IF($B28&gt;Inputs!$G$18,"",-(E28+F28+G28))</f>
        <v/>
      </c>
    </row>
    <row r="29" spans="2:19" ht="15">
      <c r="B29" s="181">
        <v>23</v>
      </c>
      <c r="C29" s="176" t="str">
        <f>IF($B29&gt;Inputs!$G$18,"",IF($B29&lt;=Inputs!$Q$22,LOOKUP($B29,'Cash Flow'!$F$2:$AJ$2,'Cash Flow'!$F$17:$AJ$17),LOOKUP($B29,'Cash Flow'!$F$2:$AJ$2,'Cash Flow'!$F$19:$AJ$19)))</f>
        <v/>
      </c>
      <c r="D29" s="173" t="str">
        <f>IF($B29&gt;Inputs!$G$18,"",LOOKUP($B29,'Cash Flow'!$F$2:$AJ$2,'Cash Flow'!$F$29:$AJ$29))</f>
        <v/>
      </c>
      <c r="E29" s="173" t="str">
        <f>IF($B29&gt;Inputs!$G$18,"",LOOKUP($B29,'Cash Flow'!$F$2:$AJ$2,'Cash Flow'!$F$47:$AJ$47))</f>
        <v/>
      </c>
      <c r="F29" s="173" t="str">
        <f>IF($B29&gt;Inputs!$G$18,"",LOOKUP($B29,'Cash Flow'!$F$2:$AJ$2,'Cash Flow'!$F$97:$AJ$97))</f>
        <v/>
      </c>
      <c r="G29" s="173" t="str">
        <f>IF($B29&gt;Inputs!$G$18,"",LOOKUP($B29,'Cash Flow'!$F$2:$AJ$2,'Cash Flow'!$F$59:$AJ$59)+LOOKUP($B29,'Cash Flow'!$F$2:$AJ$2,'Cash Flow'!$F$60:$AJ$60))</f>
        <v/>
      </c>
      <c r="H29" s="173" t="str">
        <f>IF($B29&gt;Inputs!$G$18,"",SUM(D29:G29))</f>
        <v/>
      </c>
      <c r="I29" s="173" t="str">
        <f>IF($B29&gt;Inputs!$G$18,"",LOOKUP($B29,'Cash Flow'!$F$2:$AJ$2,'Cash Flow'!$F$72:$AJ$72))</f>
        <v/>
      </c>
      <c r="J29" s="173" t="str">
        <f>IF($B29&gt;Inputs!$G$18,"",LOOKUP($B29,'Cash Flow'!$F$2:$AJ$2,'Cash Flow'!$F$73:$AJ$73))</f>
        <v/>
      </c>
      <c r="K29" s="173" t="str">
        <f>IF($B29&gt;Inputs!$G$18,"",LOOKUP($B29,'Cash Flow'!$F$2:$AJ$2,'Cash Flow'!$F$75:$AJ$75)+LOOKUP($B29,'Cash Flow'!$F$2:$AJ$2,'Cash Flow'!$F$77:$AJ$77))</f>
        <v/>
      </c>
      <c r="L29" s="173" t="str">
        <f>IF($B29&gt;Inputs!$G$18,"",LOOKUP($B29,'Cash Flow'!$F$2:$AJ$2,'Cash Flow'!$F$76:$AJ$76)+LOOKUP($B29,'Cash Flow'!$F$2:$AJ$2,'Cash Flow'!$F$78:$AJ$78))</f>
        <v/>
      </c>
      <c r="M29" s="173" t="str">
        <f>IF($B29&gt;Inputs!$G$18,"",H29+K29+L29)</f>
        <v/>
      </c>
      <c r="N29" s="173">
        <f>IF($B29&gt;Inputs!$G$18,N28,N28+M29)</f>
        <v>1676060.8478144356</v>
      </c>
      <c r="O29" s="177" t="str">
        <f>IF($B29&gt;Inputs!$G$18,"",LOOKUP($B29,'Cash Flow'!$F$2:$AJ$2,'Cash Flow'!$F$80:$AJ$80))</f>
        <v/>
      </c>
      <c r="P29" s="178" t="str">
        <f>IF($B29&gt;Inputs!$G$18,"",LOOKUP($B29,'Cash Flow'!$F$2:$AJ$2,'Cash Flow'!$F$53:$AJ$53))</f>
        <v/>
      </c>
      <c r="R29" s="392" t="str">
        <f>IF($B29&gt;Inputs!$G$18,"",D29+K29+L29)</f>
        <v/>
      </c>
      <c r="S29" s="393" t="str">
        <f>IF($B29&gt;Inputs!$G$18,"",-(E29+F29+G29))</f>
        <v/>
      </c>
    </row>
    <row r="30" spans="2:19" ht="15">
      <c r="B30" s="175">
        <v>24</v>
      </c>
      <c r="C30" s="176" t="str">
        <f>IF($B30&gt;Inputs!$G$18,"",IF($B30&lt;=Inputs!$Q$22,LOOKUP($B30,'Cash Flow'!$F$2:$AJ$2,'Cash Flow'!$F$17:$AJ$17),LOOKUP($B30,'Cash Flow'!$F$2:$AJ$2,'Cash Flow'!$F$19:$AJ$19)))</f>
        <v/>
      </c>
      <c r="D30" s="173" t="str">
        <f>IF($B30&gt;Inputs!$G$18,"",LOOKUP($B30,'Cash Flow'!$F$2:$AJ$2,'Cash Flow'!$F$29:$AJ$29))</f>
        <v/>
      </c>
      <c r="E30" s="173" t="str">
        <f>IF($B30&gt;Inputs!$G$18,"",LOOKUP($B30,'Cash Flow'!$F$2:$AJ$2,'Cash Flow'!$F$47:$AJ$47))</f>
        <v/>
      </c>
      <c r="F30" s="173" t="str">
        <f>IF($B30&gt;Inputs!$G$18,"",LOOKUP($B30,'Cash Flow'!$F$2:$AJ$2,'Cash Flow'!$F$97:$AJ$97))</f>
        <v/>
      </c>
      <c r="G30" s="173" t="str">
        <f>IF($B30&gt;Inputs!$G$18,"",LOOKUP($B30,'Cash Flow'!$F$2:$AJ$2,'Cash Flow'!$F$59:$AJ$59)+LOOKUP($B30,'Cash Flow'!$F$2:$AJ$2,'Cash Flow'!$F$60:$AJ$60))</f>
        <v/>
      </c>
      <c r="H30" s="173" t="str">
        <f>IF($B30&gt;Inputs!$G$18,"",SUM(D30:G30))</f>
        <v/>
      </c>
      <c r="I30" s="173" t="str">
        <f>IF($B30&gt;Inputs!$G$18,"",LOOKUP($B30,'Cash Flow'!$F$2:$AJ$2,'Cash Flow'!$F$72:$AJ$72))</f>
        <v/>
      </c>
      <c r="J30" s="173" t="str">
        <f>IF($B30&gt;Inputs!$G$18,"",LOOKUP($B30,'Cash Flow'!$F$2:$AJ$2,'Cash Flow'!$F$73:$AJ$73))</f>
        <v/>
      </c>
      <c r="K30" s="173" t="str">
        <f>IF($B30&gt;Inputs!$G$18,"",LOOKUP($B30,'Cash Flow'!$F$2:$AJ$2,'Cash Flow'!$F$75:$AJ$75)+LOOKUP($B30,'Cash Flow'!$F$2:$AJ$2,'Cash Flow'!$F$77:$AJ$77))</f>
        <v/>
      </c>
      <c r="L30" s="173" t="str">
        <f>IF($B30&gt;Inputs!$G$18,"",LOOKUP($B30,'Cash Flow'!$F$2:$AJ$2,'Cash Flow'!$F$76:$AJ$76)+LOOKUP($B30,'Cash Flow'!$F$2:$AJ$2,'Cash Flow'!$F$78:$AJ$78))</f>
        <v/>
      </c>
      <c r="M30" s="173" t="str">
        <f>IF($B30&gt;Inputs!$G$18,"",H30+K30+L30)</f>
        <v/>
      </c>
      <c r="N30" s="173">
        <f>IF($B30&gt;Inputs!$G$18,N29,N29+M30)</f>
        <v>1676060.8478144356</v>
      </c>
      <c r="O30" s="177" t="str">
        <f>IF($B30&gt;Inputs!$G$18,"",LOOKUP($B30,'Cash Flow'!$F$2:$AJ$2,'Cash Flow'!$F$80:$AJ$80))</f>
        <v/>
      </c>
      <c r="P30" s="178" t="str">
        <f>IF($B30&gt;Inputs!$G$18,"",LOOKUP($B30,'Cash Flow'!$F$2:$AJ$2,'Cash Flow'!$F$53:$AJ$53))</f>
        <v/>
      </c>
      <c r="R30" s="392" t="str">
        <f>IF($B30&gt;Inputs!$G$18,"",D30+K30+L30)</f>
        <v/>
      </c>
      <c r="S30" s="393" t="str">
        <f>IF($B30&gt;Inputs!$G$18,"",-(E30+F30+G30))</f>
        <v/>
      </c>
    </row>
    <row r="31" spans="2:19" ht="15">
      <c r="B31" s="175">
        <v>25</v>
      </c>
      <c r="C31" s="176" t="str">
        <f>IF($B31&gt;Inputs!$G$18,"",IF($B31&lt;=Inputs!$Q$22,LOOKUP($B31,'Cash Flow'!$F$2:$AJ$2,'Cash Flow'!$F$17:$AJ$17),LOOKUP($B31,'Cash Flow'!$F$2:$AJ$2,'Cash Flow'!$F$19:$AJ$19)))</f>
        <v/>
      </c>
      <c r="D31" s="173" t="str">
        <f>IF($B31&gt;Inputs!$G$18,"",LOOKUP($B31,'Cash Flow'!$F$2:$AJ$2,'Cash Flow'!$F$29:$AJ$29))</f>
        <v/>
      </c>
      <c r="E31" s="173" t="str">
        <f>IF($B31&gt;Inputs!$G$18,"",LOOKUP($B31,'Cash Flow'!$F$2:$AJ$2,'Cash Flow'!$F$47:$AJ$47))</f>
        <v/>
      </c>
      <c r="F31" s="173" t="str">
        <f>IF($B31&gt;Inputs!$G$18,"",LOOKUP($B31,'Cash Flow'!$F$2:$AJ$2,'Cash Flow'!$F$97:$AJ$97))</f>
        <v/>
      </c>
      <c r="G31" s="173" t="str">
        <f>IF($B31&gt;Inputs!$G$18,"",LOOKUP($B31,'Cash Flow'!$F$2:$AJ$2,'Cash Flow'!$F$59:$AJ$59)+LOOKUP($B31,'Cash Flow'!$F$2:$AJ$2,'Cash Flow'!$F$60:$AJ$60))</f>
        <v/>
      </c>
      <c r="H31" s="173" t="str">
        <f>IF($B31&gt;Inputs!$G$18,"",SUM(D31:G31))</f>
        <v/>
      </c>
      <c r="I31" s="173" t="str">
        <f>IF($B31&gt;Inputs!$G$18,"",LOOKUP($B31,'Cash Flow'!$F$2:$AJ$2,'Cash Flow'!$F$72:$AJ$72))</f>
        <v/>
      </c>
      <c r="J31" s="173" t="str">
        <f>IF($B31&gt;Inputs!$G$18,"",LOOKUP($B31,'Cash Flow'!$F$2:$AJ$2,'Cash Flow'!$F$73:$AJ$73))</f>
        <v/>
      </c>
      <c r="K31" s="173" t="str">
        <f>IF($B31&gt;Inputs!$G$18,"",LOOKUP($B31,'Cash Flow'!$F$2:$AJ$2,'Cash Flow'!$F$75:$AJ$75)+LOOKUP($B31,'Cash Flow'!$F$2:$AJ$2,'Cash Flow'!$F$77:$AJ$77))</f>
        <v/>
      </c>
      <c r="L31" s="173" t="str">
        <f>IF($B31&gt;Inputs!$G$18,"",LOOKUP($B31,'Cash Flow'!$F$2:$AJ$2,'Cash Flow'!$F$76:$AJ$76)+LOOKUP($B31,'Cash Flow'!$F$2:$AJ$2,'Cash Flow'!$F$78:$AJ$78))</f>
        <v/>
      </c>
      <c r="M31" s="173" t="str">
        <f>IF($B31&gt;Inputs!$G$18,"",H31+K31+L31)</f>
        <v/>
      </c>
      <c r="N31" s="173">
        <f>IF($B31&gt;Inputs!$G$18,N30,N30+M31)</f>
        <v>1676060.8478144356</v>
      </c>
      <c r="O31" s="177" t="str">
        <f>IF($B31&gt;Inputs!$G$18,"",LOOKUP($B31,'Cash Flow'!$F$2:$AJ$2,'Cash Flow'!$F$80:$AJ$80))</f>
        <v/>
      </c>
      <c r="P31" s="178" t="str">
        <f>IF($B31&gt;Inputs!$G$18,"",LOOKUP($B31,'Cash Flow'!$F$2:$AJ$2,'Cash Flow'!$F$53:$AJ$53))</f>
        <v/>
      </c>
      <c r="R31" s="392" t="str">
        <f>IF($B31&gt;Inputs!$G$18,"",D31+K31+L31)</f>
        <v/>
      </c>
      <c r="S31" s="393" t="str">
        <f>IF($B31&gt;Inputs!$G$18,"",-(E31+F31+G31))</f>
        <v/>
      </c>
    </row>
    <row r="32" spans="2:19" ht="15">
      <c r="B32" s="181">
        <v>26</v>
      </c>
      <c r="C32" s="176" t="str">
        <f>IF($B32&gt;Inputs!$G$18,"",IF($B32&lt;=Inputs!$Q$22,LOOKUP($B32,'Cash Flow'!$F$2:$AJ$2,'Cash Flow'!$F$17:$AJ$17),LOOKUP($B32,'Cash Flow'!$F$2:$AJ$2,'Cash Flow'!$F$19:$AJ$19)))</f>
        <v/>
      </c>
      <c r="D32" s="173" t="str">
        <f>IF($B32&gt;Inputs!$G$18,"",LOOKUP($B32,'Cash Flow'!$F$2:$AJ$2,'Cash Flow'!$F$29:$AJ$29))</f>
        <v/>
      </c>
      <c r="E32" s="173" t="str">
        <f>IF($B32&gt;Inputs!$G$18,"",LOOKUP($B32,'Cash Flow'!$F$2:$AJ$2,'Cash Flow'!$F$47:$AJ$47))</f>
        <v/>
      </c>
      <c r="F32" s="173" t="str">
        <f>IF($B32&gt;Inputs!$G$18,"",LOOKUP($B32,'Cash Flow'!$F$2:$AJ$2,'Cash Flow'!$F$97:$AJ$97))</f>
        <v/>
      </c>
      <c r="G32" s="173" t="str">
        <f>IF($B32&gt;Inputs!$G$18,"",LOOKUP($B32,'Cash Flow'!$F$2:$AJ$2,'Cash Flow'!$F$59:$AJ$59)+LOOKUP($B32,'Cash Flow'!$F$2:$AJ$2,'Cash Flow'!$F$60:$AJ$60))</f>
        <v/>
      </c>
      <c r="H32" s="173" t="str">
        <f>IF($B32&gt;Inputs!$G$18,"",SUM(D32:G32))</f>
        <v/>
      </c>
      <c r="I32" s="173" t="str">
        <f>IF($B32&gt;Inputs!$G$18,"",LOOKUP($B32,'Cash Flow'!$F$2:$AJ$2,'Cash Flow'!$F$72:$AJ$72))</f>
        <v/>
      </c>
      <c r="J32" s="173" t="str">
        <f>IF($B32&gt;Inputs!$G$18,"",LOOKUP($B32,'Cash Flow'!$F$2:$AJ$2,'Cash Flow'!$F$73:$AJ$73))</f>
        <v/>
      </c>
      <c r="K32" s="173" t="str">
        <f>IF($B32&gt;Inputs!$G$18,"",LOOKUP($B32,'Cash Flow'!$F$2:$AJ$2,'Cash Flow'!$F$75:$AJ$75)+LOOKUP($B32,'Cash Flow'!$F$2:$AJ$2,'Cash Flow'!$F$77:$AJ$77))</f>
        <v/>
      </c>
      <c r="L32" s="173" t="str">
        <f>IF($B32&gt;Inputs!$G$18,"",LOOKUP($B32,'Cash Flow'!$F$2:$AJ$2,'Cash Flow'!$F$76:$AJ$76)+LOOKUP($B32,'Cash Flow'!$F$2:$AJ$2,'Cash Flow'!$F$78:$AJ$78))</f>
        <v/>
      </c>
      <c r="M32" s="173" t="str">
        <f>IF($B32&gt;Inputs!$G$18,"",H32+K32+L32)</f>
        <v/>
      </c>
      <c r="N32" s="173">
        <f>IF($B32&gt;Inputs!$G$18,N31,N31+M32)</f>
        <v>1676060.8478144356</v>
      </c>
      <c r="O32" s="177" t="str">
        <f>IF($B32&gt;Inputs!$G$18,"",LOOKUP($B32,'Cash Flow'!$F$2:$AJ$2,'Cash Flow'!$F$80:$AJ$80))</f>
        <v/>
      </c>
      <c r="P32" s="178" t="str">
        <f>IF($B32&gt;Inputs!$G$18,"",LOOKUP($B32,'Cash Flow'!$F$2:$AJ$2,'Cash Flow'!$F$53:$AJ$53))</f>
        <v/>
      </c>
      <c r="R32" s="392" t="str">
        <f>IF($B32&gt;Inputs!$G$18,"",D32+K32+L32)</f>
        <v/>
      </c>
      <c r="S32" s="393" t="str">
        <f>IF($B32&gt;Inputs!$G$18,"",-(E32+F32+G32))</f>
        <v/>
      </c>
    </row>
    <row r="33" spans="2:19" ht="15">
      <c r="B33" s="175">
        <v>27</v>
      </c>
      <c r="C33" s="176" t="str">
        <f>IF($B33&gt;Inputs!$G$18,"",IF($B33&lt;=Inputs!$Q$22,LOOKUP($B33,'Cash Flow'!$F$2:$AJ$2,'Cash Flow'!$F$17:$AJ$17),LOOKUP($B33,'Cash Flow'!$F$2:$AJ$2,'Cash Flow'!$F$19:$AJ$19)))</f>
        <v/>
      </c>
      <c r="D33" s="173" t="str">
        <f>IF($B33&gt;Inputs!$G$18,"",LOOKUP($B33,'Cash Flow'!$F$2:$AJ$2,'Cash Flow'!$F$29:$AJ$29))</f>
        <v/>
      </c>
      <c r="E33" s="173" t="str">
        <f>IF($B33&gt;Inputs!$G$18,"",LOOKUP($B33,'Cash Flow'!$F$2:$AJ$2,'Cash Flow'!$F$47:$AJ$47))</f>
        <v/>
      </c>
      <c r="F33" s="173" t="str">
        <f>IF($B33&gt;Inputs!$G$18,"",LOOKUP($B33,'Cash Flow'!$F$2:$AJ$2,'Cash Flow'!$F$97:$AJ$97))</f>
        <v/>
      </c>
      <c r="G33" s="173" t="str">
        <f>IF($B33&gt;Inputs!$G$18,"",LOOKUP($B33,'Cash Flow'!$F$2:$AJ$2,'Cash Flow'!$F$59:$AJ$59)+LOOKUP($B33,'Cash Flow'!$F$2:$AJ$2,'Cash Flow'!$F$60:$AJ$60))</f>
        <v/>
      </c>
      <c r="H33" s="173" t="str">
        <f>IF($B33&gt;Inputs!$G$18,"",SUM(D33:G33))</f>
        <v/>
      </c>
      <c r="I33" s="173" t="str">
        <f>IF($B33&gt;Inputs!$G$18,"",LOOKUP($B33,'Cash Flow'!$F$2:$AJ$2,'Cash Flow'!$F$72:$AJ$72))</f>
        <v/>
      </c>
      <c r="J33" s="173" t="str">
        <f>IF($B33&gt;Inputs!$G$18,"",LOOKUP($B33,'Cash Flow'!$F$2:$AJ$2,'Cash Flow'!$F$73:$AJ$73))</f>
        <v/>
      </c>
      <c r="K33" s="173" t="str">
        <f>IF($B33&gt;Inputs!$G$18,"",LOOKUP($B33,'Cash Flow'!$F$2:$AJ$2,'Cash Flow'!$F$75:$AJ$75)+LOOKUP($B33,'Cash Flow'!$F$2:$AJ$2,'Cash Flow'!$F$77:$AJ$77))</f>
        <v/>
      </c>
      <c r="L33" s="173" t="str">
        <f>IF($B33&gt;Inputs!$G$18,"",LOOKUP($B33,'Cash Flow'!$F$2:$AJ$2,'Cash Flow'!$F$76:$AJ$76)+LOOKUP($B33,'Cash Flow'!$F$2:$AJ$2,'Cash Flow'!$F$78:$AJ$78))</f>
        <v/>
      </c>
      <c r="M33" s="173" t="str">
        <f>IF($B33&gt;Inputs!$G$18,"",H33+K33+L33)</f>
        <v/>
      </c>
      <c r="N33" s="173">
        <f>IF($B33&gt;Inputs!$G$18,N32,N32+M33)</f>
        <v>1676060.8478144356</v>
      </c>
      <c r="O33" s="177" t="str">
        <f>IF($B33&gt;Inputs!$G$18,"",LOOKUP($B33,'Cash Flow'!$F$2:$AJ$2,'Cash Flow'!$F$80:$AJ$80))</f>
        <v/>
      </c>
      <c r="P33" s="178" t="str">
        <f>IF($B33&gt;Inputs!$G$18,"",LOOKUP($B33,'Cash Flow'!$F$2:$AJ$2,'Cash Flow'!$F$53:$AJ$53))</f>
        <v/>
      </c>
      <c r="R33" s="392" t="str">
        <f>IF($B33&gt;Inputs!$G$18,"",D33+K33+L33)</f>
        <v/>
      </c>
      <c r="S33" s="393" t="str">
        <f>IF($B33&gt;Inputs!$G$18,"",-(E33+F33+G33))</f>
        <v/>
      </c>
    </row>
    <row r="34" spans="2:19" ht="15">
      <c r="B34" s="175">
        <v>28</v>
      </c>
      <c r="C34" s="176" t="str">
        <f>IF($B34&gt;Inputs!$G$18,"",IF($B34&lt;=Inputs!$Q$22,LOOKUP($B34,'Cash Flow'!$F$2:$AJ$2,'Cash Flow'!$F$17:$AJ$17),LOOKUP($B34,'Cash Flow'!$F$2:$AJ$2,'Cash Flow'!$F$19:$AJ$19)))</f>
        <v/>
      </c>
      <c r="D34" s="173" t="str">
        <f>IF($B34&gt;Inputs!$G$18,"",LOOKUP($B34,'Cash Flow'!$F$2:$AJ$2,'Cash Flow'!$F$29:$AJ$29))</f>
        <v/>
      </c>
      <c r="E34" s="173" t="str">
        <f>IF($B34&gt;Inputs!$G$18,"",LOOKUP($B34,'Cash Flow'!$F$2:$AJ$2,'Cash Flow'!$F$47:$AJ$47))</f>
        <v/>
      </c>
      <c r="F34" s="173" t="str">
        <f>IF($B34&gt;Inputs!$G$18,"",LOOKUP($B34,'Cash Flow'!$F$2:$AJ$2,'Cash Flow'!$F$97:$AJ$97))</f>
        <v/>
      </c>
      <c r="G34" s="173" t="str">
        <f>IF($B34&gt;Inputs!$G$18,"",LOOKUP($B34,'Cash Flow'!$F$2:$AJ$2,'Cash Flow'!$F$59:$AJ$59)+LOOKUP($B34,'Cash Flow'!$F$2:$AJ$2,'Cash Flow'!$F$60:$AJ$60))</f>
        <v/>
      </c>
      <c r="H34" s="173" t="str">
        <f>IF($B34&gt;Inputs!$G$18,"",SUM(D34:G34))</f>
        <v/>
      </c>
      <c r="I34" s="173" t="str">
        <f>IF($B34&gt;Inputs!$G$18,"",LOOKUP($B34,'Cash Flow'!$F$2:$AJ$2,'Cash Flow'!$F$72:$AJ$72))</f>
        <v/>
      </c>
      <c r="J34" s="173" t="str">
        <f>IF($B34&gt;Inputs!$G$18,"",LOOKUP($B34,'Cash Flow'!$F$2:$AJ$2,'Cash Flow'!$F$73:$AJ$73))</f>
        <v/>
      </c>
      <c r="K34" s="173" t="str">
        <f>IF($B34&gt;Inputs!$G$18,"",LOOKUP($B34,'Cash Flow'!$F$2:$AJ$2,'Cash Flow'!$F$75:$AJ$75)+LOOKUP($B34,'Cash Flow'!$F$2:$AJ$2,'Cash Flow'!$F$77:$AJ$77))</f>
        <v/>
      </c>
      <c r="L34" s="173" t="str">
        <f>IF($B34&gt;Inputs!$G$18,"",LOOKUP($B34,'Cash Flow'!$F$2:$AJ$2,'Cash Flow'!$F$76:$AJ$76)+LOOKUP($B34,'Cash Flow'!$F$2:$AJ$2,'Cash Flow'!$F$78:$AJ$78))</f>
        <v/>
      </c>
      <c r="M34" s="173" t="str">
        <f>IF($B34&gt;Inputs!$G$18,"",H34+K34+L34)</f>
        <v/>
      </c>
      <c r="N34" s="173">
        <f>IF($B34&gt;Inputs!$G$18,N33,N33+M34)</f>
        <v>1676060.8478144356</v>
      </c>
      <c r="O34" s="177" t="str">
        <f>IF($B34&gt;Inputs!$G$18,"",LOOKUP($B34,'Cash Flow'!$F$2:$AJ$2,'Cash Flow'!$F$80:$AJ$80))</f>
        <v/>
      </c>
      <c r="P34" s="178" t="str">
        <f>IF($B34&gt;Inputs!$G$18,"",LOOKUP($B34,'Cash Flow'!$F$2:$AJ$2,'Cash Flow'!$F$53:$AJ$53))</f>
        <v/>
      </c>
      <c r="R34" s="392" t="str">
        <f>IF($B34&gt;Inputs!$G$18,"",D34+K34+L34)</f>
        <v/>
      </c>
      <c r="S34" s="393" t="str">
        <f>IF($B34&gt;Inputs!$G$18,"",-(E34+F34+G34))</f>
        <v/>
      </c>
    </row>
    <row r="35" spans="2:19" ht="15">
      <c r="B35" s="181">
        <v>29</v>
      </c>
      <c r="C35" s="176" t="str">
        <f>IF($B35&gt;Inputs!$G$18,"",IF($B35&lt;=Inputs!$Q$22,LOOKUP($B35,'Cash Flow'!$F$2:$AJ$2,'Cash Flow'!$F$17:$AJ$17),LOOKUP($B35,'Cash Flow'!$F$2:$AJ$2,'Cash Flow'!$F$19:$AJ$19)))</f>
        <v/>
      </c>
      <c r="D35" s="173" t="str">
        <f>IF($B35&gt;Inputs!$G$18,"",LOOKUP($B35,'Cash Flow'!$F$2:$AJ$2,'Cash Flow'!$F$29:$AJ$29))</f>
        <v/>
      </c>
      <c r="E35" s="173" t="str">
        <f>IF($B35&gt;Inputs!$G$18,"",LOOKUP($B35,'Cash Flow'!$F$2:$AJ$2,'Cash Flow'!$F$47:$AJ$47))</f>
        <v/>
      </c>
      <c r="F35" s="173" t="str">
        <f>IF($B35&gt;Inputs!$G$18,"",LOOKUP($B35,'Cash Flow'!$F$2:$AJ$2,'Cash Flow'!$F$97:$AJ$97))</f>
        <v/>
      </c>
      <c r="G35" s="173" t="str">
        <f>IF($B35&gt;Inputs!$G$18,"",LOOKUP($B35,'Cash Flow'!$F$2:$AJ$2,'Cash Flow'!$F$59:$AJ$59)+LOOKUP($B35,'Cash Flow'!$F$2:$AJ$2,'Cash Flow'!$F$60:$AJ$60))</f>
        <v/>
      </c>
      <c r="H35" s="173" t="str">
        <f>IF($B35&gt;Inputs!$G$18,"",SUM(D35:G35))</f>
        <v/>
      </c>
      <c r="I35" s="173" t="str">
        <f>IF($B35&gt;Inputs!$G$18,"",LOOKUP($B35,'Cash Flow'!$F$2:$AJ$2,'Cash Flow'!$F$72:$AJ$72))</f>
        <v/>
      </c>
      <c r="J35" s="173" t="str">
        <f>IF($B35&gt;Inputs!$G$18,"",LOOKUP($B35,'Cash Flow'!$F$2:$AJ$2,'Cash Flow'!$F$73:$AJ$73))</f>
        <v/>
      </c>
      <c r="K35" s="173" t="str">
        <f>IF($B35&gt;Inputs!$G$18,"",LOOKUP($B35,'Cash Flow'!$F$2:$AJ$2,'Cash Flow'!$F$75:$AJ$75)+LOOKUP($B35,'Cash Flow'!$F$2:$AJ$2,'Cash Flow'!$F$77:$AJ$77))</f>
        <v/>
      </c>
      <c r="L35" s="173" t="str">
        <f>IF($B35&gt;Inputs!$G$18,"",LOOKUP($B35,'Cash Flow'!$F$2:$AJ$2,'Cash Flow'!$F$76:$AJ$76)+LOOKUP($B35,'Cash Flow'!$F$2:$AJ$2,'Cash Flow'!$F$78:$AJ$78))</f>
        <v/>
      </c>
      <c r="M35" s="173" t="str">
        <f>IF($B35&gt;Inputs!$G$18,"",H35+K35+L35)</f>
        <v/>
      </c>
      <c r="N35" s="173">
        <f>IF($B35&gt;Inputs!$G$18,N34,N34+M35)</f>
        <v>1676060.8478144356</v>
      </c>
      <c r="O35" s="177" t="str">
        <f>IF($B35&gt;Inputs!$G$18,"",LOOKUP($B35,'Cash Flow'!$F$2:$AJ$2,'Cash Flow'!$F$80:$AJ$80))</f>
        <v/>
      </c>
      <c r="P35" s="178" t="str">
        <f>IF($B35&gt;Inputs!$G$18,"",LOOKUP($B35,'Cash Flow'!$F$2:$AJ$2,'Cash Flow'!$F$53:$AJ$53))</f>
        <v/>
      </c>
      <c r="R35" s="392" t="str">
        <f>IF($B35&gt;Inputs!$G$18,"",D35+K35+L35)</f>
        <v/>
      </c>
      <c r="S35" s="393" t="str">
        <f>IF($B35&gt;Inputs!$G$18,"",-(E35+F35+G35))</f>
        <v/>
      </c>
    </row>
    <row r="36" spans="2:19" ht="15">
      <c r="B36" s="175">
        <v>30</v>
      </c>
      <c r="C36" s="176" t="str">
        <f>IF($B36&gt;Inputs!$G$18,"",IF($B36&lt;=Inputs!$Q$22,LOOKUP($B36,'Cash Flow'!$F$2:$AJ$2,'Cash Flow'!$F$17:$AJ$17),LOOKUP($B36,'Cash Flow'!$F$2:$AJ$2,'Cash Flow'!$F$19:$AJ$19)))</f>
        <v/>
      </c>
      <c r="D36" s="173" t="str">
        <f>IF($B36&gt;Inputs!$G$18,"",LOOKUP($B36,'Cash Flow'!$F$2:$AJ$2,'Cash Flow'!$F$29:$AJ$29))</f>
        <v/>
      </c>
      <c r="E36" s="173" t="str">
        <f>IF($B36&gt;Inputs!$G$18,"",LOOKUP($B36,'Cash Flow'!$F$2:$AJ$2,'Cash Flow'!$F$47:$AJ$47))</f>
        <v/>
      </c>
      <c r="F36" s="173" t="str">
        <f>IF($B36&gt;Inputs!$G$18,"",LOOKUP($B36,'Cash Flow'!$F$2:$AJ$2,'Cash Flow'!$F$97:$AJ$97))</f>
        <v/>
      </c>
      <c r="G36" s="173" t="str">
        <f>IF($B36&gt;Inputs!$G$18,"",LOOKUP($B36,'Cash Flow'!$F$2:$AJ$2,'Cash Flow'!$F$59:$AJ$59)+LOOKUP($B36,'Cash Flow'!$F$2:$AJ$2,'Cash Flow'!$F$60:$AJ$60))</f>
        <v/>
      </c>
      <c r="H36" s="173" t="str">
        <f>IF($B36&gt;Inputs!$G$18,"",SUM(D36:G36))</f>
        <v/>
      </c>
      <c r="I36" s="173" t="str">
        <f>IF($B36&gt;Inputs!$G$18,"",LOOKUP($B36,'Cash Flow'!$F$2:$AJ$2,'Cash Flow'!$F$72:$AJ$72))</f>
        <v/>
      </c>
      <c r="J36" s="173" t="str">
        <f>IF($B36&gt;Inputs!$G$18,"",LOOKUP($B36,'Cash Flow'!$F$2:$AJ$2,'Cash Flow'!$F$73:$AJ$73))</f>
        <v/>
      </c>
      <c r="K36" s="173" t="str">
        <f>IF($B36&gt;Inputs!$G$18,"",LOOKUP($B36,'Cash Flow'!$F$2:$AJ$2,'Cash Flow'!$F$75:$AJ$75)+LOOKUP($B36,'Cash Flow'!$F$2:$AJ$2,'Cash Flow'!$F$77:$AJ$77))</f>
        <v/>
      </c>
      <c r="L36" s="173" t="str">
        <f>IF($B36&gt;Inputs!$G$18,"",LOOKUP($B36,'Cash Flow'!$F$2:$AJ$2,'Cash Flow'!$F$76:$AJ$76)+LOOKUP($B36,'Cash Flow'!$F$2:$AJ$2,'Cash Flow'!$F$78:$AJ$78))</f>
        <v/>
      </c>
      <c r="M36" s="173" t="str">
        <f>IF($B36&gt;Inputs!$G$18,"",H36+K36+L36)</f>
        <v/>
      </c>
      <c r="N36" s="173">
        <f>IF($B36&gt;Inputs!$G$18,N35,N35+M36)</f>
        <v>1676060.8478144356</v>
      </c>
      <c r="O36" s="177" t="str">
        <f>IF($B36&gt;Inputs!$G$18,"",LOOKUP($B36,'Cash Flow'!$F$2:$AJ$2,'Cash Flow'!$F$80:$AJ$80))</f>
        <v/>
      </c>
      <c r="P36" s="178" t="str">
        <f>IF($B36&gt;Inputs!$G$18,"",LOOKUP($B36,'Cash Flow'!$F$2:$AJ$2,'Cash Flow'!$F$53:$AJ$53))</f>
        <v/>
      </c>
      <c r="R36" s="392" t="str">
        <f>IF($B36&gt;Inputs!$G$18,"",D36+K36+L36)</f>
        <v/>
      </c>
      <c r="S36" s="393" t="str">
        <f>IF($B36&gt;Inputs!$G$18,"",-(E36+F36+G36))</f>
        <v/>
      </c>
    </row>
    <row r="37" spans="2:19">
      <c r="B37" s="182"/>
      <c r="C37" s="183"/>
      <c r="D37" s="183"/>
      <c r="E37" s="183"/>
      <c r="F37" s="183"/>
      <c r="G37" s="194"/>
      <c r="H37" s="183"/>
      <c r="I37" s="183"/>
      <c r="J37" s="183"/>
      <c r="K37" s="183"/>
      <c r="L37" s="183"/>
      <c r="M37" s="194"/>
      <c r="N37" s="194"/>
      <c r="O37" s="194"/>
      <c r="P37" s="195"/>
      <c r="R37" s="394"/>
      <c r="S37" s="395"/>
    </row>
    <row r="38" spans="2:19">
      <c r="G38" s="196"/>
      <c r="M38" s="196"/>
      <c r="N38" s="196"/>
      <c r="O38" s="196"/>
      <c r="P38" s="196"/>
    </row>
  </sheetData>
  <mergeCells count="3">
    <mergeCell ref="R4:R5"/>
    <mergeCell ref="S4:S5"/>
    <mergeCell ref="R3:S3"/>
  </mergeCells>
  <conditionalFormatting sqref="N7:N36">
    <cfRule type="expression" dxfId="5"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49"/>
  <sheetViews>
    <sheetView showGridLines="0" zoomScale="70" zoomScaleNormal="70" workbookViewId="0">
      <pane xSplit="5" ySplit="2" topLeftCell="F3" activePane="bottomRight" state="frozen"/>
      <selection pane="topRight" activeCell="D1" sqref="D1"/>
      <selection pane="bottomLeft" activeCell="A4" sqref="A4"/>
      <selection pane="bottomRight" activeCell="B29" sqref="B29"/>
    </sheetView>
  </sheetViews>
  <sheetFormatPr baseColWidth="10" defaultColWidth="8.83203125" defaultRowHeight="15"/>
  <cols>
    <col min="1" max="1" width="5.5" style="64" customWidth="1"/>
    <col min="2" max="2" width="56.5" style="64" customWidth="1"/>
    <col min="3" max="5" width="15.33203125" style="64" customWidth="1"/>
    <col min="6" max="6" width="15.83203125" style="64" customWidth="1"/>
    <col min="7" max="7" width="15.6640625" style="64" bestFit="1" customWidth="1"/>
    <col min="8" max="13" width="14.83203125" style="64" bestFit="1" customWidth="1"/>
    <col min="14" max="36" width="13.6640625" style="64" customWidth="1"/>
    <col min="37" max="228" width="9.1640625" style="64"/>
    <col min="229" max="229" width="5.5" style="64" customWidth="1"/>
    <col min="230" max="230" width="56.5" style="64" customWidth="1"/>
    <col min="231" max="231" width="15.33203125" style="64" customWidth="1"/>
    <col min="232" max="232" width="15.83203125" style="64" customWidth="1"/>
    <col min="233" max="233" width="15.1640625" style="64" customWidth="1"/>
    <col min="234" max="292" width="13.6640625" style="64" customWidth="1"/>
    <col min="293" max="484" width="9.1640625" style="64"/>
    <col min="485" max="485" width="5.5" style="64" customWidth="1"/>
    <col min="486" max="486" width="56.5" style="64" customWidth="1"/>
    <col min="487" max="487" width="15.33203125" style="64" customWidth="1"/>
    <col min="488" max="488" width="15.83203125" style="64" customWidth="1"/>
    <col min="489" max="489" width="15.1640625" style="64" customWidth="1"/>
    <col min="490" max="548" width="13.6640625" style="64" customWidth="1"/>
    <col min="549" max="740" width="9.1640625" style="64"/>
    <col min="741" max="741" width="5.5" style="64" customWidth="1"/>
    <col min="742" max="742" width="56.5" style="64" customWidth="1"/>
    <col min="743" max="743" width="15.33203125" style="64" customWidth="1"/>
    <col min="744" max="744" width="15.83203125" style="64" customWidth="1"/>
    <col min="745" max="745" width="15.1640625" style="64" customWidth="1"/>
    <col min="746" max="804" width="13.6640625" style="64" customWidth="1"/>
    <col min="805" max="996" width="9.1640625" style="64"/>
    <col min="997" max="997" width="5.5" style="64" customWidth="1"/>
    <col min="998" max="998" width="56.5" style="64" customWidth="1"/>
    <col min="999" max="999" width="15.33203125" style="64" customWidth="1"/>
    <col min="1000" max="1000" width="15.83203125" style="64" customWidth="1"/>
    <col min="1001" max="1001" width="15.1640625" style="64" customWidth="1"/>
    <col min="1002" max="1060" width="13.6640625" style="64" customWidth="1"/>
    <col min="1061" max="1252" width="9.1640625" style="64"/>
    <col min="1253" max="1253" width="5.5" style="64" customWidth="1"/>
    <col min="1254" max="1254" width="56.5" style="64" customWidth="1"/>
    <col min="1255" max="1255" width="15.33203125" style="64" customWidth="1"/>
    <col min="1256" max="1256" width="15.83203125" style="64" customWidth="1"/>
    <col min="1257" max="1257" width="15.1640625" style="64" customWidth="1"/>
    <col min="1258" max="1316" width="13.6640625" style="64" customWidth="1"/>
    <col min="1317" max="1508" width="9.1640625" style="64"/>
    <col min="1509" max="1509" width="5.5" style="64" customWidth="1"/>
    <col min="1510" max="1510" width="56.5" style="64" customWidth="1"/>
    <col min="1511" max="1511" width="15.33203125" style="64" customWidth="1"/>
    <col min="1512" max="1512" width="15.83203125" style="64" customWidth="1"/>
    <col min="1513" max="1513" width="15.1640625" style="64" customWidth="1"/>
    <col min="1514" max="1572" width="13.6640625" style="64" customWidth="1"/>
    <col min="1573" max="1764" width="9.1640625" style="64"/>
    <col min="1765" max="1765" width="5.5" style="64" customWidth="1"/>
    <col min="1766" max="1766" width="56.5" style="64" customWidth="1"/>
    <col min="1767" max="1767" width="15.33203125" style="64" customWidth="1"/>
    <col min="1768" max="1768" width="15.83203125" style="64" customWidth="1"/>
    <col min="1769" max="1769" width="15.1640625" style="64" customWidth="1"/>
    <col min="1770" max="1828" width="13.6640625" style="64" customWidth="1"/>
    <col min="1829" max="2020" width="9.1640625" style="64"/>
    <col min="2021" max="2021" width="5.5" style="64" customWidth="1"/>
    <col min="2022" max="2022" width="56.5" style="64" customWidth="1"/>
    <col min="2023" max="2023" width="15.33203125" style="64" customWidth="1"/>
    <col min="2024" max="2024" width="15.83203125" style="64" customWidth="1"/>
    <col min="2025" max="2025" width="15.1640625" style="64" customWidth="1"/>
    <col min="2026" max="2084" width="13.6640625" style="64" customWidth="1"/>
    <col min="2085" max="2276" width="9.1640625" style="64"/>
    <col min="2277" max="2277" width="5.5" style="64" customWidth="1"/>
    <col min="2278" max="2278" width="56.5" style="64" customWidth="1"/>
    <col min="2279" max="2279" width="15.33203125" style="64" customWidth="1"/>
    <col min="2280" max="2280" width="15.83203125" style="64" customWidth="1"/>
    <col min="2281" max="2281" width="15.1640625" style="64" customWidth="1"/>
    <col min="2282" max="2340" width="13.6640625" style="64" customWidth="1"/>
    <col min="2341" max="2532" width="9.1640625" style="64"/>
    <col min="2533" max="2533" width="5.5" style="64" customWidth="1"/>
    <col min="2534" max="2534" width="56.5" style="64" customWidth="1"/>
    <col min="2535" max="2535" width="15.33203125" style="64" customWidth="1"/>
    <col min="2536" max="2536" width="15.83203125" style="64" customWidth="1"/>
    <col min="2537" max="2537" width="15.1640625" style="64" customWidth="1"/>
    <col min="2538" max="2596" width="13.6640625" style="64" customWidth="1"/>
    <col min="2597" max="2788" width="9.1640625" style="64"/>
    <col min="2789" max="2789" width="5.5" style="64" customWidth="1"/>
    <col min="2790" max="2790" width="56.5" style="64" customWidth="1"/>
    <col min="2791" max="2791" width="15.33203125" style="64" customWidth="1"/>
    <col min="2792" max="2792" width="15.83203125" style="64" customWidth="1"/>
    <col min="2793" max="2793" width="15.1640625" style="64" customWidth="1"/>
    <col min="2794" max="2852" width="13.6640625" style="64" customWidth="1"/>
    <col min="2853" max="3044" width="9.1640625" style="64"/>
    <col min="3045" max="3045" width="5.5" style="64" customWidth="1"/>
    <col min="3046" max="3046" width="56.5" style="64" customWidth="1"/>
    <col min="3047" max="3047" width="15.33203125" style="64" customWidth="1"/>
    <col min="3048" max="3048" width="15.83203125" style="64" customWidth="1"/>
    <col min="3049" max="3049" width="15.1640625" style="64" customWidth="1"/>
    <col min="3050" max="3108" width="13.6640625" style="64" customWidth="1"/>
    <col min="3109" max="3300" width="9.1640625" style="64"/>
    <col min="3301" max="3301" width="5.5" style="64" customWidth="1"/>
    <col min="3302" max="3302" width="56.5" style="64" customWidth="1"/>
    <col min="3303" max="3303" width="15.33203125" style="64" customWidth="1"/>
    <col min="3304" max="3304" width="15.83203125" style="64" customWidth="1"/>
    <col min="3305" max="3305" width="15.1640625" style="64" customWidth="1"/>
    <col min="3306" max="3364" width="13.6640625" style="64" customWidth="1"/>
    <col min="3365" max="3556" width="9.1640625" style="64"/>
    <col min="3557" max="3557" width="5.5" style="64" customWidth="1"/>
    <col min="3558" max="3558" width="56.5" style="64" customWidth="1"/>
    <col min="3559" max="3559" width="15.33203125" style="64" customWidth="1"/>
    <col min="3560" max="3560" width="15.83203125" style="64" customWidth="1"/>
    <col min="3561" max="3561" width="15.1640625" style="64" customWidth="1"/>
    <col min="3562" max="3620" width="13.6640625" style="64" customWidth="1"/>
    <col min="3621" max="3812" width="9.1640625" style="64"/>
    <col min="3813" max="3813" width="5.5" style="64" customWidth="1"/>
    <col min="3814" max="3814" width="56.5" style="64" customWidth="1"/>
    <col min="3815" max="3815" width="15.33203125" style="64" customWidth="1"/>
    <col min="3816" max="3816" width="15.83203125" style="64" customWidth="1"/>
    <col min="3817" max="3817" width="15.1640625" style="64" customWidth="1"/>
    <col min="3818" max="3876" width="13.6640625" style="64" customWidth="1"/>
    <col min="3877" max="4068" width="9.1640625" style="64"/>
    <col min="4069" max="4069" width="5.5" style="64" customWidth="1"/>
    <col min="4070" max="4070" width="56.5" style="64" customWidth="1"/>
    <col min="4071" max="4071" width="15.33203125" style="64" customWidth="1"/>
    <col min="4072" max="4072" width="15.83203125" style="64" customWidth="1"/>
    <col min="4073" max="4073" width="15.1640625" style="64" customWidth="1"/>
    <col min="4074" max="4132" width="13.6640625" style="64" customWidth="1"/>
    <col min="4133" max="4324" width="9.1640625" style="64"/>
    <col min="4325" max="4325" width="5.5" style="64" customWidth="1"/>
    <col min="4326" max="4326" width="56.5" style="64" customWidth="1"/>
    <col min="4327" max="4327" width="15.33203125" style="64" customWidth="1"/>
    <col min="4328" max="4328" width="15.83203125" style="64" customWidth="1"/>
    <col min="4329" max="4329" width="15.1640625" style="64" customWidth="1"/>
    <col min="4330" max="4388" width="13.6640625" style="64" customWidth="1"/>
    <col min="4389" max="4580" width="9.1640625" style="64"/>
    <col min="4581" max="4581" width="5.5" style="64" customWidth="1"/>
    <col min="4582" max="4582" width="56.5" style="64" customWidth="1"/>
    <col min="4583" max="4583" width="15.33203125" style="64" customWidth="1"/>
    <col min="4584" max="4584" width="15.83203125" style="64" customWidth="1"/>
    <col min="4585" max="4585" width="15.1640625" style="64" customWidth="1"/>
    <col min="4586" max="4644" width="13.6640625" style="64" customWidth="1"/>
    <col min="4645" max="4836" width="9.1640625" style="64"/>
    <col min="4837" max="4837" width="5.5" style="64" customWidth="1"/>
    <col min="4838" max="4838" width="56.5" style="64" customWidth="1"/>
    <col min="4839" max="4839" width="15.33203125" style="64" customWidth="1"/>
    <col min="4840" max="4840" width="15.83203125" style="64" customWidth="1"/>
    <col min="4841" max="4841" width="15.1640625" style="64" customWidth="1"/>
    <col min="4842" max="4900" width="13.6640625" style="64" customWidth="1"/>
    <col min="4901" max="5092" width="9.1640625" style="64"/>
    <col min="5093" max="5093" width="5.5" style="64" customWidth="1"/>
    <col min="5094" max="5094" width="56.5" style="64" customWidth="1"/>
    <col min="5095" max="5095" width="15.33203125" style="64" customWidth="1"/>
    <col min="5096" max="5096" width="15.83203125" style="64" customWidth="1"/>
    <col min="5097" max="5097" width="15.1640625" style="64" customWidth="1"/>
    <col min="5098" max="5156" width="13.6640625" style="64" customWidth="1"/>
    <col min="5157" max="5348" width="9.1640625" style="64"/>
    <col min="5349" max="5349" width="5.5" style="64" customWidth="1"/>
    <col min="5350" max="5350" width="56.5" style="64" customWidth="1"/>
    <col min="5351" max="5351" width="15.33203125" style="64" customWidth="1"/>
    <col min="5352" max="5352" width="15.83203125" style="64" customWidth="1"/>
    <col min="5353" max="5353" width="15.1640625" style="64" customWidth="1"/>
    <col min="5354" max="5412" width="13.6640625" style="64" customWidth="1"/>
    <col min="5413" max="5604" width="9.1640625" style="64"/>
    <col min="5605" max="5605" width="5.5" style="64" customWidth="1"/>
    <col min="5606" max="5606" width="56.5" style="64" customWidth="1"/>
    <col min="5607" max="5607" width="15.33203125" style="64" customWidth="1"/>
    <col min="5608" max="5608" width="15.83203125" style="64" customWidth="1"/>
    <col min="5609" max="5609" width="15.1640625" style="64" customWidth="1"/>
    <col min="5610" max="5668" width="13.6640625" style="64" customWidth="1"/>
    <col min="5669" max="5860" width="9.1640625" style="64"/>
    <col min="5861" max="5861" width="5.5" style="64" customWidth="1"/>
    <col min="5862" max="5862" width="56.5" style="64" customWidth="1"/>
    <col min="5863" max="5863" width="15.33203125" style="64" customWidth="1"/>
    <col min="5864" max="5864" width="15.83203125" style="64" customWidth="1"/>
    <col min="5865" max="5865" width="15.1640625" style="64" customWidth="1"/>
    <col min="5866" max="5924" width="13.6640625" style="64" customWidth="1"/>
    <col min="5925" max="6116" width="9.1640625" style="64"/>
    <col min="6117" max="6117" width="5.5" style="64" customWidth="1"/>
    <col min="6118" max="6118" width="56.5" style="64" customWidth="1"/>
    <col min="6119" max="6119" width="15.33203125" style="64" customWidth="1"/>
    <col min="6120" max="6120" width="15.83203125" style="64" customWidth="1"/>
    <col min="6121" max="6121" width="15.1640625" style="64" customWidth="1"/>
    <col min="6122" max="6180" width="13.6640625" style="64" customWidth="1"/>
    <col min="6181" max="6372" width="9.1640625" style="64"/>
    <col min="6373" max="6373" width="5.5" style="64" customWidth="1"/>
    <col min="6374" max="6374" width="56.5" style="64" customWidth="1"/>
    <col min="6375" max="6375" width="15.33203125" style="64" customWidth="1"/>
    <col min="6376" max="6376" width="15.83203125" style="64" customWidth="1"/>
    <col min="6377" max="6377" width="15.1640625" style="64" customWidth="1"/>
    <col min="6378" max="6436" width="13.6640625" style="64" customWidth="1"/>
    <col min="6437" max="6628" width="9.1640625" style="64"/>
    <col min="6629" max="6629" width="5.5" style="64" customWidth="1"/>
    <col min="6630" max="6630" width="56.5" style="64" customWidth="1"/>
    <col min="6631" max="6631" width="15.33203125" style="64" customWidth="1"/>
    <col min="6632" max="6632" width="15.83203125" style="64" customWidth="1"/>
    <col min="6633" max="6633" width="15.1640625" style="64" customWidth="1"/>
    <col min="6634" max="6692" width="13.6640625" style="64" customWidth="1"/>
    <col min="6693" max="6884" width="9.1640625" style="64"/>
    <col min="6885" max="6885" width="5.5" style="64" customWidth="1"/>
    <col min="6886" max="6886" width="56.5" style="64" customWidth="1"/>
    <col min="6887" max="6887" width="15.33203125" style="64" customWidth="1"/>
    <col min="6888" max="6888" width="15.83203125" style="64" customWidth="1"/>
    <col min="6889" max="6889" width="15.1640625" style="64" customWidth="1"/>
    <col min="6890" max="6948" width="13.6640625" style="64" customWidth="1"/>
    <col min="6949" max="7140" width="9.1640625" style="64"/>
    <col min="7141" max="7141" width="5.5" style="64" customWidth="1"/>
    <col min="7142" max="7142" width="56.5" style="64" customWidth="1"/>
    <col min="7143" max="7143" width="15.33203125" style="64" customWidth="1"/>
    <col min="7144" max="7144" width="15.83203125" style="64" customWidth="1"/>
    <col min="7145" max="7145" width="15.1640625" style="64" customWidth="1"/>
    <col min="7146" max="7204" width="13.6640625" style="64" customWidth="1"/>
    <col min="7205" max="7396" width="9.1640625" style="64"/>
    <col min="7397" max="7397" width="5.5" style="64" customWidth="1"/>
    <col min="7398" max="7398" width="56.5" style="64" customWidth="1"/>
    <col min="7399" max="7399" width="15.33203125" style="64" customWidth="1"/>
    <col min="7400" max="7400" width="15.83203125" style="64" customWidth="1"/>
    <col min="7401" max="7401" width="15.1640625" style="64" customWidth="1"/>
    <col min="7402" max="7460" width="13.6640625" style="64" customWidth="1"/>
    <col min="7461" max="7652" width="9.1640625" style="64"/>
    <col min="7653" max="7653" width="5.5" style="64" customWidth="1"/>
    <col min="7654" max="7654" width="56.5" style="64" customWidth="1"/>
    <col min="7655" max="7655" width="15.33203125" style="64" customWidth="1"/>
    <col min="7656" max="7656" width="15.83203125" style="64" customWidth="1"/>
    <col min="7657" max="7657" width="15.1640625" style="64" customWidth="1"/>
    <col min="7658" max="7716" width="13.6640625" style="64" customWidth="1"/>
    <col min="7717" max="7908" width="9.1640625" style="64"/>
    <col min="7909" max="7909" width="5.5" style="64" customWidth="1"/>
    <col min="7910" max="7910" width="56.5" style="64" customWidth="1"/>
    <col min="7911" max="7911" width="15.33203125" style="64" customWidth="1"/>
    <col min="7912" max="7912" width="15.83203125" style="64" customWidth="1"/>
    <col min="7913" max="7913" width="15.1640625" style="64" customWidth="1"/>
    <col min="7914" max="7972" width="13.6640625" style="64" customWidth="1"/>
    <col min="7973" max="8164" width="9.1640625" style="64"/>
    <col min="8165" max="8165" width="5.5" style="64" customWidth="1"/>
    <col min="8166" max="8166" width="56.5" style="64" customWidth="1"/>
    <col min="8167" max="8167" width="15.33203125" style="64" customWidth="1"/>
    <col min="8168" max="8168" width="15.83203125" style="64" customWidth="1"/>
    <col min="8169" max="8169" width="15.1640625" style="64" customWidth="1"/>
    <col min="8170" max="8228" width="13.6640625" style="64" customWidth="1"/>
    <col min="8229" max="8420" width="9.1640625" style="64"/>
    <col min="8421" max="8421" width="5.5" style="64" customWidth="1"/>
    <col min="8422" max="8422" width="56.5" style="64" customWidth="1"/>
    <col min="8423" max="8423" width="15.33203125" style="64" customWidth="1"/>
    <col min="8424" max="8424" width="15.83203125" style="64" customWidth="1"/>
    <col min="8425" max="8425" width="15.1640625" style="64" customWidth="1"/>
    <col min="8426" max="8484" width="13.6640625" style="64" customWidth="1"/>
    <col min="8485" max="8676" width="9.1640625" style="64"/>
    <col min="8677" max="8677" width="5.5" style="64" customWidth="1"/>
    <col min="8678" max="8678" width="56.5" style="64" customWidth="1"/>
    <col min="8679" max="8679" width="15.33203125" style="64" customWidth="1"/>
    <col min="8680" max="8680" width="15.83203125" style="64" customWidth="1"/>
    <col min="8681" max="8681" width="15.1640625" style="64" customWidth="1"/>
    <col min="8682" max="8740" width="13.6640625" style="64" customWidth="1"/>
    <col min="8741" max="8932" width="9.1640625" style="64"/>
    <col min="8933" max="8933" width="5.5" style="64" customWidth="1"/>
    <col min="8934" max="8934" width="56.5" style="64" customWidth="1"/>
    <col min="8935" max="8935" width="15.33203125" style="64" customWidth="1"/>
    <col min="8936" max="8936" width="15.83203125" style="64" customWidth="1"/>
    <col min="8937" max="8937" width="15.1640625" style="64" customWidth="1"/>
    <col min="8938" max="8996" width="13.6640625" style="64" customWidth="1"/>
    <col min="8997" max="9188" width="9.1640625" style="64"/>
    <col min="9189" max="9189" width="5.5" style="64" customWidth="1"/>
    <col min="9190" max="9190" width="56.5" style="64" customWidth="1"/>
    <col min="9191" max="9191" width="15.33203125" style="64" customWidth="1"/>
    <col min="9192" max="9192" width="15.83203125" style="64" customWidth="1"/>
    <col min="9193" max="9193" width="15.1640625" style="64" customWidth="1"/>
    <col min="9194" max="9252" width="13.6640625" style="64" customWidth="1"/>
    <col min="9253" max="9444" width="9.1640625" style="64"/>
    <col min="9445" max="9445" width="5.5" style="64" customWidth="1"/>
    <col min="9446" max="9446" width="56.5" style="64" customWidth="1"/>
    <col min="9447" max="9447" width="15.33203125" style="64" customWidth="1"/>
    <col min="9448" max="9448" width="15.83203125" style="64" customWidth="1"/>
    <col min="9449" max="9449" width="15.1640625" style="64" customWidth="1"/>
    <col min="9450" max="9508" width="13.6640625" style="64" customWidth="1"/>
    <col min="9509" max="9700" width="9.1640625" style="64"/>
    <col min="9701" max="9701" width="5.5" style="64" customWidth="1"/>
    <col min="9702" max="9702" width="56.5" style="64" customWidth="1"/>
    <col min="9703" max="9703" width="15.33203125" style="64" customWidth="1"/>
    <col min="9704" max="9704" width="15.83203125" style="64" customWidth="1"/>
    <col min="9705" max="9705" width="15.1640625" style="64" customWidth="1"/>
    <col min="9706" max="9764" width="13.6640625" style="64" customWidth="1"/>
    <col min="9765" max="9956" width="9.1640625" style="64"/>
    <col min="9957" max="9957" width="5.5" style="64" customWidth="1"/>
    <col min="9958" max="9958" width="56.5" style="64" customWidth="1"/>
    <col min="9959" max="9959" width="15.33203125" style="64" customWidth="1"/>
    <col min="9960" max="9960" width="15.83203125" style="64" customWidth="1"/>
    <col min="9961" max="9961" width="15.1640625" style="64" customWidth="1"/>
    <col min="9962" max="10020" width="13.6640625" style="64" customWidth="1"/>
    <col min="10021" max="10212" width="9.1640625" style="64"/>
    <col min="10213" max="10213" width="5.5" style="64" customWidth="1"/>
    <col min="10214" max="10214" width="56.5" style="64" customWidth="1"/>
    <col min="10215" max="10215" width="15.33203125" style="64" customWidth="1"/>
    <col min="10216" max="10216" width="15.83203125" style="64" customWidth="1"/>
    <col min="10217" max="10217" width="15.1640625" style="64" customWidth="1"/>
    <col min="10218" max="10276" width="13.6640625" style="64" customWidth="1"/>
    <col min="10277" max="10468" width="9.1640625" style="64"/>
    <col min="10469" max="10469" width="5.5" style="64" customWidth="1"/>
    <col min="10470" max="10470" width="56.5" style="64" customWidth="1"/>
    <col min="10471" max="10471" width="15.33203125" style="64" customWidth="1"/>
    <col min="10472" max="10472" width="15.83203125" style="64" customWidth="1"/>
    <col min="10473" max="10473" width="15.1640625" style="64" customWidth="1"/>
    <col min="10474" max="10532" width="13.6640625" style="64" customWidth="1"/>
    <col min="10533" max="10724" width="9.1640625" style="64"/>
    <col min="10725" max="10725" width="5.5" style="64" customWidth="1"/>
    <col min="10726" max="10726" width="56.5" style="64" customWidth="1"/>
    <col min="10727" max="10727" width="15.33203125" style="64" customWidth="1"/>
    <col min="10728" max="10728" width="15.83203125" style="64" customWidth="1"/>
    <col min="10729" max="10729" width="15.1640625" style="64" customWidth="1"/>
    <col min="10730" max="10788" width="13.6640625" style="64" customWidth="1"/>
    <col min="10789" max="10980" width="9.1640625" style="64"/>
    <col min="10981" max="10981" width="5.5" style="64" customWidth="1"/>
    <col min="10982" max="10982" width="56.5" style="64" customWidth="1"/>
    <col min="10983" max="10983" width="15.33203125" style="64" customWidth="1"/>
    <col min="10984" max="10984" width="15.83203125" style="64" customWidth="1"/>
    <col min="10985" max="10985" width="15.1640625" style="64" customWidth="1"/>
    <col min="10986" max="11044" width="13.6640625" style="64" customWidth="1"/>
    <col min="11045" max="11236" width="9.1640625" style="64"/>
    <col min="11237" max="11237" width="5.5" style="64" customWidth="1"/>
    <col min="11238" max="11238" width="56.5" style="64" customWidth="1"/>
    <col min="11239" max="11239" width="15.33203125" style="64" customWidth="1"/>
    <col min="11240" max="11240" width="15.83203125" style="64" customWidth="1"/>
    <col min="11241" max="11241" width="15.1640625" style="64" customWidth="1"/>
    <col min="11242" max="11300" width="13.6640625" style="64" customWidth="1"/>
    <col min="11301" max="11492" width="9.1640625" style="64"/>
    <col min="11493" max="11493" width="5.5" style="64" customWidth="1"/>
    <col min="11494" max="11494" width="56.5" style="64" customWidth="1"/>
    <col min="11495" max="11495" width="15.33203125" style="64" customWidth="1"/>
    <col min="11496" max="11496" width="15.83203125" style="64" customWidth="1"/>
    <col min="11497" max="11497" width="15.1640625" style="64" customWidth="1"/>
    <col min="11498" max="11556" width="13.6640625" style="64" customWidth="1"/>
    <col min="11557" max="11748" width="9.1640625" style="64"/>
    <col min="11749" max="11749" width="5.5" style="64" customWidth="1"/>
    <col min="11750" max="11750" width="56.5" style="64" customWidth="1"/>
    <col min="11751" max="11751" width="15.33203125" style="64" customWidth="1"/>
    <col min="11752" max="11752" width="15.83203125" style="64" customWidth="1"/>
    <col min="11753" max="11753" width="15.1640625" style="64" customWidth="1"/>
    <col min="11754" max="11812" width="13.6640625" style="64" customWidth="1"/>
    <col min="11813" max="12004" width="9.1640625" style="64"/>
    <col min="12005" max="12005" width="5.5" style="64" customWidth="1"/>
    <col min="12006" max="12006" width="56.5" style="64" customWidth="1"/>
    <col min="12007" max="12007" width="15.33203125" style="64" customWidth="1"/>
    <col min="12008" max="12008" width="15.83203125" style="64" customWidth="1"/>
    <col min="12009" max="12009" width="15.1640625" style="64" customWidth="1"/>
    <col min="12010" max="12068" width="13.6640625" style="64" customWidth="1"/>
    <col min="12069" max="12260" width="9.1640625" style="64"/>
    <col min="12261" max="12261" width="5.5" style="64" customWidth="1"/>
    <col min="12262" max="12262" width="56.5" style="64" customWidth="1"/>
    <col min="12263" max="12263" width="15.33203125" style="64" customWidth="1"/>
    <col min="12264" max="12264" width="15.83203125" style="64" customWidth="1"/>
    <col min="12265" max="12265" width="15.1640625" style="64" customWidth="1"/>
    <col min="12266" max="12324" width="13.6640625" style="64" customWidth="1"/>
    <col min="12325" max="12516" width="9.1640625" style="64"/>
    <col min="12517" max="12517" width="5.5" style="64" customWidth="1"/>
    <col min="12518" max="12518" width="56.5" style="64" customWidth="1"/>
    <col min="12519" max="12519" width="15.33203125" style="64" customWidth="1"/>
    <col min="12520" max="12520" width="15.83203125" style="64" customWidth="1"/>
    <col min="12521" max="12521" width="15.1640625" style="64" customWidth="1"/>
    <col min="12522" max="12580" width="13.6640625" style="64" customWidth="1"/>
    <col min="12581" max="12772" width="9.1640625" style="64"/>
    <col min="12773" max="12773" width="5.5" style="64" customWidth="1"/>
    <col min="12774" max="12774" width="56.5" style="64" customWidth="1"/>
    <col min="12775" max="12775" width="15.33203125" style="64" customWidth="1"/>
    <col min="12776" max="12776" width="15.83203125" style="64" customWidth="1"/>
    <col min="12777" max="12777" width="15.1640625" style="64" customWidth="1"/>
    <col min="12778" max="12836" width="13.6640625" style="64" customWidth="1"/>
    <col min="12837" max="13028" width="9.1640625" style="64"/>
    <col min="13029" max="13029" width="5.5" style="64" customWidth="1"/>
    <col min="13030" max="13030" width="56.5" style="64" customWidth="1"/>
    <col min="13031" max="13031" width="15.33203125" style="64" customWidth="1"/>
    <col min="13032" max="13032" width="15.83203125" style="64" customWidth="1"/>
    <col min="13033" max="13033" width="15.1640625" style="64" customWidth="1"/>
    <col min="13034" max="13092" width="13.6640625" style="64" customWidth="1"/>
    <col min="13093" max="13284" width="9.1640625" style="64"/>
    <col min="13285" max="13285" width="5.5" style="64" customWidth="1"/>
    <col min="13286" max="13286" width="56.5" style="64" customWidth="1"/>
    <col min="13287" max="13287" width="15.33203125" style="64" customWidth="1"/>
    <col min="13288" max="13288" width="15.83203125" style="64" customWidth="1"/>
    <col min="13289" max="13289" width="15.1640625" style="64" customWidth="1"/>
    <col min="13290" max="13348" width="13.6640625" style="64" customWidth="1"/>
    <col min="13349" max="13540" width="9.1640625" style="64"/>
    <col min="13541" max="13541" width="5.5" style="64" customWidth="1"/>
    <col min="13542" max="13542" width="56.5" style="64" customWidth="1"/>
    <col min="13543" max="13543" width="15.33203125" style="64" customWidth="1"/>
    <col min="13544" max="13544" width="15.83203125" style="64" customWidth="1"/>
    <col min="13545" max="13545" width="15.1640625" style="64" customWidth="1"/>
    <col min="13546" max="13604" width="13.6640625" style="64" customWidth="1"/>
    <col min="13605" max="13796" width="9.1640625" style="64"/>
    <col min="13797" max="13797" width="5.5" style="64" customWidth="1"/>
    <col min="13798" max="13798" width="56.5" style="64" customWidth="1"/>
    <col min="13799" max="13799" width="15.33203125" style="64" customWidth="1"/>
    <col min="13800" max="13800" width="15.83203125" style="64" customWidth="1"/>
    <col min="13801" max="13801" width="15.1640625" style="64" customWidth="1"/>
    <col min="13802" max="13860" width="13.6640625" style="64" customWidth="1"/>
    <col min="13861" max="14052" width="9.1640625" style="64"/>
    <col min="14053" max="14053" width="5.5" style="64" customWidth="1"/>
    <col min="14054" max="14054" width="56.5" style="64" customWidth="1"/>
    <col min="14055" max="14055" width="15.33203125" style="64" customWidth="1"/>
    <col min="14056" max="14056" width="15.83203125" style="64" customWidth="1"/>
    <col min="14057" max="14057" width="15.1640625" style="64" customWidth="1"/>
    <col min="14058" max="14116" width="13.6640625" style="64" customWidth="1"/>
    <col min="14117" max="14308" width="9.1640625" style="64"/>
    <col min="14309" max="14309" width="5.5" style="64" customWidth="1"/>
    <col min="14310" max="14310" width="56.5" style="64" customWidth="1"/>
    <col min="14311" max="14311" width="15.33203125" style="64" customWidth="1"/>
    <col min="14312" max="14312" width="15.83203125" style="64" customWidth="1"/>
    <col min="14313" max="14313" width="15.1640625" style="64" customWidth="1"/>
    <col min="14314" max="14372" width="13.6640625" style="64" customWidth="1"/>
    <col min="14373" max="14564" width="9.1640625" style="64"/>
    <col min="14565" max="14565" width="5.5" style="64" customWidth="1"/>
    <col min="14566" max="14566" width="56.5" style="64" customWidth="1"/>
    <col min="14567" max="14567" width="15.33203125" style="64" customWidth="1"/>
    <col min="14568" max="14568" width="15.83203125" style="64" customWidth="1"/>
    <col min="14569" max="14569" width="15.1640625" style="64" customWidth="1"/>
    <col min="14570" max="14628" width="13.6640625" style="64" customWidth="1"/>
    <col min="14629" max="14820" width="9.1640625" style="64"/>
    <col min="14821" max="14821" width="5.5" style="64" customWidth="1"/>
    <col min="14822" max="14822" width="56.5" style="64" customWidth="1"/>
    <col min="14823" max="14823" width="15.33203125" style="64" customWidth="1"/>
    <col min="14824" max="14824" width="15.83203125" style="64" customWidth="1"/>
    <col min="14825" max="14825" width="15.1640625" style="64" customWidth="1"/>
    <col min="14826" max="14884" width="13.6640625" style="64" customWidth="1"/>
    <col min="14885" max="15076" width="9.1640625" style="64"/>
    <col min="15077" max="15077" width="5.5" style="64" customWidth="1"/>
    <col min="15078" max="15078" width="56.5" style="64" customWidth="1"/>
    <col min="15079" max="15079" width="15.33203125" style="64" customWidth="1"/>
    <col min="15080" max="15080" width="15.83203125" style="64" customWidth="1"/>
    <col min="15081" max="15081" width="15.1640625" style="64" customWidth="1"/>
    <col min="15082" max="15140" width="13.6640625" style="64" customWidth="1"/>
    <col min="15141" max="15332" width="9.1640625" style="64"/>
    <col min="15333" max="15333" width="5.5" style="64" customWidth="1"/>
    <col min="15334" max="15334" width="56.5" style="64" customWidth="1"/>
    <col min="15335" max="15335" width="15.33203125" style="64" customWidth="1"/>
    <col min="15336" max="15336" width="15.83203125" style="64" customWidth="1"/>
    <col min="15337" max="15337" width="15.1640625" style="64" customWidth="1"/>
    <col min="15338" max="15396" width="13.6640625" style="64" customWidth="1"/>
    <col min="15397" max="15588" width="9.1640625" style="64"/>
    <col min="15589" max="15589" width="5.5" style="64" customWidth="1"/>
    <col min="15590" max="15590" width="56.5" style="64" customWidth="1"/>
    <col min="15591" max="15591" width="15.33203125" style="64" customWidth="1"/>
    <col min="15592" max="15592" width="15.83203125" style="64" customWidth="1"/>
    <col min="15593" max="15593" width="15.1640625" style="64" customWidth="1"/>
    <col min="15594" max="15652" width="13.6640625" style="64" customWidth="1"/>
    <col min="15653" max="15844" width="9.1640625" style="64"/>
    <col min="15845" max="15845" width="5.5" style="64" customWidth="1"/>
    <col min="15846" max="15846" width="56.5" style="64" customWidth="1"/>
    <col min="15847" max="15847" width="15.33203125" style="64" customWidth="1"/>
    <col min="15848" max="15848" width="15.83203125" style="64" customWidth="1"/>
    <col min="15849" max="15849" width="15.1640625" style="64" customWidth="1"/>
    <col min="15850" max="15908" width="13.6640625" style="64" customWidth="1"/>
    <col min="15909" max="16100" width="9.1640625" style="64"/>
    <col min="16101" max="16101" width="5.5" style="64" customWidth="1"/>
    <col min="16102" max="16102" width="56.5" style="64" customWidth="1"/>
    <col min="16103" max="16103" width="15.33203125" style="64" customWidth="1"/>
    <col min="16104" max="16104" width="15.83203125" style="64" customWidth="1"/>
    <col min="16105" max="16105" width="15.1640625" style="64" customWidth="1"/>
    <col min="16106" max="16164" width="13.6640625" style="64" customWidth="1"/>
    <col min="16165" max="16384" width="9.1640625" style="64"/>
  </cols>
  <sheetData>
    <row r="1" spans="2:36" ht="16">
      <c r="F1" s="30" t="s">
        <v>66</v>
      </c>
    </row>
    <row r="2" spans="2:36" s="29" customFormat="1" ht="16">
      <c r="B2" s="31" t="s">
        <v>125</v>
      </c>
      <c r="C2" s="31"/>
      <c r="D2" s="31"/>
      <c r="E2" s="253" t="s">
        <v>61</v>
      </c>
      <c r="F2" s="32">
        <v>0</v>
      </c>
      <c r="G2" s="32">
        <v>1</v>
      </c>
      <c r="H2" s="32">
        <v>2</v>
      </c>
      <c r="I2" s="32">
        <v>3</v>
      </c>
      <c r="J2" s="32">
        <v>4</v>
      </c>
      <c r="K2" s="32">
        <v>5</v>
      </c>
      <c r="L2" s="32">
        <v>6</v>
      </c>
      <c r="M2" s="32">
        <v>7</v>
      </c>
      <c r="N2" s="32">
        <v>8</v>
      </c>
      <c r="O2" s="32">
        <v>9</v>
      </c>
      <c r="P2" s="32">
        <v>10</v>
      </c>
      <c r="Q2" s="32">
        <v>11</v>
      </c>
      <c r="R2" s="32">
        <v>12</v>
      </c>
      <c r="S2" s="32">
        <v>13</v>
      </c>
      <c r="T2" s="32">
        <v>14</v>
      </c>
      <c r="U2" s="32">
        <v>15</v>
      </c>
      <c r="V2" s="32">
        <v>16</v>
      </c>
      <c r="W2" s="32">
        <v>17</v>
      </c>
      <c r="X2" s="32">
        <v>18</v>
      </c>
      <c r="Y2" s="32">
        <v>19</v>
      </c>
      <c r="Z2" s="32">
        <v>20</v>
      </c>
      <c r="AA2" s="32">
        <v>21</v>
      </c>
      <c r="AB2" s="32">
        <v>22</v>
      </c>
      <c r="AC2" s="32">
        <v>23</v>
      </c>
      <c r="AD2" s="32">
        <v>24</v>
      </c>
      <c r="AE2" s="32">
        <v>25</v>
      </c>
      <c r="AF2" s="32">
        <v>26</v>
      </c>
      <c r="AG2" s="32">
        <v>27</v>
      </c>
      <c r="AH2" s="32">
        <v>28</v>
      </c>
      <c r="AI2" s="32">
        <v>29</v>
      </c>
      <c r="AJ2" s="32">
        <v>30</v>
      </c>
    </row>
    <row r="3" spans="2:36" s="29" customFormat="1" ht="16"/>
    <row r="4" spans="2:36" s="29" customFormat="1" ht="16">
      <c r="B4" s="29" t="s">
        <v>67</v>
      </c>
      <c r="E4" s="79"/>
      <c r="G4" s="320">
        <v>1</v>
      </c>
      <c r="H4" s="33">
        <f>G4*(1-Inputs!$G$17)</f>
        <v>1</v>
      </c>
      <c r="I4" s="33">
        <f>H4*(1-Inputs!$G$17)</f>
        <v>1</v>
      </c>
      <c r="J4" s="33">
        <f>I4*(1-Inputs!$G$17)</f>
        <v>1</v>
      </c>
      <c r="K4" s="33">
        <f>J4*(1-Inputs!$G$17)</f>
        <v>1</v>
      </c>
      <c r="L4" s="33">
        <f>K4*(1-Inputs!$G$17)</f>
        <v>1</v>
      </c>
      <c r="M4" s="33">
        <f>L4*(1-Inputs!$G$17)</f>
        <v>1</v>
      </c>
      <c r="N4" s="33">
        <f>M4*(1-Inputs!$G$17)</f>
        <v>1</v>
      </c>
      <c r="O4" s="33">
        <f>N4*(1-Inputs!$G$17)</f>
        <v>1</v>
      </c>
      <c r="P4" s="33">
        <f>O4*(1-Inputs!$G$17)</f>
        <v>1</v>
      </c>
      <c r="Q4" s="33">
        <f>P4*(1-Inputs!$G$17)</f>
        <v>1</v>
      </c>
      <c r="R4" s="33">
        <f>Q4*(1-Inputs!$G$17)</f>
        <v>1</v>
      </c>
      <c r="S4" s="33">
        <f>R4*(1-Inputs!$G$17)</f>
        <v>1</v>
      </c>
      <c r="T4" s="33">
        <f>S4*(1-Inputs!$G$17)</f>
        <v>1</v>
      </c>
      <c r="U4" s="33">
        <f>T4*(1-Inputs!$G$17)</f>
        <v>1</v>
      </c>
      <c r="V4" s="33">
        <f>U4*(1-Inputs!$G$17)</f>
        <v>1</v>
      </c>
      <c r="W4" s="33">
        <f>V4*(1-Inputs!$G$17)</f>
        <v>1</v>
      </c>
      <c r="X4" s="33">
        <f>W4*(1-Inputs!$G$17)</f>
        <v>1</v>
      </c>
      <c r="Y4" s="33">
        <f>X4*(1-Inputs!$G$17)</f>
        <v>1</v>
      </c>
      <c r="Z4" s="33">
        <f>Y4*(1-Inputs!$G$17)</f>
        <v>1</v>
      </c>
      <c r="AA4" s="33">
        <f>Z4*(1-Inputs!$G$17)</f>
        <v>1</v>
      </c>
      <c r="AB4" s="33">
        <f>AA4*(1-Inputs!$G$17)</f>
        <v>1</v>
      </c>
      <c r="AC4" s="33">
        <f>AB4*(1-Inputs!$G$17)</f>
        <v>1</v>
      </c>
      <c r="AD4" s="33">
        <f>AC4*(1-Inputs!$G$17)</f>
        <v>1</v>
      </c>
      <c r="AE4" s="33">
        <f>AD4*(1-Inputs!$G$17)</f>
        <v>1</v>
      </c>
      <c r="AF4" s="33">
        <f>AE4*(1-Inputs!$G$17)</f>
        <v>1</v>
      </c>
      <c r="AG4" s="33">
        <f>AF4*(1-Inputs!$G$17)</f>
        <v>1</v>
      </c>
      <c r="AH4" s="33">
        <f>AG4*(1-Inputs!$G$17)</f>
        <v>1</v>
      </c>
      <c r="AI4" s="33">
        <f>AH4*(1-Inputs!$G$17)</f>
        <v>1</v>
      </c>
      <c r="AJ4" s="33">
        <f>AI4*(1-Inputs!$G$17)</f>
        <v>1</v>
      </c>
    </row>
    <row r="5" spans="2:36" s="29" customFormat="1" ht="16">
      <c r="B5" s="34" t="s">
        <v>477</v>
      </c>
      <c r="C5" s="34"/>
      <c r="D5" s="34"/>
      <c r="E5" s="79" t="s">
        <v>2</v>
      </c>
      <c r="G5" s="35">
        <f>Inputs!$G$16</f>
        <v>3626640</v>
      </c>
      <c r="H5" s="35">
        <f>IF(H$2&gt;Inputs!$G$18,0,Inputs!$G$16*H$4)</f>
        <v>3626640</v>
      </c>
      <c r="I5" s="35">
        <f>IF(I$2&gt;Inputs!$G$18,0,Inputs!$G$16*I$4)</f>
        <v>3626640</v>
      </c>
      <c r="J5" s="35">
        <f>IF(J$2&gt;Inputs!$G$18,0,Inputs!$G$16*J$4)</f>
        <v>3626640</v>
      </c>
      <c r="K5" s="35">
        <f>IF(K$2&gt;Inputs!$G$18,0,Inputs!$G$16*K$4)</f>
        <v>3626640</v>
      </c>
      <c r="L5" s="35">
        <f>IF(L$2&gt;Inputs!$G$18,0,Inputs!$G$16*L$4)</f>
        <v>3626640</v>
      </c>
      <c r="M5" s="35">
        <f>IF(M$2&gt;Inputs!$G$18,0,Inputs!$G$16*M$4)</f>
        <v>3626640</v>
      </c>
      <c r="N5" s="35">
        <f>IF(N$2&gt;Inputs!$G$18,0,Inputs!$G$16*N$4)</f>
        <v>3626640</v>
      </c>
      <c r="O5" s="35">
        <f>IF(O$2&gt;Inputs!$G$18,0,Inputs!$G$16*O$4)</f>
        <v>3626640</v>
      </c>
      <c r="P5" s="35">
        <f>IF(P$2&gt;Inputs!$G$18,0,Inputs!$G$16*P$4)</f>
        <v>3626640</v>
      </c>
      <c r="Q5" s="35">
        <f>IF(Q$2&gt;Inputs!$G$18,0,Inputs!$G$16*Q$4)</f>
        <v>3626640</v>
      </c>
      <c r="R5" s="35">
        <f>IF(R$2&gt;Inputs!$G$18,0,Inputs!$G$16*R$4)</f>
        <v>3626640</v>
      </c>
      <c r="S5" s="35">
        <f>IF(S$2&gt;Inputs!$G$18,0,Inputs!$G$16*S$4)</f>
        <v>3626640</v>
      </c>
      <c r="T5" s="35">
        <f>IF(T$2&gt;Inputs!$G$18,0,Inputs!$G$16*T$4)</f>
        <v>3626640</v>
      </c>
      <c r="U5" s="35">
        <f>IF(U$2&gt;Inputs!$G$18,0,Inputs!$G$16*U$4)</f>
        <v>3626640</v>
      </c>
      <c r="V5" s="35">
        <f>IF(V$2&gt;Inputs!$G$18,0,Inputs!$G$16*V$4)</f>
        <v>3626640</v>
      </c>
      <c r="W5" s="35">
        <f>IF(W$2&gt;Inputs!$G$18,0,Inputs!$G$16*W$4)</f>
        <v>3626640</v>
      </c>
      <c r="X5" s="35">
        <f>IF(X$2&gt;Inputs!$G$18,0,Inputs!$G$16*X$4)</f>
        <v>3626640</v>
      </c>
      <c r="Y5" s="35">
        <f>IF(Y$2&gt;Inputs!$G$18,0,Inputs!$G$16*Y$4)</f>
        <v>3626640</v>
      </c>
      <c r="Z5" s="35">
        <f>IF(Z$2&gt;Inputs!$G$18,0,Inputs!$G$16*Z$4)</f>
        <v>3626640</v>
      </c>
      <c r="AA5" s="35">
        <f>IF(AA$2&gt;Inputs!$G$18,0,Inputs!$G$16*AA$4)</f>
        <v>0</v>
      </c>
      <c r="AB5" s="35">
        <f>IF(AB$2&gt;Inputs!$G$18,0,Inputs!$G$16*AB$4)</f>
        <v>0</v>
      </c>
      <c r="AC5" s="35">
        <f>IF(AC$2&gt;Inputs!$G$18,0,Inputs!$G$16*AC$4)</f>
        <v>0</v>
      </c>
      <c r="AD5" s="35">
        <f>IF(AD$2&gt;Inputs!$G$18,0,Inputs!$G$16*AD$4)</f>
        <v>0</v>
      </c>
      <c r="AE5" s="35">
        <f>IF(AE$2&gt;Inputs!$G$18,0,Inputs!$G$16*AE$4)</f>
        <v>0</v>
      </c>
      <c r="AF5" s="35">
        <f>IF(AF$2&gt;Inputs!$G$18,0,Inputs!$G$16*AF$4)</f>
        <v>0</v>
      </c>
      <c r="AG5" s="35">
        <f>IF(AG$2&gt;Inputs!$G$18,0,Inputs!$G$16*AG$4)</f>
        <v>0</v>
      </c>
      <c r="AH5" s="35">
        <f>IF(AH$2&gt;Inputs!$G$18,0,Inputs!$G$16*AH$4)</f>
        <v>0</v>
      </c>
      <c r="AI5" s="35">
        <f>IF(AI$2&gt;Inputs!$G$18,0,Inputs!$G$16*AI$4)</f>
        <v>0</v>
      </c>
      <c r="AJ5" s="35">
        <f>IF(AJ$2&gt;Inputs!$G$18,0,Inputs!$G$16*AJ$4)</f>
        <v>0</v>
      </c>
    </row>
    <row r="6" spans="2:36" s="29" customFormat="1" ht="16">
      <c r="B6" s="34" t="s">
        <v>478</v>
      </c>
      <c r="C6" s="34"/>
      <c r="D6" s="34"/>
      <c r="E6" s="79" t="s">
        <v>479</v>
      </c>
      <c r="G6" s="35">
        <f>IF(G$2&gt;Inputs!$G$18,0,(G5*Inputs!$Q$17)/100000)</f>
        <v>195333.93894857142</v>
      </c>
      <c r="H6" s="35">
        <f>IF(H$2&gt;Inputs!$G$18,0,(H5*Inputs!$Q$17)/100000)</f>
        <v>195333.93894857142</v>
      </c>
      <c r="I6" s="35">
        <f>IF(I$2&gt;Inputs!$G$18,0,(I5*Inputs!$Q$17)/100000)</f>
        <v>195333.93894857142</v>
      </c>
      <c r="J6" s="35">
        <f>IF(J$2&gt;Inputs!$G$18,0,(J5*Inputs!$Q$17)/100000)</f>
        <v>195333.93894857142</v>
      </c>
      <c r="K6" s="35">
        <f>IF(K$2&gt;Inputs!$G$18,0,(K5*Inputs!$Q$17)/100000)</f>
        <v>195333.93894857142</v>
      </c>
      <c r="L6" s="35">
        <f>IF(L$2&gt;Inputs!$G$18,0,(L5*Inputs!$Q$17)/100000)</f>
        <v>195333.93894857142</v>
      </c>
      <c r="M6" s="35">
        <f>IF(M$2&gt;Inputs!$G$18,0,(M5*Inputs!$Q$17)/100000)</f>
        <v>195333.93894857142</v>
      </c>
      <c r="N6" s="35">
        <f>IF(N$2&gt;Inputs!$G$18,0,(N5*Inputs!$Q$17)/100000)</f>
        <v>195333.93894857142</v>
      </c>
      <c r="O6" s="35">
        <f>IF(O$2&gt;Inputs!$G$18,0,(O5*Inputs!$Q$17)/100000)</f>
        <v>195333.93894857142</v>
      </c>
      <c r="P6" s="35">
        <f>IF(P$2&gt;Inputs!$G$18,0,(P5*Inputs!$Q$17)/100000)</f>
        <v>195333.93894857142</v>
      </c>
      <c r="Q6" s="35">
        <f>IF(Q$2&gt;Inputs!$G$18,0,(Q5*Inputs!$Q$17)/100000)</f>
        <v>195333.93894857142</v>
      </c>
      <c r="R6" s="35">
        <f>IF(R$2&gt;Inputs!$G$18,0,(R5*Inputs!$Q$17)/100000)</f>
        <v>195333.93894857142</v>
      </c>
      <c r="S6" s="35">
        <f>IF(S$2&gt;Inputs!$G$18,0,(S5*Inputs!$Q$17)/100000)</f>
        <v>195333.93894857142</v>
      </c>
      <c r="T6" s="35">
        <f>IF(T$2&gt;Inputs!$G$18,0,(T5*Inputs!$Q$17)/100000)</f>
        <v>195333.93894857142</v>
      </c>
      <c r="U6" s="35">
        <f>IF(U$2&gt;Inputs!$G$18,0,(U5*Inputs!$Q$17)/100000)</f>
        <v>195333.93894857142</v>
      </c>
      <c r="V6" s="35">
        <f>IF(V$2&gt;Inputs!$G$18,0,(V5*Inputs!$Q$17)/100000)</f>
        <v>195333.93894857142</v>
      </c>
      <c r="W6" s="35">
        <f>IF(W$2&gt;Inputs!$G$18,0,(W5*Inputs!$Q$17)/100000)</f>
        <v>195333.93894857142</v>
      </c>
      <c r="X6" s="35">
        <f>IF(X$2&gt;Inputs!$G$18,0,(X5*Inputs!$Q$17)/100000)</f>
        <v>195333.93894857142</v>
      </c>
      <c r="Y6" s="35">
        <f>IF(Y$2&gt;Inputs!$G$18,0,(Y5*Inputs!$Q$17)/100000)</f>
        <v>195333.93894857142</v>
      </c>
      <c r="Z6" s="35">
        <f>IF(Z$2&gt;Inputs!$G$18,0,(Z5*Inputs!$Q$17)/100000)</f>
        <v>195333.93894857142</v>
      </c>
      <c r="AA6" s="35">
        <f>IF(AA$2&gt;Inputs!$G$18,0,(AA5*Inputs!$Q$17)/100000)</f>
        <v>0</v>
      </c>
      <c r="AB6" s="35">
        <f>IF(AB$2&gt;Inputs!$G$18,0,(AB5*Inputs!$Q$17)/100000)</f>
        <v>0</v>
      </c>
      <c r="AC6" s="35">
        <f>IF(AC$2&gt;Inputs!$G$18,0,(AC5*Inputs!$Q$17)/100000)</f>
        <v>0</v>
      </c>
      <c r="AD6" s="35">
        <f>IF(AD$2&gt;Inputs!$G$18,0,(AD5*Inputs!$Q$17)/100000)</f>
        <v>0</v>
      </c>
      <c r="AE6" s="35">
        <f>IF(AE$2&gt;Inputs!$G$18,0,(AE5*Inputs!$Q$17)/100000)</f>
        <v>0</v>
      </c>
      <c r="AF6" s="35">
        <f>IF(AF$2&gt;Inputs!$G$18,0,(AF5*Inputs!$Q$17)/100000)</f>
        <v>0</v>
      </c>
      <c r="AG6" s="35">
        <f>IF(AG$2&gt;Inputs!$G$18,0,(AG5*Inputs!$Q$17)/100000)</f>
        <v>0</v>
      </c>
      <c r="AH6" s="35">
        <f>IF(AH$2&gt;Inputs!$G$18,0,(AH5*Inputs!$Q$17)/100000)</f>
        <v>0</v>
      </c>
      <c r="AI6" s="35">
        <f>IF(AI$2&gt;Inputs!$G$18,0,(AI5*Inputs!$Q$17)/100000)</f>
        <v>0</v>
      </c>
      <c r="AJ6" s="35">
        <f>IF(AJ$2&gt;Inputs!$G$18,0,(AJ5*Inputs!$Q$17)/100000)</f>
        <v>0</v>
      </c>
    </row>
    <row r="7" spans="2:36" s="31" customFormat="1" ht="16">
      <c r="B7" s="31" t="s">
        <v>465</v>
      </c>
      <c r="E7" s="76"/>
      <c r="F7" s="747"/>
      <c r="G7" s="320">
        <v>1</v>
      </c>
      <c r="H7" s="753">
        <f>G7*(1+Inputs!$Q$14)</f>
        <v>1.01</v>
      </c>
      <c r="I7" s="753">
        <f>H7*(1+Inputs!$Q$14)</f>
        <v>1.0201</v>
      </c>
      <c r="J7" s="753">
        <f>I7*(1+Inputs!$Q$14)</f>
        <v>1.0303009999999999</v>
      </c>
      <c r="K7" s="753">
        <f>J7*(1+Inputs!$Q$14)</f>
        <v>1.04060401</v>
      </c>
      <c r="L7" s="753">
        <f>K7*(1+Inputs!$Q$14)</f>
        <v>1.0510100500999999</v>
      </c>
      <c r="M7" s="753">
        <f>L7*(1+Inputs!$Q$14)</f>
        <v>1.0615201506009999</v>
      </c>
      <c r="N7" s="753">
        <f>M7*(1+Inputs!$Q$14)</f>
        <v>1.0721353521070098</v>
      </c>
      <c r="O7" s="753">
        <f>N7*(1+Inputs!$Q$14)</f>
        <v>1.08285670562808</v>
      </c>
      <c r="P7" s="753">
        <f>O7*(1+Inputs!$Q$14)</f>
        <v>1.0936852726843609</v>
      </c>
      <c r="Q7" s="753">
        <f>P7*(1+Inputs!$Q$14)</f>
        <v>1.1046221254112045</v>
      </c>
      <c r="R7" s="753">
        <f>Q7*(1+Inputs!$Q$14)</f>
        <v>1.1156683466653166</v>
      </c>
      <c r="S7" s="753">
        <f>R7*(1+Inputs!$Q$14)</f>
        <v>1.1268250301319698</v>
      </c>
      <c r="T7" s="753">
        <f>S7*(1+Inputs!$Q$14)</f>
        <v>1.1380932804332895</v>
      </c>
      <c r="U7" s="753">
        <f>T7*(1+Inputs!$Q$14)</f>
        <v>1.1494742132376223</v>
      </c>
      <c r="V7" s="753">
        <f>U7*(1+Inputs!$Q$14)</f>
        <v>1.1609689553699987</v>
      </c>
      <c r="W7" s="753">
        <f>V7*(1+Inputs!$Q$14)</f>
        <v>1.1725786449236986</v>
      </c>
      <c r="X7" s="753">
        <f>W7*(1+Inputs!$Q$14)</f>
        <v>1.1843044313729356</v>
      </c>
      <c r="Y7" s="753">
        <f>X7*(1+Inputs!$Q$14)</f>
        <v>1.196147475686665</v>
      </c>
      <c r="Z7" s="753">
        <f>Y7*(1+Inputs!$Q$14)</f>
        <v>1.2081089504435316</v>
      </c>
      <c r="AA7" s="753">
        <f>Z7*(1+Inputs!$Q$14)</f>
        <v>1.220190039947967</v>
      </c>
      <c r="AB7" s="753">
        <f>AA7*(1+Inputs!$Q$14)</f>
        <v>1.2323919403474468</v>
      </c>
      <c r="AC7" s="753">
        <f>AB7*(1+Inputs!$Q$14)</f>
        <v>1.2447158597509214</v>
      </c>
      <c r="AD7" s="753">
        <f>AC7*(1+Inputs!$Q$14)</f>
        <v>1.2571630183484306</v>
      </c>
      <c r="AE7" s="753">
        <f>AD7*(1+Inputs!$Q$14)</f>
        <v>1.269734648531915</v>
      </c>
      <c r="AF7" s="753">
        <f>AE7*(1+Inputs!$Q$14)</f>
        <v>1.282431995017234</v>
      </c>
      <c r="AG7" s="753">
        <f>AF7*(1+Inputs!$Q$14)</f>
        <v>1.2952563149674063</v>
      </c>
      <c r="AH7" s="753">
        <f>AG7*(1+Inputs!$Q$14)</f>
        <v>1.3082088781170804</v>
      </c>
      <c r="AI7" s="753">
        <f>AH7*(1+Inputs!$Q$14)</f>
        <v>1.3212909668982513</v>
      </c>
      <c r="AJ7" s="753">
        <f>AI7*(1+Inputs!$Q$14)</f>
        <v>1.3345038765672339</v>
      </c>
    </row>
    <row r="8" spans="2:36" s="29" customFormat="1" ht="16">
      <c r="B8" s="29" t="s">
        <v>474</v>
      </c>
      <c r="C8" s="34"/>
      <c r="D8" s="34"/>
      <c r="G8" s="320">
        <v>1</v>
      </c>
      <c r="H8" s="753">
        <f>G8*(1+Inputs!$Q$19)</f>
        <v>1.02</v>
      </c>
      <c r="I8" s="753">
        <f>H8*(1+Inputs!$Q$19)</f>
        <v>1.0404</v>
      </c>
      <c r="J8" s="753">
        <f>I8*(1+Inputs!$Q$19)</f>
        <v>1.0612079999999999</v>
      </c>
      <c r="K8" s="753">
        <f>J8*(1+Inputs!$Q$19)</f>
        <v>1.08243216</v>
      </c>
      <c r="L8" s="753">
        <f>K8*(1+Inputs!$Q$19)</f>
        <v>1.1040808032</v>
      </c>
      <c r="M8" s="753">
        <f>L8*(1+Inputs!$Q$19)</f>
        <v>1.1261624192640001</v>
      </c>
      <c r="N8" s="753">
        <f>M8*(1+Inputs!$Q$19)</f>
        <v>1.14868566764928</v>
      </c>
      <c r="O8" s="753">
        <f>N8*(1+Inputs!$Q$19)</f>
        <v>1.1716593810022657</v>
      </c>
      <c r="P8" s="753">
        <f>O8*(1+Inputs!$Q$19)</f>
        <v>1.1950925686223111</v>
      </c>
      <c r="Q8" s="753">
        <f>P8*(1+Inputs!$Q$19)</f>
        <v>1.2189944199947573</v>
      </c>
      <c r="R8" s="753">
        <f>Q8*(1+Inputs!$Q$19)</f>
        <v>1.2433743083946525</v>
      </c>
      <c r="S8" s="753">
        <f>R8*(1+Inputs!$Q$19)</f>
        <v>1.2682417945625455</v>
      </c>
      <c r="T8" s="753">
        <f>S8*(1+Inputs!$Q$19)</f>
        <v>1.2936066304537963</v>
      </c>
      <c r="U8" s="753">
        <f>T8*(1+Inputs!$Q$19)</f>
        <v>1.3194787630628724</v>
      </c>
      <c r="V8" s="753">
        <f>U8*(1+Inputs!$Q$19)</f>
        <v>1.3458683383241299</v>
      </c>
      <c r="W8" s="753">
        <f>V8*(1+Inputs!$Q$19)</f>
        <v>1.3727857050906125</v>
      </c>
      <c r="X8" s="753">
        <f>W8*(1+Inputs!$Q$19)</f>
        <v>1.4002414191924248</v>
      </c>
      <c r="Y8" s="753">
        <f>X8*(1+Inputs!$Q$19)</f>
        <v>1.4282462475762734</v>
      </c>
      <c r="Z8" s="753">
        <f>Y8*(1+Inputs!$Q$19)</f>
        <v>1.4568111725277988</v>
      </c>
      <c r="AA8" s="753">
        <f>Z8*(1+Inputs!$Q$19)</f>
        <v>1.4859473959783549</v>
      </c>
      <c r="AB8" s="753">
        <f>AA8*(1+Inputs!$Q$19)</f>
        <v>1.5156663438979221</v>
      </c>
      <c r="AC8" s="753">
        <f>AB8*(1+Inputs!$Q$19)</f>
        <v>1.5459796707758806</v>
      </c>
      <c r="AD8" s="753">
        <f>AC8*(1+Inputs!$Q$19)</f>
        <v>1.5768992641913981</v>
      </c>
      <c r="AE8" s="753">
        <f>AD8*(1+Inputs!$Q$19)</f>
        <v>1.6084372494752261</v>
      </c>
      <c r="AF8" s="753">
        <f>AE8*(1+Inputs!$Q$19)</f>
        <v>1.6406059944647307</v>
      </c>
      <c r="AG8" s="753">
        <f>AF8*(1+Inputs!$Q$19)</f>
        <v>1.6734181143540252</v>
      </c>
      <c r="AH8" s="753">
        <f>AG8*(1+Inputs!$Q$19)</f>
        <v>1.7068864766411058</v>
      </c>
      <c r="AI8" s="753">
        <f>AH8*(1+Inputs!$Q$19)</f>
        <v>1.7410242061739281</v>
      </c>
      <c r="AJ8" s="753">
        <f>AI8*(1+Inputs!$Q$19)</f>
        <v>1.7758446902974065</v>
      </c>
    </row>
    <row r="9" spans="2:36" s="29" customFormat="1" ht="16">
      <c r="B9" s="34"/>
      <c r="C9" s="34"/>
      <c r="D9" s="34"/>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row>
    <row r="10" spans="2:36" s="29" customFormat="1" ht="16">
      <c r="B10" s="34" t="s">
        <v>102</v>
      </c>
      <c r="C10" s="34"/>
      <c r="D10" s="34"/>
      <c r="E10" s="79"/>
    </row>
    <row r="11" spans="2:36" s="29" customFormat="1" ht="16">
      <c r="B11" s="29" t="s">
        <v>104</v>
      </c>
      <c r="E11" s="79"/>
      <c r="G11" s="320">
        <v>1</v>
      </c>
      <c r="H11" s="33">
        <f>G11*(1+(Inputs!$Q$24*Inputs!$Q$23))</f>
        <v>1</v>
      </c>
      <c r="I11" s="33">
        <f>H11*(1+(Inputs!$Q$24*Inputs!$Q$23))</f>
        <v>1</v>
      </c>
      <c r="J11" s="33">
        <f>I11*(1+(Inputs!$Q$24*Inputs!$Q$23))</f>
        <v>1</v>
      </c>
      <c r="K11" s="33">
        <f>J11*(1+(Inputs!$Q$24*Inputs!$Q$23))</f>
        <v>1</v>
      </c>
      <c r="L11" s="33">
        <f>K11*(1+(Inputs!$Q$24*Inputs!$Q$23))</f>
        <v>1</v>
      </c>
      <c r="M11" s="33">
        <f>L11*(1+(Inputs!$Q$24*Inputs!$Q$23))</f>
        <v>1</v>
      </c>
      <c r="N11" s="33">
        <f>M11*(1+(Inputs!$Q$24*Inputs!$Q$23))</f>
        <v>1</v>
      </c>
      <c r="O11" s="33">
        <f>N11*(1+(Inputs!$Q$24*Inputs!$Q$23))</f>
        <v>1</v>
      </c>
      <c r="P11" s="33">
        <f>O11*(1+(Inputs!$Q$24*Inputs!$Q$23))</f>
        <v>1</v>
      </c>
      <c r="Q11" s="33">
        <f>P11*(1+(Inputs!$Q$24*Inputs!$Q$23))</f>
        <v>1</v>
      </c>
      <c r="R11" s="33">
        <f>Q11*(1+(Inputs!$Q$24*Inputs!$Q$23))</f>
        <v>1</v>
      </c>
      <c r="S11" s="33">
        <f>R11*(1+(Inputs!$Q$24*Inputs!$Q$23))</f>
        <v>1</v>
      </c>
      <c r="T11" s="33">
        <f>S11*(1+(Inputs!$Q$24*Inputs!$Q$23))</f>
        <v>1</v>
      </c>
      <c r="U11" s="33">
        <f>T11*(1+(Inputs!$Q$24*Inputs!$Q$23))</f>
        <v>1</v>
      </c>
      <c r="V11" s="33">
        <f>U11*(1+(Inputs!$Q$24*Inputs!$Q$23))</f>
        <v>1</v>
      </c>
      <c r="W11" s="33">
        <f>V11*(1+(Inputs!$Q$24*Inputs!$Q$23))</f>
        <v>1</v>
      </c>
      <c r="X11" s="33">
        <f>W11*(1+(Inputs!$Q$24*Inputs!$Q$23))</f>
        <v>1</v>
      </c>
      <c r="Y11" s="33">
        <f>X11*(1+(Inputs!$Q$24*Inputs!$Q$23))</f>
        <v>1</v>
      </c>
      <c r="Z11" s="33">
        <f>Y11*(1+(Inputs!$Q$24*Inputs!$Q$23))</f>
        <v>1</v>
      </c>
      <c r="AA11" s="33">
        <f>Z11*(1+(Inputs!$Q$24*Inputs!$Q$23))</f>
        <v>1</v>
      </c>
      <c r="AB11" s="33">
        <f>AA11*(1+(Inputs!$Q$24*Inputs!$Q$23))</f>
        <v>1</v>
      </c>
      <c r="AC11" s="33">
        <f>AB11*(1+(Inputs!$Q$24*Inputs!$Q$23))</f>
        <v>1</v>
      </c>
      <c r="AD11" s="33">
        <f>AC11*(1+(Inputs!$Q$24*Inputs!$Q$23))</f>
        <v>1</v>
      </c>
      <c r="AE11" s="33">
        <f>AD11*(1+(Inputs!$Q$24*Inputs!$Q$23))</f>
        <v>1</v>
      </c>
      <c r="AF11" s="33">
        <f>AE11*(1+(Inputs!$Q$24*Inputs!$Q$23))</f>
        <v>1</v>
      </c>
      <c r="AG11" s="33">
        <f>AF11*(1+(Inputs!$Q$24*Inputs!$Q$23))</f>
        <v>1</v>
      </c>
      <c r="AH11" s="33">
        <f>AG11*(1+(Inputs!$Q$24*Inputs!$Q$23))</f>
        <v>1</v>
      </c>
      <c r="AI11" s="33">
        <f>AH11*(1+(Inputs!$Q$24*Inputs!$Q$23))</f>
        <v>1</v>
      </c>
      <c r="AJ11" s="33">
        <f>AI11*(1+(Inputs!$Q$24*Inputs!$Q$23))</f>
        <v>1</v>
      </c>
    </row>
    <row r="12" spans="2:36" s="29" customFormat="1" ht="16">
      <c r="B12" s="29" t="s">
        <v>145</v>
      </c>
      <c r="E12" s="79"/>
      <c r="G12" s="320">
        <v>1</v>
      </c>
      <c r="H12" s="33">
        <f>G12*(1+Inputs!$Q$42)</f>
        <v>1.02</v>
      </c>
      <c r="I12" s="33">
        <f>H12*(1+Inputs!$Q$42)</f>
        <v>1.0404</v>
      </c>
      <c r="J12" s="33">
        <f>I12*(1+Inputs!$Q$42)</f>
        <v>1.0612079999999999</v>
      </c>
      <c r="K12" s="33">
        <f>J12*(1+Inputs!$Q$42)</f>
        <v>1.08243216</v>
      </c>
      <c r="L12" s="33">
        <f>K12*(1+Inputs!$Q$42)</f>
        <v>1.1040808032</v>
      </c>
      <c r="M12" s="33">
        <f>L12*(1+Inputs!$Q$42)</f>
        <v>1.1261624192640001</v>
      </c>
      <c r="N12" s="33">
        <f>M12*(1+Inputs!$Q$42)</f>
        <v>1.14868566764928</v>
      </c>
      <c r="O12" s="33">
        <f>N12*(1+Inputs!$Q$42)</f>
        <v>1.1716593810022657</v>
      </c>
      <c r="P12" s="33">
        <f>O12*(1+Inputs!$Q$42)</f>
        <v>1.1950925686223111</v>
      </c>
      <c r="Q12" s="33">
        <f>P12*(1+Inputs!$Q$42)</f>
        <v>1.2189944199947573</v>
      </c>
      <c r="R12" s="33">
        <f>Q12*(1+Inputs!$Q$42)</f>
        <v>1.2433743083946525</v>
      </c>
      <c r="S12" s="33">
        <f>R12*(1+Inputs!$Q$42)</f>
        <v>1.2682417945625455</v>
      </c>
      <c r="T12" s="33">
        <f>S12*(1+Inputs!$Q$42)</f>
        <v>1.2936066304537963</v>
      </c>
      <c r="U12" s="33">
        <f>T12*(1+Inputs!$Q$42)</f>
        <v>1.3194787630628724</v>
      </c>
      <c r="V12" s="33">
        <f>U12*(1+Inputs!$Q$42)</f>
        <v>1.3458683383241299</v>
      </c>
      <c r="W12" s="33">
        <f>V12*(1+Inputs!$Q$42)</f>
        <v>1.3727857050906125</v>
      </c>
      <c r="X12" s="33">
        <f>W12*(1+Inputs!$Q$42)</f>
        <v>1.4002414191924248</v>
      </c>
      <c r="Y12" s="33">
        <f>X12*(1+Inputs!$Q$42)</f>
        <v>1.4282462475762734</v>
      </c>
      <c r="Z12" s="33">
        <f>Y12*(1+Inputs!$Q$42)</f>
        <v>1.4568111725277988</v>
      </c>
      <c r="AA12" s="33">
        <f>Z12*(1+Inputs!$Q$42)</f>
        <v>1.4859473959783549</v>
      </c>
      <c r="AB12" s="33">
        <f>AA12*(1+Inputs!$Q$42)</f>
        <v>1.5156663438979221</v>
      </c>
      <c r="AC12" s="33">
        <f>AB12*(1+Inputs!$Q$42)</f>
        <v>1.5459796707758806</v>
      </c>
      <c r="AD12" s="33">
        <f>AC12*(1+Inputs!$Q$42)</f>
        <v>1.5768992641913981</v>
      </c>
      <c r="AE12" s="33">
        <f>AD12*(1+Inputs!$Q$42)</f>
        <v>1.6084372494752261</v>
      </c>
      <c r="AF12" s="33">
        <f>AE12*(1+Inputs!$Q$42)</f>
        <v>1.6406059944647307</v>
      </c>
      <c r="AG12" s="33">
        <f>AF12*(1+Inputs!$Q$42)</f>
        <v>1.6734181143540252</v>
      </c>
      <c r="AH12" s="33">
        <f>AG12*(1+Inputs!$Q$42)</f>
        <v>1.7068864766411058</v>
      </c>
      <c r="AI12" s="33">
        <f>AH12*(1+Inputs!$Q$42)</f>
        <v>1.7410242061739281</v>
      </c>
      <c r="AJ12" s="33">
        <f>AI12*(1+Inputs!$Q$42)</f>
        <v>1.7758446902974065</v>
      </c>
    </row>
    <row r="13" spans="2:36" s="29" customFormat="1" ht="16">
      <c r="B13" s="29" t="s">
        <v>146</v>
      </c>
      <c r="E13" s="79"/>
      <c r="G13" s="320">
        <v>1</v>
      </c>
      <c r="H13" s="33">
        <f>G13*(1+Inputs!$Q$58)</f>
        <v>1.02</v>
      </c>
      <c r="I13" s="33">
        <f>H13*(1+Inputs!$Q$58)</f>
        <v>1.0404</v>
      </c>
      <c r="J13" s="33">
        <f>I13*(1+Inputs!$Q$58)</f>
        <v>1.0612079999999999</v>
      </c>
      <c r="K13" s="33">
        <f>J13*(1+Inputs!$Q$58)</f>
        <v>1.08243216</v>
      </c>
      <c r="L13" s="33">
        <f>K13*(1+Inputs!$Q$58)</f>
        <v>1.1040808032</v>
      </c>
      <c r="M13" s="33">
        <f>L13*(1+Inputs!$Q$58)</f>
        <v>1.1261624192640001</v>
      </c>
      <c r="N13" s="33">
        <f>M13*(1+Inputs!$Q$58)</f>
        <v>1.14868566764928</v>
      </c>
      <c r="O13" s="33">
        <f>N13*(1+Inputs!$Q$58)</f>
        <v>1.1716593810022657</v>
      </c>
      <c r="P13" s="33">
        <f>O13*(1+Inputs!$Q$58)</f>
        <v>1.1950925686223111</v>
      </c>
      <c r="Q13" s="33">
        <f>P13*(1+Inputs!$Q$58)</f>
        <v>1.2189944199947573</v>
      </c>
      <c r="R13" s="33">
        <f>Q13*(1+Inputs!$Q$58)</f>
        <v>1.2433743083946525</v>
      </c>
      <c r="S13" s="33">
        <f>R13*(1+Inputs!$Q$58)</f>
        <v>1.2682417945625455</v>
      </c>
      <c r="T13" s="33">
        <f>S13*(1+Inputs!$Q$58)</f>
        <v>1.2936066304537963</v>
      </c>
      <c r="U13" s="33">
        <f>T13*(1+Inputs!$Q$58)</f>
        <v>1.3194787630628724</v>
      </c>
      <c r="V13" s="33">
        <f>U13*(1+Inputs!$Q$58)</f>
        <v>1.3458683383241299</v>
      </c>
      <c r="W13" s="33">
        <f>V13*(1+Inputs!$Q$58)</f>
        <v>1.3727857050906125</v>
      </c>
      <c r="X13" s="33">
        <f>W13*(1+Inputs!$Q$58)</f>
        <v>1.4002414191924248</v>
      </c>
      <c r="Y13" s="33">
        <f>X13*(1+Inputs!$Q$58)</f>
        <v>1.4282462475762734</v>
      </c>
      <c r="Z13" s="33">
        <f>Y13*(1+Inputs!$Q$58)</f>
        <v>1.4568111725277988</v>
      </c>
      <c r="AA13" s="33">
        <f>Z13*(1+Inputs!$Q$58)</f>
        <v>1.4859473959783549</v>
      </c>
      <c r="AB13" s="33">
        <f>AA13*(1+Inputs!$Q$58)</f>
        <v>1.5156663438979221</v>
      </c>
      <c r="AC13" s="33">
        <f>AB13*(1+Inputs!$Q$58)</f>
        <v>1.5459796707758806</v>
      </c>
      <c r="AD13" s="33">
        <f>AC13*(1+Inputs!$Q$58)</f>
        <v>1.5768992641913981</v>
      </c>
      <c r="AE13" s="33">
        <f>AD13*(1+Inputs!$Q$58)</f>
        <v>1.6084372494752261</v>
      </c>
      <c r="AF13" s="33">
        <f>AE13*(1+Inputs!$Q$58)</f>
        <v>1.6406059944647307</v>
      </c>
      <c r="AG13" s="33">
        <f>AF13*(1+Inputs!$Q$58)</f>
        <v>1.6734181143540252</v>
      </c>
      <c r="AH13" s="33">
        <f>AG13*(1+Inputs!$Q$58)</f>
        <v>1.7068864766411058</v>
      </c>
      <c r="AI13" s="33">
        <f>AH13*(1+Inputs!$Q$58)</f>
        <v>1.7410242061739281</v>
      </c>
      <c r="AJ13" s="33">
        <f>AI13*(1+Inputs!$Q$58)</f>
        <v>1.7758446902974065</v>
      </c>
    </row>
    <row r="14" spans="2:36" s="29" customFormat="1" ht="16">
      <c r="E14" s="79"/>
      <c r="F14" s="79"/>
      <c r="G14" s="88"/>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row>
    <row r="15" spans="2:36" s="29" customFormat="1" ht="16">
      <c r="B15" s="36" t="s">
        <v>257</v>
      </c>
      <c r="C15" s="36"/>
      <c r="D15" s="36"/>
      <c r="E15" s="79" t="s">
        <v>52</v>
      </c>
      <c r="F15" s="384">
        <f>1-F16</f>
        <v>1</v>
      </c>
      <c r="G15" s="90">
        <f>$G$84*$F15</f>
        <v>11.349999999999998</v>
      </c>
      <c r="H15" s="90">
        <f>IF(H2&gt;Inputs!$Q$22,0,G15)</f>
        <v>11.349999999999998</v>
      </c>
      <c r="I15" s="90">
        <f>IF(I2&gt;Inputs!$Q$22,0,H15)</f>
        <v>11.349999999999998</v>
      </c>
      <c r="J15" s="90">
        <f>IF(J2&gt;Inputs!$Q$22,0,I15)</f>
        <v>11.349999999999998</v>
      </c>
      <c r="K15" s="90">
        <f>IF(K2&gt;Inputs!$Q$22,0,J15)</f>
        <v>11.349999999999998</v>
      </c>
      <c r="L15" s="90">
        <f>IF(L2&gt;Inputs!$Q$22,0,K15)</f>
        <v>11.349999999999998</v>
      </c>
      <c r="M15" s="90">
        <f>IF(M2&gt;Inputs!$Q$22,0,L15)</f>
        <v>11.349999999999998</v>
      </c>
      <c r="N15" s="90">
        <f>IF(N2&gt;Inputs!$Q$22,0,M15)</f>
        <v>11.349999999999998</v>
      </c>
      <c r="O15" s="90">
        <f>IF(O2&gt;Inputs!$Q$22,0,N15)</f>
        <v>11.349999999999998</v>
      </c>
      <c r="P15" s="90">
        <f>IF(P2&gt;Inputs!$Q$22,0,O15)</f>
        <v>11.349999999999998</v>
      </c>
      <c r="Q15" s="90">
        <f>IF(Q2&gt;Inputs!$Q$22,0,P15)</f>
        <v>11.349999999999998</v>
      </c>
      <c r="R15" s="90">
        <f>IF(R2&gt;Inputs!$Q$22,0,Q15)</f>
        <v>11.349999999999998</v>
      </c>
      <c r="S15" s="90">
        <f>IF(S2&gt;Inputs!$Q$22,0,R15)</f>
        <v>11.349999999999998</v>
      </c>
      <c r="T15" s="90">
        <f>IF(T2&gt;Inputs!$Q$22,0,S15)</f>
        <v>11.349999999999998</v>
      </c>
      <c r="U15" s="90">
        <f>IF(U2&gt;Inputs!$Q$22,0,T15)</f>
        <v>11.349999999999998</v>
      </c>
      <c r="V15" s="90">
        <f>IF(V2&gt;Inputs!$Q$22,0,U15)</f>
        <v>11.349999999999998</v>
      </c>
      <c r="W15" s="90">
        <f>IF(W2&gt;Inputs!$Q$22,0,V15)</f>
        <v>11.349999999999998</v>
      </c>
      <c r="X15" s="90">
        <f>IF(X2&gt;Inputs!$Q$22,0,W15)</f>
        <v>11.349999999999998</v>
      </c>
      <c r="Y15" s="90">
        <f>IF(Y2&gt;Inputs!$Q$22,0,X15)</f>
        <v>11.349999999999998</v>
      </c>
      <c r="Z15" s="90">
        <f>IF(Z2&gt;Inputs!$Q$22,0,Y15)</f>
        <v>11.349999999999998</v>
      </c>
      <c r="AA15" s="90">
        <f>IF(AA2&gt;Inputs!$Q$22,0,Z15)</f>
        <v>0</v>
      </c>
      <c r="AB15" s="90">
        <f>IF(AB2&gt;Inputs!$Q$22,0,AA15)</f>
        <v>0</v>
      </c>
      <c r="AC15" s="90">
        <f>IF(AC2&gt;Inputs!$Q$22,0,AB15)</f>
        <v>0</v>
      </c>
      <c r="AD15" s="90">
        <f>IF(AD2&gt;Inputs!$Q$22,0,AC15)</f>
        <v>0</v>
      </c>
      <c r="AE15" s="90">
        <f>IF(AE2&gt;Inputs!$Q$22,0,AD15)</f>
        <v>0</v>
      </c>
      <c r="AF15" s="90">
        <f>IF(AF2&gt;Inputs!$Q$22,0,AE15)</f>
        <v>0</v>
      </c>
      <c r="AG15" s="90">
        <f>IF(AG2&gt;Inputs!$Q$22,0,AF15)</f>
        <v>0</v>
      </c>
      <c r="AH15" s="90">
        <f>IF(AH2&gt;Inputs!$Q$22,0,AG15)</f>
        <v>0</v>
      </c>
      <c r="AI15" s="90">
        <f>IF(AI2&gt;Inputs!$Q$22,0,AH15)</f>
        <v>0</v>
      </c>
      <c r="AJ15" s="90">
        <f>IF(AJ2&gt;Inputs!$Q$22,0,AI15)</f>
        <v>0</v>
      </c>
    </row>
    <row r="16" spans="2:36" s="29" customFormat="1" ht="16">
      <c r="B16" s="385" t="s">
        <v>259</v>
      </c>
      <c r="C16" s="385"/>
      <c r="D16" s="385"/>
      <c r="E16" s="79" t="s">
        <v>52</v>
      </c>
      <c r="F16" s="383">
        <f>Inputs!Q23</f>
        <v>0</v>
      </c>
      <c r="G16" s="386">
        <f>$G$84*$F16</f>
        <v>0</v>
      </c>
      <c r="H16" s="386">
        <f>IF(H2&gt;Inputs!$Q$22,0,G16*(1+Inputs!$Q$24))</f>
        <v>0</v>
      </c>
      <c r="I16" s="386">
        <f>IF(I2&gt;Inputs!$Q$22,0,H16*(1+Inputs!$Q$24))</f>
        <v>0</v>
      </c>
      <c r="J16" s="386">
        <f>IF(J2&gt;Inputs!$Q$22,0,I16*(1+Inputs!$Q$24))</f>
        <v>0</v>
      </c>
      <c r="K16" s="386">
        <f>IF(K2&gt;Inputs!$Q$22,0,J16*(1+Inputs!$Q$24))</f>
        <v>0</v>
      </c>
      <c r="L16" s="386">
        <f>IF(L2&gt;Inputs!$Q$22,0,K16*(1+Inputs!$Q$24))</f>
        <v>0</v>
      </c>
      <c r="M16" s="386">
        <f>IF(M2&gt;Inputs!$Q$22,0,L16*(1+Inputs!$Q$24))</f>
        <v>0</v>
      </c>
      <c r="N16" s="386">
        <f>IF(N2&gt;Inputs!$Q$22,0,M16*(1+Inputs!$Q$24))</f>
        <v>0</v>
      </c>
      <c r="O16" s="386">
        <f>IF(O2&gt;Inputs!$Q$22,0,N16*(1+Inputs!$Q$24))</f>
        <v>0</v>
      </c>
      <c r="P16" s="386">
        <f>IF(P2&gt;Inputs!$Q$22,0,O16*(1+Inputs!$Q$24))</f>
        <v>0</v>
      </c>
      <c r="Q16" s="386">
        <f>IF(Q2&gt;Inputs!$Q$22,0,P16*(1+Inputs!$Q$24))</f>
        <v>0</v>
      </c>
      <c r="R16" s="386">
        <f>IF(R2&gt;Inputs!$Q$22,0,Q16*(1+Inputs!$Q$24))</f>
        <v>0</v>
      </c>
      <c r="S16" s="386">
        <f>IF(S2&gt;Inputs!$Q$22,0,R16*(1+Inputs!$Q$24))</f>
        <v>0</v>
      </c>
      <c r="T16" s="386">
        <f>IF(T2&gt;Inputs!$Q$22,0,S16*(1+Inputs!$Q$24))</f>
        <v>0</v>
      </c>
      <c r="U16" s="386">
        <f>IF(U2&gt;Inputs!$Q$22,0,T16*(1+Inputs!$Q$24))</f>
        <v>0</v>
      </c>
      <c r="V16" s="386">
        <f>IF(V2&gt;Inputs!$Q$22,0,U16*(1+Inputs!$Q$24))</f>
        <v>0</v>
      </c>
      <c r="W16" s="386">
        <f>IF(W2&gt;Inputs!$Q$22,0,V16*(1+Inputs!$Q$24))</f>
        <v>0</v>
      </c>
      <c r="X16" s="386">
        <f>IF(X2&gt;Inputs!$Q$22,0,W16*(1+Inputs!$Q$24))</f>
        <v>0</v>
      </c>
      <c r="Y16" s="386">
        <f>IF(Y2&gt;Inputs!$Q$22,0,X16*(1+Inputs!$Q$24))</f>
        <v>0</v>
      </c>
      <c r="Z16" s="386">
        <f>IF(Z2&gt;Inputs!$Q$22,0,Y16*(1+Inputs!$Q$24))</f>
        <v>0</v>
      </c>
      <c r="AA16" s="386">
        <f>IF(AA2&gt;Inputs!$Q$22,0,Z16*(1+Inputs!$Q$24))</f>
        <v>0</v>
      </c>
      <c r="AB16" s="386">
        <f>IF(AB2&gt;Inputs!$Q$22,0,AA16*(1+Inputs!$Q$24))</f>
        <v>0</v>
      </c>
      <c r="AC16" s="386">
        <f>IF(AC2&gt;Inputs!$Q$22,0,AB16*(1+Inputs!$Q$24))</f>
        <v>0</v>
      </c>
      <c r="AD16" s="386">
        <f>IF(AD2&gt;Inputs!$Q$22,0,AC16*(1+Inputs!$Q$24))</f>
        <v>0</v>
      </c>
      <c r="AE16" s="386">
        <f>IF(AE2&gt;Inputs!$Q$22,0,AD16*(1+Inputs!$Q$24))</f>
        <v>0</v>
      </c>
      <c r="AF16" s="386">
        <f>IF(AF2&gt;Inputs!$Q$22,0,AE16*(1+Inputs!$Q$24))</f>
        <v>0</v>
      </c>
      <c r="AG16" s="386">
        <f>IF(AG2&gt;Inputs!$Q$22,0,AF16*(1+Inputs!$Q$24))</f>
        <v>0</v>
      </c>
      <c r="AH16" s="386">
        <f>IF(AH2&gt;Inputs!$Q$22,0,AG16*(1+Inputs!$Q$24))</f>
        <v>0</v>
      </c>
      <c r="AI16" s="386">
        <f>IF(AI2&gt;Inputs!$Q$22,0,AH16*(1+Inputs!$Q$24))</f>
        <v>0</v>
      </c>
      <c r="AJ16" s="386">
        <f>IF(AJ2&gt;Inputs!$Q$22,0,AI16*(1+Inputs!$Q$24))</f>
        <v>0</v>
      </c>
    </row>
    <row r="17" spans="2:36" s="29" customFormat="1" ht="16">
      <c r="B17" s="36" t="s">
        <v>258</v>
      </c>
      <c r="C17" s="36"/>
      <c r="D17" s="36"/>
      <c r="E17" s="79" t="s">
        <v>52</v>
      </c>
      <c r="F17" s="92"/>
      <c r="G17" s="90">
        <f>SUM(G15:G16)</f>
        <v>11.349999999999998</v>
      </c>
      <c r="H17" s="90">
        <f t="shared" ref="H17:AJ17" si="0">SUM(H15:H16)</f>
        <v>11.349999999999998</v>
      </c>
      <c r="I17" s="90">
        <f t="shared" si="0"/>
        <v>11.349999999999998</v>
      </c>
      <c r="J17" s="90">
        <f t="shared" si="0"/>
        <v>11.349999999999998</v>
      </c>
      <c r="K17" s="90">
        <f t="shared" si="0"/>
        <v>11.349999999999998</v>
      </c>
      <c r="L17" s="90">
        <f t="shared" si="0"/>
        <v>11.349999999999998</v>
      </c>
      <c r="M17" s="90">
        <f t="shared" si="0"/>
        <v>11.349999999999998</v>
      </c>
      <c r="N17" s="90">
        <f t="shared" si="0"/>
        <v>11.349999999999998</v>
      </c>
      <c r="O17" s="90">
        <f t="shared" si="0"/>
        <v>11.349999999999998</v>
      </c>
      <c r="P17" s="90">
        <f t="shared" si="0"/>
        <v>11.349999999999998</v>
      </c>
      <c r="Q17" s="90">
        <f t="shared" si="0"/>
        <v>11.349999999999998</v>
      </c>
      <c r="R17" s="90">
        <f t="shared" si="0"/>
        <v>11.349999999999998</v>
      </c>
      <c r="S17" s="90">
        <f t="shared" si="0"/>
        <v>11.349999999999998</v>
      </c>
      <c r="T17" s="90">
        <f t="shared" si="0"/>
        <v>11.349999999999998</v>
      </c>
      <c r="U17" s="90">
        <f t="shared" si="0"/>
        <v>11.349999999999998</v>
      </c>
      <c r="V17" s="90">
        <f t="shared" si="0"/>
        <v>11.349999999999998</v>
      </c>
      <c r="W17" s="90">
        <f t="shared" si="0"/>
        <v>11.349999999999998</v>
      </c>
      <c r="X17" s="90">
        <f t="shared" si="0"/>
        <v>11.349999999999998</v>
      </c>
      <c r="Y17" s="90">
        <f t="shared" si="0"/>
        <v>11.349999999999998</v>
      </c>
      <c r="Z17" s="90">
        <f t="shared" si="0"/>
        <v>11.349999999999998</v>
      </c>
      <c r="AA17" s="90">
        <f t="shared" si="0"/>
        <v>0</v>
      </c>
      <c r="AB17" s="90">
        <f t="shared" si="0"/>
        <v>0</v>
      </c>
      <c r="AC17" s="90">
        <f t="shared" si="0"/>
        <v>0</v>
      </c>
      <c r="AD17" s="90">
        <f t="shared" si="0"/>
        <v>0</v>
      </c>
      <c r="AE17" s="90">
        <f t="shared" si="0"/>
        <v>0</v>
      </c>
      <c r="AF17" s="90">
        <f t="shared" si="0"/>
        <v>0</v>
      </c>
      <c r="AG17" s="90">
        <f t="shared" si="0"/>
        <v>0</v>
      </c>
      <c r="AH17" s="90">
        <f t="shared" si="0"/>
        <v>0</v>
      </c>
      <c r="AI17" s="90">
        <f t="shared" si="0"/>
        <v>0</v>
      </c>
      <c r="AJ17" s="90">
        <f t="shared" si="0"/>
        <v>0</v>
      </c>
    </row>
    <row r="18" spans="2:36" s="29" customFormat="1" ht="16">
      <c r="B18" s="36" t="s">
        <v>105</v>
      </c>
      <c r="C18" s="36"/>
      <c r="D18" s="36"/>
      <c r="E18" s="76" t="s">
        <v>0</v>
      </c>
      <c r="F18" s="36"/>
      <c r="G18" s="37">
        <f>(G$17*G$5)/100</f>
        <v>411623.6399999999</v>
      </c>
      <c r="H18" s="37">
        <f t="shared" ref="H18:AJ18" si="1">(H$17*H$5)/100</f>
        <v>411623.6399999999</v>
      </c>
      <c r="I18" s="37">
        <f t="shared" si="1"/>
        <v>411623.6399999999</v>
      </c>
      <c r="J18" s="37">
        <f t="shared" si="1"/>
        <v>411623.6399999999</v>
      </c>
      <c r="K18" s="37">
        <f t="shared" si="1"/>
        <v>411623.6399999999</v>
      </c>
      <c r="L18" s="37">
        <f t="shared" si="1"/>
        <v>411623.6399999999</v>
      </c>
      <c r="M18" s="37">
        <f t="shared" si="1"/>
        <v>411623.6399999999</v>
      </c>
      <c r="N18" s="37">
        <f t="shared" si="1"/>
        <v>411623.6399999999</v>
      </c>
      <c r="O18" s="37">
        <f t="shared" si="1"/>
        <v>411623.6399999999</v>
      </c>
      <c r="P18" s="37">
        <f t="shared" si="1"/>
        <v>411623.6399999999</v>
      </c>
      <c r="Q18" s="37">
        <f t="shared" si="1"/>
        <v>411623.6399999999</v>
      </c>
      <c r="R18" s="37">
        <f t="shared" si="1"/>
        <v>411623.6399999999</v>
      </c>
      <c r="S18" s="37">
        <f t="shared" si="1"/>
        <v>411623.6399999999</v>
      </c>
      <c r="T18" s="37">
        <f t="shared" si="1"/>
        <v>411623.6399999999</v>
      </c>
      <c r="U18" s="37">
        <f t="shared" si="1"/>
        <v>411623.6399999999</v>
      </c>
      <c r="V18" s="37">
        <f t="shared" si="1"/>
        <v>411623.6399999999</v>
      </c>
      <c r="W18" s="37">
        <f t="shared" si="1"/>
        <v>411623.6399999999</v>
      </c>
      <c r="X18" s="37">
        <f t="shared" si="1"/>
        <v>411623.6399999999</v>
      </c>
      <c r="Y18" s="37">
        <f t="shared" si="1"/>
        <v>411623.6399999999</v>
      </c>
      <c r="Z18" s="37">
        <f t="shared" si="1"/>
        <v>411623.6399999999</v>
      </c>
      <c r="AA18" s="37">
        <f t="shared" si="1"/>
        <v>0</v>
      </c>
      <c r="AB18" s="37">
        <f t="shared" si="1"/>
        <v>0</v>
      </c>
      <c r="AC18" s="37">
        <f t="shared" si="1"/>
        <v>0</v>
      </c>
      <c r="AD18" s="37">
        <f t="shared" si="1"/>
        <v>0</v>
      </c>
      <c r="AE18" s="37">
        <f t="shared" si="1"/>
        <v>0</v>
      </c>
      <c r="AF18" s="37">
        <f t="shared" si="1"/>
        <v>0</v>
      </c>
      <c r="AG18" s="37">
        <f t="shared" si="1"/>
        <v>0</v>
      </c>
      <c r="AH18" s="37">
        <f t="shared" si="1"/>
        <v>0</v>
      </c>
      <c r="AI18" s="37">
        <f t="shared" si="1"/>
        <v>0</v>
      </c>
      <c r="AJ18" s="37">
        <f t="shared" si="1"/>
        <v>0</v>
      </c>
    </row>
    <row r="19" spans="2:36" s="29" customFormat="1" ht="16">
      <c r="B19" s="36" t="s">
        <v>219</v>
      </c>
      <c r="C19" s="36"/>
      <c r="D19" s="36"/>
      <c r="E19" s="79" t="s">
        <v>52</v>
      </c>
      <c r="F19" s="36"/>
      <c r="G19" s="90">
        <f>IF(Inputs!$Q$22=Inputs!$G$18,0,IF(Inputs!$Q$27="Year One",Inputs!$Q$28,'Complex Inputs'!$D129))</f>
        <v>0</v>
      </c>
      <c r="H19" s="90">
        <f>IF(H$2&gt;Inputs!$G$18,0,IF(Inputs!$Q$27="Year One",G$19*(1+Inputs!$Q$29),'Complex Inputs'!$D130))</f>
        <v>0</v>
      </c>
      <c r="I19" s="90">
        <f>IF(I$2&gt;Inputs!$G$18,0,IF(Inputs!$Q$27="Year One",H$19*(1+Inputs!$Q$29),'Complex Inputs'!$D131))</f>
        <v>0</v>
      </c>
      <c r="J19" s="90">
        <f>IF(J$2&gt;Inputs!$G$18,0,IF(Inputs!$Q$27="Year One",I$19*(1+Inputs!$Q$29),'Complex Inputs'!$D132))</f>
        <v>0</v>
      </c>
      <c r="K19" s="90">
        <f>IF(K$2&gt;Inputs!$G$18,0,IF(Inputs!$Q$27="Year One",J$19*(1+Inputs!$Q$29),'Complex Inputs'!$D133))</f>
        <v>0</v>
      </c>
      <c r="L19" s="90">
        <f>IF(L$2&gt;Inputs!$G$18,0,IF(Inputs!$Q$27="Year One",K$19*(1+Inputs!$Q$29),'Complex Inputs'!$D134))</f>
        <v>0</v>
      </c>
      <c r="M19" s="90">
        <f>IF(M$2&gt;Inputs!$G$18,0,IF(Inputs!$Q$27="Year One",L$19*(1+Inputs!$Q$29),'Complex Inputs'!$D135))</f>
        <v>0</v>
      </c>
      <c r="N19" s="90">
        <f>IF(N$2&gt;Inputs!$G$18,0,IF(Inputs!$Q$27="Year One",M$19*(1+Inputs!$Q$29),'Complex Inputs'!$D136))</f>
        <v>0</v>
      </c>
      <c r="O19" s="90">
        <f>IF(O$2&gt;Inputs!$G$18,0,IF(Inputs!$Q$27="Year One",N$19*(1+Inputs!$Q$29),'Complex Inputs'!$D137))</f>
        <v>0</v>
      </c>
      <c r="P19" s="90">
        <f>IF(P$2&gt;Inputs!$G$18,0,IF(Inputs!$Q$27="Year One",O$19*(1+Inputs!$Q$29),'Complex Inputs'!$D138))</f>
        <v>0</v>
      </c>
      <c r="Q19" s="90">
        <f>IF(Q$2&gt;Inputs!$G$18,0,IF(Inputs!$Q$27="Year One",P$19*(1+Inputs!$Q$29),'Complex Inputs'!$D139))</f>
        <v>0</v>
      </c>
      <c r="R19" s="90">
        <f>IF(R$2&gt;Inputs!$G$18,0,IF(Inputs!$Q$27="Year One",Q$19*(1+Inputs!$Q$29),'Complex Inputs'!$D140))</f>
        <v>0</v>
      </c>
      <c r="S19" s="90">
        <f>IF(S$2&gt;Inputs!$G$18,0,IF(Inputs!$Q$27="Year One",R$19*(1+Inputs!$Q$29),'Complex Inputs'!$D141))</f>
        <v>0</v>
      </c>
      <c r="T19" s="90">
        <f>IF(T$2&gt;Inputs!$G$18,0,IF(Inputs!$Q$27="Year One",S$19*(1+Inputs!$Q$29),'Complex Inputs'!$D142))</f>
        <v>0</v>
      </c>
      <c r="U19" s="90">
        <f>IF(U$2&gt;Inputs!$G$18,0,IF(Inputs!$Q$27="Year One",T$19*(1+Inputs!$Q$29),'Complex Inputs'!$D143))</f>
        <v>0</v>
      </c>
      <c r="V19" s="90">
        <f>IF(V$2&gt;Inputs!$G$18,0,IF(Inputs!$Q$27="Year One",U$19*(1+Inputs!$Q$29),'Complex Inputs'!$D144))</f>
        <v>0</v>
      </c>
      <c r="W19" s="90">
        <f>IF(W$2&gt;Inputs!$G$18,0,IF(Inputs!$Q$27="Year One",V$19*(1+Inputs!$Q$29),'Complex Inputs'!$D145))</f>
        <v>0</v>
      </c>
      <c r="X19" s="90">
        <f>IF(X$2&gt;Inputs!$G$18,0,IF(Inputs!$Q$27="Year One",W$19*(1+Inputs!$Q$29),'Complex Inputs'!$D146))</f>
        <v>0</v>
      </c>
      <c r="Y19" s="90">
        <f>IF(Y$2&gt;Inputs!$G$18,0,IF(Inputs!$Q$27="Year One",X$19*(1+Inputs!$Q$29),'Complex Inputs'!$D147))</f>
        <v>0</v>
      </c>
      <c r="Z19" s="90">
        <f>IF(Z$2&gt;Inputs!$G$18,0,IF(Inputs!$Q$27="Year One",Y$19*(1+Inputs!$Q$29),'Complex Inputs'!$D148))</f>
        <v>0</v>
      </c>
      <c r="AA19" s="90">
        <f>IF(AA$2&gt;Inputs!$G$18,0,IF(Inputs!$Q$27="Year One",Z$19*(1+Inputs!$Q$29),'Complex Inputs'!$D149))</f>
        <v>0</v>
      </c>
      <c r="AB19" s="90">
        <f>IF(AB$2&gt;Inputs!$G$18,0,IF(Inputs!$Q$27="Year One",AA$19*(1+Inputs!$Q$29),'Complex Inputs'!$D150))</f>
        <v>0</v>
      </c>
      <c r="AC19" s="90">
        <f>IF(AC$2&gt;Inputs!$G$18,0,IF(Inputs!$Q$27="Year One",AB$19*(1+Inputs!$Q$29),'Complex Inputs'!$D151))</f>
        <v>0</v>
      </c>
      <c r="AD19" s="90">
        <f>IF(AD$2&gt;Inputs!$G$18,0,IF(Inputs!$Q$27="Year One",AC$19*(1+Inputs!$Q$29),'Complex Inputs'!$D152))</f>
        <v>0</v>
      </c>
      <c r="AE19" s="90">
        <f>IF(AE$2&gt;Inputs!$G$18,0,IF(Inputs!$Q$27="Year One",AD$19*(1+Inputs!$Q$29),'Complex Inputs'!$D153))</f>
        <v>0</v>
      </c>
      <c r="AF19" s="90">
        <f>IF(AF$2&gt;Inputs!$G$18,0,IF(Inputs!$Q$27="Year One",AE$19*(1+Inputs!$Q$29),'Complex Inputs'!$D154))</f>
        <v>0</v>
      </c>
      <c r="AG19" s="90">
        <f>IF(AG$2&gt;Inputs!$G$18,0,IF(Inputs!$Q$27="Year One",AF$19*(1+Inputs!$Q$29),'Complex Inputs'!$D155))</f>
        <v>0</v>
      </c>
      <c r="AH19" s="90">
        <f>IF(AH$2&gt;Inputs!$G$18,0,IF(Inputs!$Q$27="Year One",AG$19*(1+Inputs!$Q$29),'Complex Inputs'!$D156))</f>
        <v>0</v>
      </c>
      <c r="AI19" s="90">
        <f>IF(AI$2&gt;Inputs!$G$18,0,IF(Inputs!$Q$27="Year One",AH$19*(1+Inputs!$Q$29),'Complex Inputs'!$D157))</f>
        <v>0</v>
      </c>
      <c r="AJ19" s="90">
        <f>IF(AJ$2&gt;Inputs!$G$18,0,IF(Inputs!$Q$27="Year One",AI$19*(1+Inputs!$Q$29),'Complex Inputs'!$D158))</f>
        <v>0</v>
      </c>
    </row>
    <row r="20" spans="2:36" s="29" customFormat="1" ht="16">
      <c r="B20" s="36" t="s">
        <v>218</v>
      </c>
      <c r="C20" s="36"/>
      <c r="D20" s="36"/>
      <c r="E20" s="76" t="s">
        <v>0</v>
      </c>
      <c r="F20" s="36"/>
      <c r="G20" s="37">
        <f>IF(G$2&lt;=Inputs!$Q$22,0,IF(G$2&gt;Inputs!$G$18,0,(G$19*G$5)/100))</f>
        <v>0</v>
      </c>
      <c r="H20" s="37">
        <f>IF(H$2&lt;=Inputs!$Q$22,0,IF(H$2&gt;Inputs!$G$18,0,(H$19*H$5)/100))</f>
        <v>0</v>
      </c>
      <c r="I20" s="37">
        <f>IF(I$2&lt;=Inputs!$Q$22,0,IF(I$2&gt;Inputs!$G$18,0,(I$19*I$5)/100))</f>
        <v>0</v>
      </c>
      <c r="J20" s="37">
        <f>IF(J$2&lt;=Inputs!$Q$22,0,IF(J$2&gt;Inputs!$G$18,0,(J$19*J$5)/100))</f>
        <v>0</v>
      </c>
      <c r="K20" s="37">
        <f>IF(K$2&lt;=Inputs!$Q$22,0,IF(K$2&gt;Inputs!$G$18,0,(K$19*K$5)/100))</f>
        <v>0</v>
      </c>
      <c r="L20" s="37">
        <f>IF(L$2&lt;=Inputs!$Q$22,0,IF(L$2&gt;Inputs!$G$18,0,(L$19*L$5)/100))</f>
        <v>0</v>
      </c>
      <c r="M20" s="37">
        <f>IF(M$2&lt;=Inputs!$Q$22,0,IF(M$2&gt;Inputs!$G$18,0,(M$19*M$5)/100))</f>
        <v>0</v>
      </c>
      <c r="N20" s="37">
        <f>IF(N$2&lt;=Inputs!$Q$22,0,IF(N$2&gt;Inputs!$G$18,0,(N$19*N$5)/100))</f>
        <v>0</v>
      </c>
      <c r="O20" s="37">
        <f>IF(O$2&lt;=Inputs!$Q$22,0,IF(O$2&gt;Inputs!$G$18,0,(O$19*O$5)/100))</f>
        <v>0</v>
      </c>
      <c r="P20" s="37">
        <f>IF(P$2&lt;=Inputs!$Q$22,0,IF(P$2&gt;Inputs!$G$18,0,(P$19*P$5)/100))</f>
        <v>0</v>
      </c>
      <c r="Q20" s="37">
        <f>IF(Q$2&lt;=Inputs!$Q$22,0,IF(Q$2&gt;Inputs!$G$18,0,(Q$19*Q$5)/100))</f>
        <v>0</v>
      </c>
      <c r="R20" s="37">
        <f>IF(R$2&lt;=Inputs!$Q$22,0,IF(R$2&gt;Inputs!$G$18,0,(R$19*R$5)/100))</f>
        <v>0</v>
      </c>
      <c r="S20" s="37">
        <f>IF(S$2&lt;=Inputs!$Q$22,0,IF(S$2&gt;Inputs!$G$18,0,(S$19*S$5)/100))</f>
        <v>0</v>
      </c>
      <c r="T20" s="37">
        <f>IF(T$2&lt;=Inputs!$Q$22,0,IF(T$2&gt;Inputs!$G$18,0,(T$19*T$5)/100))</f>
        <v>0</v>
      </c>
      <c r="U20" s="37">
        <f>IF(U$2&lt;=Inputs!$Q$22,0,IF(U$2&gt;Inputs!$G$18,0,(U$19*U$5)/100))</f>
        <v>0</v>
      </c>
      <c r="V20" s="37">
        <f>IF(V$2&lt;=Inputs!$Q$22,0,IF(V$2&gt;Inputs!$G$18,0,(V$19*V$5)/100))</f>
        <v>0</v>
      </c>
      <c r="W20" s="37">
        <f>IF(W$2&lt;=Inputs!$Q$22,0,IF(W$2&gt;Inputs!$G$18,0,(W$19*W$5)/100))</f>
        <v>0</v>
      </c>
      <c r="X20" s="37">
        <f>IF(X$2&lt;=Inputs!$Q$22,0,IF(X$2&gt;Inputs!$G$18,0,(X$19*X$5)/100))</f>
        <v>0</v>
      </c>
      <c r="Y20" s="37">
        <f>IF(Y$2&lt;=Inputs!$Q$22,0,IF(Y$2&gt;Inputs!$G$18,0,(Y$19*Y$5)/100))</f>
        <v>0</v>
      </c>
      <c r="Z20" s="37">
        <f>IF(Z$2&lt;=Inputs!$Q$22,0,IF(Z$2&gt;Inputs!$G$18,0,(Z$19*Z$5)/100))</f>
        <v>0</v>
      </c>
      <c r="AA20" s="37">
        <f>IF(AA$2&lt;=Inputs!$Q$22,0,IF(AA$2&gt;Inputs!$G$18,0,(AA$19*AA$5)/100))</f>
        <v>0</v>
      </c>
      <c r="AB20" s="37">
        <f>IF(AB$2&lt;=Inputs!$Q$22,0,IF(AB$2&gt;Inputs!$G$18,0,(AB$19*AB$5)/100))</f>
        <v>0</v>
      </c>
      <c r="AC20" s="37">
        <f>IF(AC$2&lt;=Inputs!$Q$22,0,IF(AC$2&gt;Inputs!$G$18,0,(AC$19*AC$5)/100))</f>
        <v>0</v>
      </c>
      <c r="AD20" s="37">
        <f>IF(AD$2&lt;=Inputs!$Q$22,0,IF(AD$2&gt;Inputs!$G$18,0,(AD$19*AD$5)/100))</f>
        <v>0</v>
      </c>
      <c r="AE20" s="37">
        <f>IF(AE$2&lt;=Inputs!$Q$22,0,IF(AE$2&gt;Inputs!$G$18,0,(AE$19*AE$5)/100))</f>
        <v>0</v>
      </c>
      <c r="AF20" s="37">
        <f>IF(AF$2&lt;=Inputs!$Q$22,0,IF(AF$2&gt;Inputs!$G$18,0,(AF$19*AF$5)/100))</f>
        <v>0</v>
      </c>
      <c r="AG20" s="37">
        <f>IF(AG$2&lt;=Inputs!$Q$22,0,IF(AG$2&gt;Inputs!$G$18,0,(AG$19*AG$5)/100))</f>
        <v>0</v>
      </c>
      <c r="AH20" s="37">
        <f>IF(AH$2&lt;=Inputs!$Q$22,0,IF(AH$2&gt;Inputs!$G$18,0,(AH$19*AH$5)/100))</f>
        <v>0</v>
      </c>
      <c r="AI20" s="37">
        <f>IF(AI$2&lt;=Inputs!$Q$22,0,IF(AI$2&gt;Inputs!$G$18,0,(AI$19*AI$5)/100))</f>
        <v>0</v>
      </c>
      <c r="AJ20" s="37">
        <f>IF(AJ$2&lt;=Inputs!$Q$22,0,IF(AJ$2&gt;Inputs!$G$18,0,(AJ$19*AJ$5)/100))</f>
        <v>0</v>
      </c>
    </row>
    <row r="21" spans="2:36" s="29" customFormat="1" ht="16">
      <c r="B21" s="36" t="s">
        <v>106</v>
      </c>
      <c r="C21" s="36"/>
      <c r="D21" s="36"/>
      <c r="E21" s="79" t="s">
        <v>52</v>
      </c>
      <c r="F21" s="36"/>
      <c r="G21" s="90">
        <f>IF(OR(Inputs!$Q$33="Cost-Based",Inputs!$Q$33="Neither"),0,IF(AND(Inputs!$Q$38="Cash",G$2&lt;=Inputs!$Q$41),Inputs!$Q$39*G$12,0))</f>
        <v>0</v>
      </c>
      <c r="H21" s="90">
        <f>IF(OR(Inputs!$Q$33="Cost-Based",Inputs!$Q$33="Neither"),0,IF(AND(Inputs!$Q$38="Cash",H$2&lt;=Inputs!$Q$41),Inputs!$Q$39*H$12,0))</f>
        <v>0</v>
      </c>
      <c r="I21" s="90">
        <f>IF(OR(Inputs!$Q$33="Cost-Based",Inputs!$Q$33="Neither"),0,IF(AND(Inputs!$Q$38="Cash",I$2&lt;=Inputs!$Q$41),Inputs!$Q$39*I$12,0))</f>
        <v>0</v>
      </c>
      <c r="J21" s="90">
        <f>IF(OR(Inputs!$Q$33="Cost-Based",Inputs!$Q$33="Neither"),0,IF(AND(Inputs!$Q$38="Cash",J$2&lt;=Inputs!$Q$41),Inputs!$Q$39*J$12,0))</f>
        <v>0</v>
      </c>
      <c r="K21" s="90">
        <f>IF(OR(Inputs!$Q$33="Cost-Based",Inputs!$Q$33="Neither"),0,IF(AND(Inputs!$Q$38="Cash",K$2&lt;=Inputs!$Q$41),Inputs!$Q$39*K$12,0))</f>
        <v>0</v>
      </c>
      <c r="L21" s="90">
        <f>IF(OR(Inputs!$Q$33="Cost-Based",Inputs!$Q$33="Neither"),0,IF(AND(Inputs!$Q$38="Cash",L$2&lt;=Inputs!$Q$41),Inputs!$Q$39*L$12,0))</f>
        <v>0</v>
      </c>
      <c r="M21" s="90">
        <f>IF(OR(Inputs!$Q$33="Cost-Based",Inputs!$Q$33="Neither"),0,IF(AND(Inputs!$Q$38="Cash",M$2&lt;=Inputs!$Q$41),Inputs!$Q$39*M$12,0))</f>
        <v>0</v>
      </c>
      <c r="N21" s="90">
        <f>IF(OR(Inputs!$Q$33="Cost-Based",Inputs!$Q$33="Neither"),0,IF(AND(Inputs!$Q$38="Cash",N$2&lt;=Inputs!$Q$41),Inputs!$Q$39*N$12,0))</f>
        <v>0</v>
      </c>
      <c r="O21" s="90">
        <f>IF(OR(Inputs!$Q$33="Cost-Based",Inputs!$Q$33="Neither"),0,IF(AND(Inputs!$Q$38="Cash",O$2&lt;=Inputs!$Q$41),Inputs!$Q$39*O$12,0))</f>
        <v>0</v>
      </c>
      <c r="P21" s="90">
        <f>IF(OR(Inputs!$Q$33="Cost-Based",Inputs!$Q$33="Neither"),0,IF(AND(Inputs!$Q$38="Cash",P$2&lt;=Inputs!$Q$41),Inputs!$Q$39*P$12,0))</f>
        <v>0</v>
      </c>
      <c r="Q21" s="90">
        <f>IF(OR(Inputs!$Q$33="Cost-Based",Inputs!$Q$33="Neither"),0,IF(AND(Inputs!$Q$38="Cash",Q$2&lt;=Inputs!$Q$41),Inputs!$Q$39*Q$12,0))</f>
        <v>0</v>
      </c>
      <c r="R21" s="90">
        <f>IF(OR(Inputs!$Q$33="Cost-Based",Inputs!$Q$33="Neither"),0,IF(AND(Inputs!$Q$38="Cash",R$2&lt;=Inputs!$Q$41),Inputs!$Q$39*R$12,0))</f>
        <v>0</v>
      </c>
      <c r="S21" s="90">
        <f>IF(OR(Inputs!$Q$33="Cost-Based",Inputs!$Q$33="Neither"),0,IF(AND(Inputs!$Q$38="Cash",S$2&lt;=Inputs!$Q$41),Inputs!$Q$39*S$12,0))</f>
        <v>0</v>
      </c>
      <c r="T21" s="90">
        <f>IF(OR(Inputs!$Q$33="Cost-Based",Inputs!$Q$33="Neither"),0,IF(AND(Inputs!$Q$38="Cash",T$2&lt;=Inputs!$Q$41),Inputs!$Q$39*T$12,0))</f>
        <v>0</v>
      </c>
      <c r="U21" s="90">
        <f>IF(OR(Inputs!$Q$33="Cost-Based",Inputs!$Q$33="Neither"),0,IF(AND(Inputs!$Q$38="Cash",U$2&lt;=Inputs!$Q$41),Inputs!$Q$39*U$12,0))</f>
        <v>0</v>
      </c>
      <c r="V21" s="90">
        <f>IF(OR(Inputs!$Q$33="Cost-Based",Inputs!$Q$33="Neither"),0,IF(AND(Inputs!$Q$38="Cash",V$2&lt;=Inputs!$Q$41),Inputs!$Q$39*V$12,0))</f>
        <v>0</v>
      </c>
      <c r="W21" s="90">
        <f>IF(OR(Inputs!$Q$33="Cost-Based",Inputs!$Q$33="Neither"),0,IF(AND(Inputs!$Q$38="Cash",W$2&lt;=Inputs!$Q$41),Inputs!$Q$39*W$12,0))</f>
        <v>0</v>
      </c>
      <c r="X21" s="90">
        <f>IF(OR(Inputs!$Q$33="Cost-Based",Inputs!$Q$33="Neither"),0,IF(AND(Inputs!$Q$38="Cash",X$2&lt;=Inputs!$Q$41),Inputs!$Q$39*X$12,0))</f>
        <v>0</v>
      </c>
      <c r="Y21" s="90">
        <f>IF(OR(Inputs!$Q$33="Cost-Based",Inputs!$Q$33="Neither"),0,IF(AND(Inputs!$Q$38="Cash",Y$2&lt;=Inputs!$Q$41),Inputs!$Q$39*Y$12,0))</f>
        <v>0</v>
      </c>
      <c r="Z21" s="90">
        <f>IF(OR(Inputs!$Q$33="Cost-Based",Inputs!$Q$33="Neither"),0,IF(AND(Inputs!$Q$38="Cash",Z$2&lt;=Inputs!$Q$41),Inputs!$Q$39*Z$12,0))</f>
        <v>0</v>
      </c>
      <c r="AA21" s="90">
        <f>IF(OR(Inputs!$Q$33="Cost-Based",Inputs!$Q$33="Neither"),0,IF(AND(Inputs!$Q$38="Cash",AA$2&lt;=Inputs!$Q$41),Inputs!$Q$39*AA$12,0))</f>
        <v>0</v>
      </c>
      <c r="AB21" s="90">
        <f>IF(OR(Inputs!$Q$33="Cost-Based",Inputs!$Q$33="Neither"),0,IF(AND(Inputs!$Q$38="Cash",AB$2&lt;=Inputs!$Q$41),Inputs!$Q$39*AB$12,0))</f>
        <v>0</v>
      </c>
      <c r="AC21" s="90">
        <f>IF(OR(Inputs!$Q$33="Cost-Based",Inputs!$Q$33="Neither"),0,IF(AND(Inputs!$Q$38="Cash",AC$2&lt;=Inputs!$Q$41),Inputs!$Q$39*AC$12,0))</f>
        <v>0</v>
      </c>
      <c r="AD21" s="90">
        <f>IF(OR(Inputs!$Q$33="Cost-Based",Inputs!$Q$33="Neither"),0,IF(AND(Inputs!$Q$38="Cash",AD$2&lt;=Inputs!$Q$41),Inputs!$Q$39*AD$12,0))</f>
        <v>0</v>
      </c>
      <c r="AE21" s="90">
        <f>IF(OR(Inputs!$Q$33="Cost-Based",Inputs!$Q$33="Neither"),0,IF(AND(Inputs!$Q$38="Cash",AE$2&lt;=Inputs!$Q$41),Inputs!$Q$39*AE$12,0))</f>
        <v>0</v>
      </c>
      <c r="AF21" s="90">
        <f>IF(OR(Inputs!$Q$33="Cost-Based",Inputs!$Q$33="Neither"),0,IF(AND(Inputs!$Q$38="Cash",AF$2&lt;=Inputs!$Q$41),Inputs!$Q$39*AF$12,0))</f>
        <v>0</v>
      </c>
      <c r="AG21" s="90">
        <f>IF(OR(Inputs!$Q$33="Cost-Based",Inputs!$Q$33="Neither"),0,IF(AND(Inputs!$Q$38="Cash",AG$2&lt;=Inputs!$Q$41),Inputs!$Q$39*AG$12,0))</f>
        <v>0</v>
      </c>
      <c r="AH21" s="90">
        <f>IF(OR(Inputs!$Q$33="Cost-Based",Inputs!$Q$33="Neither"),0,IF(AND(Inputs!$Q$38="Cash",AH$2&lt;=Inputs!$Q$41),Inputs!$Q$39*AH$12,0))</f>
        <v>0</v>
      </c>
      <c r="AI21" s="90">
        <f>IF(OR(Inputs!$Q$33="Cost-Based",Inputs!$Q$33="Neither"),0,IF(AND(Inputs!$Q$38="Cash",AI$2&lt;=Inputs!$Q$41),Inputs!$Q$39*AI$12,0))</f>
        <v>0</v>
      </c>
      <c r="AJ21" s="90">
        <f>IF(OR(Inputs!$Q$33="Cost-Based",Inputs!$Q$33="Neither"),0,IF(AND(Inputs!$Q$38="Cash",AJ$2&lt;=Inputs!$Q$41),Inputs!$Q$39*AJ$12,0))</f>
        <v>0</v>
      </c>
    </row>
    <row r="22" spans="2:36" s="29" customFormat="1" ht="16">
      <c r="B22" s="36" t="s">
        <v>107</v>
      </c>
      <c r="C22" s="36"/>
      <c r="D22" s="36"/>
      <c r="E22" s="76" t="s">
        <v>0</v>
      </c>
      <c r="F22" s="36"/>
      <c r="G22" s="37">
        <f>(G$21*G$5)/100</f>
        <v>0</v>
      </c>
      <c r="H22" s="37">
        <f t="shared" ref="H22:AJ22" si="2">(H$21*H$5)/100</f>
        <v>0</v>
      </c>
      <c r="I22" s="37">
        <f t="shared" si="2"/>
        <v>0</v>
      </c>
      <c r="J22" s="37">
        <f t="shared" si="2"/>
        <v>0</v>
      </c>
      <c r="K22" s="37">
        <f t="shared" si="2"/>
        <v>0</v>
      </c>
      <c r="L22" s="37">
        <f t="shared" si="2"/>
        <v>0</v>
      </c>
      <c r="M22" s="37">
        <f t="shared" si="2"/>
        <v>0</v>
      </c>
      <c r="N22" s="37">
        <f t="shared" si="2"/>
        <v>0</v>
      </c>
      <c r="O22" s="37">
        <f t="shared" si="2"/>
        <v>0</v>
      </c>
      <c r="P22" s="37">
        <f t="shared" si="2"/>
        <v>0</v>
      </c>
      <c r="Q22" s="37">
        <f t="shared" si="2"/>
        <v>0</v>
      </c>
      <c r="R22" s="37">
        <f t="shared" si="2"/>
        <v>0</v>
      </c>
      <c r="S22" s="37">
        <f t="shared" si="2"/>
        <v>0</v>
      </c>
      <c r="T22" s="37">
        <f t="shared" si="2"/>
        <v>0</v>
      </c>
      <c r="U22" s="37">
        <f t="shared" si="2"/>
        <v>0</v>
      </c>
      <c r="V22" s="37">
        <f t="shared" si="2"/>
        <v>0</v>
      </c>
      <c r="W22" s="37">
        <f t="shared" si="2"/>
        <v>0</v>
      </c>
      <c r="X22" s="37">
        <f t="shared" si="2"/>
        <v>0</v>
      </c>
      <c r="Y22" s="37">
        <f t="shared" si="2"/>
        <v>0</v>
      </c>
      <c r="Z22" s="37">
        <f t="shared" si="2"/>
        <v>0</v>
      </c>
      <c r="AA22" s="37">
        <f t="shared" si="2"/>
        <v>0</v>
      </c>
      <c r="AB22" s="37">
        <f t="shared" si="2"/>
        <v>0</v>
      </c>
      <c r="AC22" s="37">
        <f t="shared" si="2"/>
        <v>0</v>
      </c>
      <c r="AD22" s="37">
        <f t="shared" si="2"/>
        <v>0</v>
      </c>
      <c r="AE22" s="37">
        <f t="shared" si="2"/>
        <v>0</v>
      </c>
      <c r="AF22" s="37">
        <f t="shared" si="2"/>
        <v>0</v>
      </c>
      <c r="AG22" s="37">
        <f t="shared" si="2"/>
        <v>0</v>
      </c>
      <c r="AH22" s="37">
        <f t="shared" si="2"/>
        <v>0</v>
      </c>
      <c r="AI22" s="37">
        <f t="shared" si="2"/>
        <v>0</v>
      </c>
      <c r="AJ22" s="37">
        <f t="shared" si="2"/>
        <v>0</v>
      </c>
    </row>
    <row r="23" spans="2:36" s="38" customFormat="1" ht="16">
      <c r="B23" s="36" t="s">
        <v>108</v>
      </c>
      <c r="C23" s="36"/>
      <c r="D23" s="36"/>
      <c r="E23" s="79" t="s">
        <v>52</v>
      </c>
      <c r="F23" s="36"/>
      <c r="G23" s="90">
        <f>IF(OR(Inputs!$Q$47="Cost-Based",Inputs!$Q$47="Neither"),0,IF(AND(Inputs!$Q$52="Cash",G$2&lt;=Inputs!$Q$57),Inputs!$Q$55*G$13*Inputs!$Q$56,0))</f>
        <v>1.5</v>
      </c>
      <c r="H23" s="90">
        <f>IF(OR(Inputs!$Q$47="Cost-Based",Inputs!$Q$47="Neither"),0,IF(AND(Inputs!$Q$52="Cash",H$2&lt;=Inputs!$Q$57),Inputs!$Q$55*H$13*Inputs!$Q$56,0))</f>
        <v>1.53</v>
      </c>
      <c r="I23" s="90">
        <f>IF(OR(Inputs!$Q$47="Cost-Based",Inputs!$Q$47="Neither"),0,IF(AND(Inputs!$Q$52="Cash",I$2&lt;=Inputs!$Q$57),Inputs!$Q$55*I$13*Inputs!$Q$56,0))</f>
        <v>1.5606</v>
      </c>
      <c r="J23" s="90">
        <f>IF(OR(Inputs!$Q$47="Cost-Based",Inputs!$Q$47="Neither"),0,IF(AND(Inputs!$Q$52="Cash",J$2&lt;=Inputs!$Q$57),Inputs!$Q$55*J$13*Inputs!$Q$56,0))</f>
        <v>1.591812</v>
      </c>
      <c r="K23" s="90">
        <f>IF(OR(Inputs!$Q$47="Cost-Based",Inputs!$Q$47="Neither"),0,IF(AND(Inputs!$Q$52="Cash",K$2&lt;=Inputs!$Q$57),Inputs!$Q$55*K$13*Inputs!$Q$56,0))</f>
        <v>1.6236482400000001</v>
      </c>
      <c r="L23" s="90">
        <f>IF(OR(Inputs!$Q$47="Cost-Based",Inputs!$Q$47="Neither"),0,IF(AND(Inputs!$Q$52="Cash",L$2&lt;=Inputs!$Q$57),Inputs!$Q$55*L$13*Inputs!$Q$56,0))</f>
        <v>1.6561212048</v>
      </c>
      <c r="M23" s="90">
        <f>IF(OR(Inputs!$Q$47="Cost-Based",Inputs!$Q$47="Neither"),0,IF(AND(Inputs!$Q$52="Cash",M$2&lt;=Inputs!$Q$57),Inputs!$Q$55*M$13*Inputs!$Q$56,0))</f>
        <v>1.689243628896</v>
      </c>
      <c r="N23" s="90">
        <f>IF(OR(Inputs!$Q$47="Cost-Based",Inputs!$Q$47="Neither"),0,IF(AND(Inputs!$Q$52="Cash",N$2&lt;=Inputs!$Q$57),Inputs!$Q$55*N$13*Inputs!$Q$56,0))</f>
        <v>1.7230285014739199</v>
      </c>
      <c r="O23" s="90">
        <f>IF(OR(Inputs!$Q$47="Cost-Based",Inputs!$Q$47="Neither"),0,IF(AND(Inputs!$Q$52="Cash",O$2&lt;=Inputs!$Q$57),Inputs!$Q$55*O$13*Inputs!$Q$56,0))</f>
        <v>1.7574890715033986</v>
      </c>
      <c r="P23" s="90">
        <f>IF(OR(Inputs!$Q$47="Cost-Based",Inputs!$Q$47="Neither"),0,IF(AND(Inputs!$Q$52="Cash",P$2&lt;=Inputs!$Q$57),Inputs!$Q$55*P$13*Inputs!$Q$56,0))</f>
        <v>1.7926388529334667</v>
      </c>
      <c r="Q23" s="90">
        <f>IF(OR(Inputs!$Q$47="Cost-Based",Inputs!$Q$47="Neither"),0,IF(AND(Inputs!$Q$52="Cash",Q$2&lt;=Inputs!$Q$57),Inputs!$Q$55*Q$13*Inputs!$Q$56,0))</f>
        <v>0</v>
      </c>
      <c r="R23" s="90">
        <f>IF(OR(Inputs!$Q$47="Cost-Based",Inputs!$Q$47="Neither"),0,IF(AND(Inputs!$Q$52="Cash",R$2&lt;=Inputs!$Q$57),Inputs!$Q$55*R$13*Inputs!$Q$56,0))</f>
        <v>0</v>
      </c>
      <c r="S23" s="90">
        <f>IF(OR(Inputs!$Q$47="Cost-Based",Inputs!$Q$47="Neither"),0,IF(AND(Inputs!$Q$52="Cash",S$2&lt;=Inputs!$Q$57),Inputs!$Q$55*S$13*Inputs!$Q$56,0))</f>
        <v>0</v>
      </c>
      <c r="T23" s="90">
        <f>IF(OR(Inputs!$Q$47="Cost-Based",Inputs!$Q$47="Neither"),0,IF(AND(Inputs!$Q$52="Cash",T$2&lt;=Inputs!$Q$57),Inputs!$Q$55*T$13*Inputs!$Q$56,0))</f>
        <v>0</v>
      </c>
      <c r="U23" s="90">
        <f>IF(OR(Inputs!$Q$47="Cost-Based",Inputs!$Q$47="Neither"),0,IF(AND(Inputs!$Q$52="Cash",U$2&lt;=Inputs!$Q$57),Inputs!$Q$55*U$13*Inputs!$Q$56,0))</f>
        <v>0</v>
      </c>
      <c r="V23" s="90">
        <f>IF(OR(Inputs!$Q$47="Cost-Based",Inputs!$Q$47="Neither"),0,IF(AND(Inputs!$Q$52="Cash",V$2&lt;=Inputs!$Q$57),Inputs!$Q$55*V$13*Inputs!$Q$56,0))</f>
        <v>0</v>
      </c>
      <c r="W23" s="90">
        <f>IF(OR(Inputs!$Q$47="Cost-Based",Inputs!$Q$47="Neither"),0,IF(AND(Inputs!$Q$52="Cash",W$2&lt;=Inputs!$Q$57),Inputs!$Q$55*W$13*Inputs!$Q$56,0))</f>
        <v>0</v>
      </c>
      <c r="X23" s="90">
        <f>IF(OR(Inputs!$Q$47="Cost-Based",Inputs!$Q$47="Neither"),0,IF(AND(Inputs!$Q$52="Cash",X$2&lt;=Inputs!$Q$57),Inputs!$Q$55*X$13*Inputs!$Q$56,0))</f>
        <v>0</v>
      </c>
      <c r="Y23" s="90">
        <f>IF(OR(Inputs!$Q$47="Cost-Based",Inputs!$Q$47="Neither"),0,IF(AND(Inputs!$Q$52="Cash",Y$2&lt;=Inputs!$Q$57),Inputs!$Q$55*Y$13*Inputs!$Q$56,0))</f>
        <v>0</v>
      </c>
      <c r="Z23" s="90">
        <f>IF(OR(Inputs!$Q$47="Cost-Based",Inputs!$Q$47="Neither"),0,IF(AND(Inputs!$Q$52="Cash",Z$2&lt;=Inputs!$Q$57),Inputs!$Q$55*Z$13*Inputs!$Q$56,0))</f>
        <v>0</v>
      </c>
      <c r="AA23" s="90">
        <f>IF(OR(Inputs!$Q$47="Cost-Based",Inputs!$Q$47="Neither"),0,IF(AND(Inputs!$Q$52="Cash",AA$2&lt;=Inputs!$Q$57),Inputs!$Q$55*AA$13*Inputs!$Q$56,0))</f>
        <v>0</v>
      </c>
      <c r="AB23" s="90">
        <f>IF(OR(Inputs!$Q$47="Cost-Based",Inputs!$Q$47="Neither"),0,IF(AND(Inputs!$Q$52="Cash",AB$2&lt;=Inputs!$Q$57),Inputs!$Q$55*AB$13*Inputs!$Q$56,0))</f>
        <v>0</v>
      </c>
      <c r="AC23" s="90">
        <f>IF(OR(Inputs!$Q$47="Cost-Based",Inputs!$Q$47="Neither"),0,IF(AND(Inputs!$Q$52="Cash",AC$2&lt;=Inputs!$Q$57),Inputs!$Q$55*AC$13*Inputs!$Q$56,0))</f>
        <v>0</v>
      </c>
      <c r="AD23" s="90">
        <f>IF(OR(Inputs!$Q$47="Cost-Based",Inputs!$Q$47="Neither"),0,IF(AND(Inputs!$Q$52="Cash",AD$2&lt;=Inputs!$Q$57),Inputs!$Q$55*AD$13*Inputs!$Q$56,0))</f>
        <v>0</v>
      </c>
      <c r="AE23" s="90">
        <f>IF(OR(Inputs!$Q$47="Cost-Based",Inputs!$Q$47="Neither"),0,IF(AND(Inputs!$Q$52="Cash",AE$2&lt;=Inputs!$Q$57),Inputs!$Q$55*AE$13*Inputs!$Q$56,0))</f>
        <v>0</v>
      </c>
      <c r="AF23" s="90">
        <f>IF(OR(Inputs!$Q$47="Cost-Based",Inputs!$Q$47="Neither"),0,IF(AND(Inputs!$Q$52="Cash",AF$2&lt;=Inputs!$Q$57),Inputs!$Q$55*AF$13*Inputs!$Q$56,0))</f>
        <v>0</v>
      </c>
      <c r="AG23" s="90">
        <f>IF(OR(Inputs!$Q$47="Cost-Based",Inputs!$Q$47="Neither"),0,IF(AND(Inputs!$Q$52="Cash",AG$2&lt;=Inputs!$Q$57),Inputs!$Q$55*AG$13*Inputs!$Q$56,0))</f>
        <v>0</v>
      </c>
      <c r="AH23" s="90">
        <f>IF(OR(Inputs!$Q$47="Cost-Based",Inputs!$Q$47="Neither"),0,IF(AND(Inputs!$Q$52="Cash",AH$2&lt;=Inputs!$Q$57),Inputs!$Q$55*AH$13*Inputs!$Q$56,0))</f>
        <v>0</v>
      </c>
      <c r="AI23" s="90">
        <f>IF(OR(Inputs!$Q$47="Cost-Based",Inputs!$Q$47="Neither"),0,IF(AND(Inputs!$Q$52="Cash",AI$2&lt;=Inputs!$Q$57),Inputs!$Q$55*AI$13*Inputs!$Q$56,0))</f>
        <v>0</v>
      </c>
      <c r="AJ23" s="90">
        <f>IF(OR(Inputs!$Q$47="Cost-Based",Inputs!$Q$47="Neither"),0,IF(AND(Inputs!$Q$52="Cash",AJ$2&lt;=Inputs!$Q$57),Inputs!$Q$55*AJ$13*Inputs!$Q$56,0))</f>
        <v>0</v>
      </c>
    </row>
    <row r="24" spans="2:36" s="38" customFormat="1" ht="16">
      <c r="B24" s="36" t="s">
        <v>109</v>
      </c>
      <c r="C24" s="36"/>
      <c r="D24" s="36"/>
      <c r="E24" s="76" t="s">
        <v>0</v>
      </c>
      <c r="F24" s="36"/>
      <c r="G24" s="37">
        <f>IF(Inputs!$Q$53=0,(G$23*G$5)/100,MIN(Inputs!$Q$53,(G$23*G$5)/100))</f>
        <v>54399.6</v>
      </c>
      <c r="H24" s="37">
        <f>IF(Inputs!$Q$53=0,(H$23*H$5)/100,MIN(Inputs!$Q$53,(H$23*H$5)/100))</f>
        <v>55487.592000000004</v>
      </c>
      <c r="I24" s="37">
        <f>IF(Inputs!$Q$53=0,(I$23*I$5)/100,MIN(Inputs!$Q$53,(I$23*I$5)/100))</f>
        <v>56597.343839999994</v>
      </c>
      <c r="J24" s="37">
        <f>IF(Inputs!$Q$53=0,(J$23*J$5)/100,MIN(Inputs!$Q$53,(J$23*J$5)/100))</f>
        <v>57729.290716800002</v>
      </c>
      <c r="K24" s="37">
        <f>IF(Inputs!$Q$53=0,(K$23*K$5)/100,MIN(Inputs!$Q$53,(K$23*K$5)/100))</f>
        <v>58883.876531135997</v>
      </c>
      <c r="L24" s="37">
        <f>IF(Inputs!$Q$53=0,(L$23*L$5)/100,MIN(Inputs!$Q$53,(L$23*L$5)/100))</f>
        <v>60061.554061758725</v>
      </c>
      <c r="M24" s="37">
        <f>IF(Inputs!$Q$53=0,(M$23*M$5)/100,MIN(Inputs!$Q$53,(M$23*M$5)/100))</f>
        <v>61262.785142993889</v>
      </c>
      <c r="N24" s="37">
        <f>IF(Inputs!$Q$53=0,(N$23*N$5)/100,MIN(Inputs!$Q$53,(N$23*N$5)/100))</f>
        <v>62488.040845853771</v>
      </c>
      <c r="O24" s="37">
        <f>IF(Inputs!$Q$53=0,(O$23*O$5)/100,MIN(Inputs!$Q$53,(O$23*O$5)/100))</f>
        <v>63737.801662770857</v>
      </c>
      <c r="P24" s="37">
        <f>IF(Inputs!$Q$53=0,(P$23*P$5)/100,MIN(Inputs!$Q$53,(P$23*P$5)/100))</f>
        <v>65012.557696026277</v>
      </c>
      <c r="Q24" s="37">
        <f>IF(Inputs!$Q$53=0,(Q$23*Q$5)/100,MIN(Inputs!$Q$53,(Q$23*Q$5)/100))</f>
        <v>0</v>
      </c>
      <c r="R24" s="37">
        <f>IF(Inputs!$Q$53=0,(R$23*R$5)/100,MIN(Inputs!$Q$53,(R$23*R$5)/100))</f>
        <v>0</v>
      </c>
      <c r="S24" s="37">
        <f>IF(Inputs!$Q$53=0,(S$23*S$5)/100,MIN(Inputs!$Q$53,(S$23*S$5)/100))</f>
        <v>0</v>
      </c>
      <c r="T24" s="37">
        <f>IF(Inputs!$Q$53=0,(T$23*T$5)/100,MIN(Inputs!$Q$53,(T$23*T$5)/100))</f>
        <v>0</v>
      </c>
      <c r="U24" s="37">
        <f>IF(Inputs!$Q$53=0,(U$23*U$5)/100,MIN(Inputs!$Q$53,(U$23*U$5)/100))</f>
        <v>0</v>
      </c>
      <c r="V24" s="37">
        <f>IF(Inputs!$Q$53=0,(V$23*V$5)/100,MIN(Inputs!$Q$53,(V$23*V$5)/100))</f>
        <v>0</v>
      </c>
      <c r="W24" s="37">
        <f>IF(Inputs!$Q$53=0,(W$23*W$5)/100,MIN(Inputs!$Q$53,(W$23*W$5)/100))</f>
        <v>0</v>
      </c>
      <c r="X24" s="37">
        <f>IF(Inputs!$Q$53=0,(X$23*X$5)/100,MIN(Inputs!$Q$53,(X$23*X$5)/100))</f>
        <v>0</v>
      </c>
      <c r="Y24" s="37">
        <f>IF(Inputs!$Q$53=0,(Y$23*Y$5)/100,MIN(Inputs!$Q$53,(Y$23*Y$5)/100))</f>
        <v>0</v>
      </c>
      <c r="Z24" s="37">
        <f>IF(Inputs!$Q$53=0,(Z$23*Z$5)/100,MIN(Inputs!$Q$53,(Z$23*Z$5)/100))</f>
        <v>0</v>
      </c>
      <c r="AA24" s="37">
        <f>IF(Inputs!$Q$53=0,(AA$23*AA$5)/100,MIN(Inputs!$Q$53,(AA$23*AA$5)/100))</f>
        <v>0</v>
      </c>
      <c r="AB24" s="37">
        <f>IF(Inputs!$Q$53=0,(AB$23*AB$5)/100,MIN(Inputs!$Q$53,(AB$23*AB$5)/100))</f>
        <v>0</v>
      </c>
      <c r="AC24" s="37">
        <f>IF(Inputs!$Q$53=0,(AC$23*AC$5)/100,MIN(Inputs!$Q$53,(AC$23*AC$5)/100))</f>
        <v>0</v>
      </c>
      <c r="AD24" s="37">
        <f>IF(Inputs!$Q$53=0,(AD$23*AD$5)/100,MIN(Inputs!$Q$53,(AD$23*AD$5)/100))</f>
        <v>0</v>
      </c>
      <c r="AE24" s="37">
        <f>IF(Inputs!$Q$53=0,(AE$23*AE$5)/100,MIN(Inputs!$Q$53,(AE$23*AE$5)/100))</f>
        <v>0</v>
      </c>
      <c r="AF24" s="37">
        <f>IF(Inputs!$Q$53=0,(AF$23*AF$5)/100,MIN(Inputs!$Q$53,(AF$23*AF$5)/100))</f>
        <v>0</v>
      </c>
      <c r="AG24" s="37">
        <f>IF(Inputs!$Q$53=0,(AG$23*AG$5)/100,MIN(Inputs!$Q$53,(AG$23*AG$5)/100))</f>
        <v>0</v>
      </c>
      <c r="AH24" s="37">
        <f>IF(Inputs!$Q$53=0,(AH$23*AH$5)/100,MIN(Inputs!$Q$53,(AH$23*AH$5)/100))</f>
        <v>0</v>
      </c>
      <c r="AI24" s="37">
        <f>IF(Inputs!$Q$53=0,(AI$23*AI$5)/100,MIN(Inputs!$Q$53,(AI$23*AI$5)/100))</f>
        <v>0</v>
      </c>
      <c r="AJ24" s="37">
        <f>IF(Inputs!$Q$53=0,(AJ$23*AJ$5)/100,MIN(Inputs!$Q$53,(AJ$23*AJ$5)/100))</f>
        <v>0</v>
      </c>
    </row>
    <row r="25" spans="2:36" s="38" customFormat="1" ht="16">
      <c r="B25" s="36" t="s">
        <v>181</v>
      </c>
      <c r="C25" s="36"/>
      <c r="D25" s="36"/>
      <c r="E25" s="76" t="s">
        <v>0</v>
      </c>
      <c r="F25" s="36"/>
      <c r="G25" s="729">
        <f>G220</f>
        <v>5047.9698673587191</v>
      </c>
      <c r="H25" s="729">
        <f t="shared" ref="H25:AJ25" si="3">H220</f>
        <v>5047.9698673587191</v>
      </c>
      <c r="I25" s="729">
        <f t="shared" si="3"/>
        <v>5047.9698673587191</v>
      </c>
      <c r="J25" s="729">
        <f t="shared" si="3"/>
        <v>5047.9698673587191</v>
      </c>
      <c r="K25" s="729">
        <f t="shared" si="3"/>
        <v>5047.9698673587191</v>
      </c>
      <c r="L25" s="729">
        <f t="shared" si="3"/>
        <v>5047.9698673587191</v>
      </c>
      <c r="M25" s="729">
        <f t="shared" si="3"/>
        <v>5047.9698673587191</v>
      </c>
      <c r="N25" s="729">
        <f t="shared" si="3"/>
        <v>5047.9698673587191</v>
      </c>
      <c r="O25" s="729">
        <f t="shared" si="3"/>
        <v>5047.9698673587191</v>
      </c>
      <c r="P25" s="729">
        <f t="shared" si="3"/>
        <v>5047.9698673587191</v>
      </c>
      <c r="Q25" s="729">
        <f t="shared" si="3"/>
        <v>5047.9698673587191</v>
      </c>
      <c r="R25" s="729">
        <f t="shared" si="3"/>
        <v>5047.9698673587191</v>
      </c>
      <c r="S25" s="729">
        <f t="shared" si="3"/>
        <v>5047.9698673587191</v>
      </c>
      <c r="T25" s="729">
        <f t="shared" si="3"/>
        <v>4122.5453388048545</v>
      </c>
      <c r="U25" s="729">
        <f t="shared" si="3"/>
        <v>3197.1208102509891</v>
      </c>
      <c r="V25" s="729">
        <f t="shared" si="3"/>
        <v>3197.1208102509891</v>
      </c>
      <c r="W25" s="729">
        <f t="shared" si="3"/>
        <v>3197.1208102509891</v>
      </c>
      <c r="X25" s="729">
        <f t="shared" si="3"/>
        <v>3197.1208102509891</v>
      </c>
      <c r="Y25" s="729">
        <f t="shared" si="3"/>
        <v>3197.1208102509891</v>
      </c>
      <c r="Z25" s="729">
        <f t="shared" si="3"/>
        <v>1598.5604051254943</v>
      </c>
      <c r="AA25" s="729">
        <f t="shared" si="3"/>
        <v>-2.1827872842550277E-13</v>
      </c>
      <c r="AB25" s="729">
        <f t="shared" si="3"/>
        <v>0</v>
      </c>
      <c r="AC25" s="729">
        <f t="shared" si="3"/>
        <v>0</v>
      </c>
      <c r="AD25" s="729">
        <f t="shared" si="3"/>
        <v>0</v>
      </c>
      <c r="AE25" s="729">
        <f t="shared" si="3"/>
        <v>0</v>
      </c>
      <c r="AF25" s="729">
        <f t="shared" si="3"/>
        <v>0</v>
      </c>
      <c r="AG25" s="729">
        <f t="shared" si="3"/>
        <v>0</v>
      </c>
      <c r="AH25" s="729">
        <f t="shared" si="3"/>
        <v>0</v>
      </c>
      <c r="AI25" s="729">
        <f t="shared" si="3"/>
        <v>0</v>
      </c>
      <c r="AJ25" s="729">
        <f t="shared" si="3"/>
        <v>0</v>
      </c>
    </row>
    <row r="26" spans="2:36" s="36" customFormat="1" ht="16">
      <c r="B26" s="36" t="s">
        <v>445</v>
      </c>
      <c r="E26" s="76" t="s">
        <v>0</v>
      </c>
      <c r="G26" s="729">
        <f>IF(G2&gt;Inputs!$G$18,0,(Inputs!$Q$7*Inputs!$Q$8)+(Inputs!$Q$9*Inputs!$Q$10)+(Inputs!$Q$11*Inputs!$Q$12))</f>
        <v>300000</v>
      </c>
      <c r="H26" s="729">
        <f>IF(H2&gt;Inputs!$G$18,0,(Inputs!$Q$7*Inputs!$Q$8)+(Inputs!$Q$9*Inputs!$Q$10)+(Inputs!$Q$11*Inputs!$Q$12))</f>
        <v>300000</v>
      </c>
      <c r="I26" s="729">
        <f>IF(I2&gt;Inputs!$G$18,0,(Inputs!$Q$7*Inputs!$Q$8)+(Inputs!$Q$9*Inputs!$Q$10)+(Inputs!$Q$11*Inputs!$Q$12))</f>
        <v>300000</v>
      </c>
      <c r="J26" s="729">
        <f>IF(J2&gt;Inputs!$G$18,0,(Inputs!$Q$7*Inputs!$Q$8)+(Inputs!$Q$9*Inputs!$Q$10)+(Inputs!$Q$11*Inputs!$Q$12))</f>
        <v>300000</v>
      </c>
      <c r="K26" s="729">
        <f>IF(K2&gt;Inputs!$G$18,0,(Inputs!$Q$7*Inputs!$Q$8)+(Inputs!$Q$9*Inputs!$Q$10)+(Inputs!$Q$11*Inputs!$Q$12))</f>
        <v>300000</v>
      </c>
      <c r="L26" s="729">
        <f>IF(L2&gt;Inputs!$G$18,0,(Inputs!$Q$7*Inputs!$Q$8)+(Inputs!$Q$9*Inputs!$Q$10)+(Inputs!$Q$11*Inputs!$Q$12))</f>
        <v>300000</v>
      </c>
      <c r="M26" s="729">
        <f>IF(M2&gt;Inputs!$G$18,0,(Inputs!$Q$7*Inputs!$Q$8)+(Inputs!$Q$9*Inputs!$Q$10)+(Inputs!$Q$11*Inputs!$Q$12))</f>
        <v>300000</v>
      </c>
      <c r="N26" s="729">
        <f>IF(N2&gt;Inputs!$G$18,0,(Inputs!$Q$7*Inputs!$Q$8)+(Inputs!$Q$9*Inputs!$Q$10)+(Inputs!$Q$11*Inputs!$Q$12))</f>
        <v>300000</v>
      </c>
      <c r="O26" s="729">
        <f>IF(O2&gt;Inputs!$G$18,0,(Inputs!$Q$7*Inputs!$Q$8)+(Inputs!$Q$9*Inputs!$Q$10)+(Inputs!$Q$11*Inputs!$Q$12))</f>
        <v>300000</v>
      </c>
      <c r="P26" s="729">
        <f>IF(P2&gt;Inputs!$G$18,0,(Inputs!$Q$7*Inputs!$Q$8)+(Inputs!$Q$9*Inputs!$Q$10)+(Inputs!$Q$11*Inputs!$Q$12))</f>
        <v>300000</v>
      </c>
      <c r="Q26" s="729">
        <f>IF(Q2&gt;Inputs!$G$18,0,(Inputs!$Q$7*Inputs!$Q$8)+(Inputs!$Q$9*Inputs!$Q$10)+(Inputs!$Q$11*Inputs!$Q$12))</f>
        <v>300000</v>
      </c>
      <c r="R26" s="729">
        <f>IF(R2&gt;Inputs!$G$18,0,(Inputs!$Q$7*Inputs!$Q$8)+(Inputs!$Q$9*Inputs!$Q$10)+(Inputs!$Q$11*Inputs!$Q$12))</f>
        <v>300000</v>
      </c>
      <c r="S26" s="729">
        <f>IF(S2&gt;Inputs!$G$18,0,(Inputs!$Q$7*Inputs!$Q$8)+(Inputs!$Q$9*Inputs!$Q$10)+(Inputs!$Q$11*Inputs!$Q$12))</f>
        <v>300000</v>
      </c>
      <c r="T26" s="729">
        <f>IF(T2&gt;Inputs!$G$18,0,(Inputs!$Q$7*Inputs!$Q$8)+(Inputs!$Q$9*Inputs!$Q$10)+(Inputs!$Q$11*Inputs!$Q$12))</f>
        <v>300000</v>
      </c>
      <c r="U26" s="729">
        <f>IF(U2&gt;Inputs!$G$18,0,(Inputs!$Q$7*Inputs!$Q$8)+(Inputs!$Q$9*Inputs!$Q$10)+(Inputs!$Q$11*Inputs!$Q$12))</f>
        <v>300000</v>
      </c>
      <c r="V26" s="729">
        <f>IF(V2&gt;Inputs!$G$18,0,(Inputs!$Q$7*Inputs!$Q$8)+(Inputs!$Q$9*Inputs!$Q$10)+(Inputs!$Q$11*Inputs!$Q$12))</f>
        <v>300000</v>
      </c>
      <c r="W26" s="729">
        <f>IF(W2&gt;Inputs!$G$18,0,(Inputs!$Q$7*Inputs!$Q$8)+(Inputs!$Q$9*Inputs!$Q$10)+(Inputs!$Q$11*Inputs!$Q$12))</f>
        <v>300000</v>
      </c>
      <c r="X26" s="729">
        <f>IF(X2&gt;Inputs!$G$18,0,(Inputs!$Q$7*Inputs!$Q$8)+(Inputs!$Q$9*Inputs!$Q$10)+(Inputs!$Q$11*Inputs!$Q$12))</f>
        <v>300000</v>
      </c>
      <c r="Y26" s="729">
        <f>IF(Y2&gt;Inputs!$G$18,0,(Inputs!$Q$7*Inputs!$Q$8)+(Inputs!$Q$9*Inputs!$Q$10)+(Inputs!$Q$11*Inputs!$Q$12))</f>
        <v>300000</v>
      </c>
      <c r="Z26" s="729">
        <f>IF(Z2&gt;Inputs!$G$18,0,(Inputs!$Q$7*Inputs!$Q$8)+(Inputs!$Q$9*Inputs!$Q$10)+(Inputs!$Q$11*Inputs!$Q$12))</f>
        <v>300000</v>
      </c>
      <c r="AA26" s="729">
        <f>IF(AA2&gt;Inputs!$G$18,0,(Inputs!$Q$7*Inputs!$Q$8)+(Inputs!$Q$9*Inputs!$Q$10)+(Inputs!$Q$11*Inputs!$Q$12))</f>
        <v>0</v>
      </c>
      <c r="AB26" s="729">
        <f>IF(AB2&gt;Inputs!$G$18,0,(Inputs!$Q$7*Inputs!$Q$8)+(Inputs!$Q$9*Inputs!$Q$10)+(Inputs!$Q$11*Inputs!$Q$12))</f>
        <v>0</v>
      </c>
      <c r="AC26" s="729">
        <f>IF(AC2&gt;Inputs!$G$18,0,(Inputs!$Q$7*Inputs!$Q$8)+(Inputs!$Q$9*Inputs!$Q$10)+(Inputs!$Q$11*Inputs!$Q$12))</f>
        <v>0</v>
      </c>
      <c r="AD26" s="729">
        <f>IF(AD2&gt;Inputs!$G$18,0,(Inputs!$Q$7*Inputs!$Q$8)+(Inputs!$Q$9*Inputs!$Q$10)+(Inputs!$Q$11*Inputs!$Q$12))</f>
        <v>0</v>
      </c>
      <c r="AE26" s="729">
        <f>IF(AE2&gt;Inputs!$G$18,0,(Inputs!$Q$7*Inputs!$Q$8)+(Inputs!$Q$9*Inputs!$Q$10)+(Inputs!$Q$11*Inputs!$Q$12))</f>
        <v>0</v>
      </c>
      <c r="AF26" s="729">
        <f>IF(AF2&gt;Inputs!$G$18,0,(Inputs!$Q$7*Inputs!$Q$8)+(Inputs!$Q$9*Inputs!$Q$10)+(Inputs!$Q$11*Inputs!$Q$12))</f>
        <v>0</v>
      </c>
      <c r="AG26" s="729">
        <f>IF(AG2&gt;Inputs!$G$18,0,(Inputs!$Q$7*Inputs!$Q$8)+(Inputs!$Q$9*Inputs!$Q$10)+(Inputs!$Q$11*Inputs!$Q$12))</f>
        <v>0</v>
      </c>
      <c r="AH26" s="729">
        <f>IF(AH2&gt;Inputs!$G$18,0,(Inputs!$Q$7*Inputs!$Q$8)+(Inputs!$Q$9*Inputs!$Q$10)+(Inputs!$Q$11*Inputs!$Q$12))</f>
        <v>0</v>
      </c>
      <c r="AI26" s="729">
        <f>IF(AI2&gt;Inputs!$G$18,0,(Inputs!$Q$7*Inputs!$Q$8)+(Inputs!$Q$9*Inputs!$Q$10)+(Inputs!$Q$11*Inputs!$Q$12))</f>
        <v>0</v>
      </c>
      <c r="AJ26" s="729">
        <f>IF(AJ2&gt;Inputs!$G$18,0,(Inputs!$Q$7*Inputs!$Q$8)+(Inputs!$Q$9*Inputs!$Q$10)+(Inputs!$Q$11*Inputs!$Q$12))</f>
        <v>0</v>
      </c>
    </row>
    <row r="27" spans="2:36" s="36" customFormat="1" ht="16">
      <c r="B27" s="36" t="s">
        <v>459</v>
      </c>
      <c r="E27" s="76" t="s">
        <v>0</v>
      </c>
      <c r="G27" s="729">
        <f>IF(G2&gt;Inputs!$G$18,0,(Inputs!$Q$13*G7)*Inputs!$Q$15)</f>
        <v>0</v>
      </c>
      <c r="H27" s="729">
        <f>IF(H2&gt;Inputs!$G$18,0,(Inputs!$Q$13*H7)*Inputs!$Q$15)</f>
        <v>0</v>
      </c>
      <c r="I27" s="729">
        <f>IF(I2&gt;Inputs!$G$18,0,(Inputs!$Q$13*I7)*Inputs!$Q$15)</f>
        <v>0</v>
      </c>
      <c r="J27" s="729">
        <f>IF(J2&gt;Inputs!$G$18,0,(Inputs!$Q$13*J7)*Inputs!$Q$15)</f>
        <v>0</v>
      </c>
      <c r="K27" s="729">
        <f>IF(K2&gt;Inputs!$G$18,0,(Inputs!$Q$13*K7)*Inputs!$Q$15)</f>
        <v>0</v>
      </c>
      <c r="L27" s="729">
        <f>IF(L2&gt;Inputs!$G$18,0,(Inputs!$Q$13*L7)*Inputs!$Q$15)</f>
        <v>0</v>
      </c>
      <c r="M27" s="729">
        <f>IF(M2&gt;Inputs!$G$18,0,(Inputs!$Q$13*M7)*Inputs!$Q$15)</f>
        <v>0</v>
      </c>
      <c r="N27" s="729">
        <f>IF(N2&gt;Inputs!$G$18,0,(Inputs!$Q$13*N7)*Inputs!$Q$15)</f>
        <v>0</v>
      </c>
      <c r="O27" s="729">
        <f>IF(O2&gt;Inputs!$G$18,0,(Inputs!$Q$13*O7)*Inputs!$Q$15)</f>
        <v>0</v>
      </c>
      <c r="P27" s="729">
        <f>IF(P2&gt;Inputs!$G$18,0,(Inputs!$Q$13*P7)*Inputs!$Q$15)</f>
        <v>0</v>
      </c>
      <c r="Q27" s="729">
        <f>IF(Q2&gt;Inputs!$G$18,0,(Inputs!$Q$13*Q7)*Inputs!$Q$15)</f>
        <v>0</v>
      </c>
      <c r="R27" s="729">
        <f>IF(R2&gt;Inputs!$G$18,0,(Inputs!$Q$13*R7)*Inputs!$Q$15)</f>
        <v>0</v>
      </c>
      <c r="S27" s="729">
        <f>IF(S2&gt;Inputs!$G$18,0,(Inputs!$Q$13*S7)*Inputs!$Q$15)</f>
        <v>0</v>
      </c>
      <c r="T27" s="729">
        <f>IF(T2&gt;Inputs!$G$18,0,(Inputs!$Q$13*T7)*Inputs!$Q$15)</f>
        <v>0</v>
      </c>
      <c r="U27" s="729">
        <f>IF(U2&gt;Inputs!$G$18,0,(Inputs!$Q$13*U7)*Inputs!$Q$15)</f>
        <v>0</v>
      </c>
      <c r="V27" s="729">
        <f>IF(V2&gt;Inputs!$G$18,0,(Inputs!$Q$13*V7)*Inputs!$Q$15)</f>
        <v>0</v>
      </c>
      <c r="W27" s="729">
        <f>IF(W2&gt;Inputs!$G$18,0,(Inputs!$Q$13*W7)*Inputs!$Q$15)</f>
        <v>0</v>
      </c>
      <c r="X27" s="729">
        <f>IF(X2&gt;Inputs!$G$18,0,(Inputs!$Q$13*X7)*Inputs!$Q$15)</f>
        <v>0</v>
      </c>
      <c r="Y27" s="729">
        <f>IF(Y2&gt;Inputs!$G$18,0,(Inputs!$Q$13*Y7)*Inputs!$Q$15)</f>
        <v>0</v>
      </c>
      <c r="Z27" s="729">
        <f>IF(Z2&gt;Inputs!$G$18,0,(Inputs!$Q$13*Z7)*Inputs!$Q$15)</f>
        <v>0</v>
      </c>
      <c r="AA27" s="729">
        <f>IF(AA2&gt;Inputs!$G$18,0,(Inputs!$Q$13*AA7)*Inputs!$Q$15)</f>
        <v>0</v>
      </c>
      <c r="AB27" s="729">
        <f>IF(AB2&gt;Inputs!$G$18,0,(Inputs!$Q$13*AB7)*Inputs!$Q$15)</f>
        <v>0</v>
      </c>
      <c r="AC27" s="729">
        <f>IF(AC2&gt;Inputs!$G$18,0,(Inputs!$Q$13*AC7)*Inputs!$Q$15)</f>
        <v>0</v>
      </c>
      <c r="AD27" s="729">
        <f>IF(AD2&gt;Inputs!$G$18,0,(Inputs!$Q$13*AD7)*Inputs!$Q$15)</f>
        <v>0</v>
      </c>
      <c r="AE27" s="729">
        <f>IF(AE2&gt;Inputs!$G$18,0,(Inputs!$Q$13*AE7)*Inputs!$Q$15)</f>
        <v>0</v>
      </c>
      <c r="AF27" s="729">
        <f>IF(AF2&gt;Inputs!$G$18,0,(Inputs!$Q$13*AF7)*Inputs!$Q$15)</f>
        <v>0</v>
      </c>
      <c r="AG27" s="729">
        <f>IF(AG2&gt;Inputs!$G$18,0,(Inputs!$Q$13*AG7)*Inputs!$Q$15)</f>
        <v>0</v>
      </c>
      <c r="AH27" s="729">
        <f>IF(AH2&gt;Inputs!$G$18,0,(Inputs!$Q$13*AH7)*Inputs!$Q$15)</f>
        <v>0</v>
      </c>
      <c r="AI27" s="729">
        <f>IF(AI2&gt;Inputs!$G$18,0,(Inputs!$Q$13*AI7)*Inputs!$Q$15)</f>
        <v>0</v>
      </c>
      <c r="AJ27" s="729">
        <f>IF(AJ2&gt;Inputs!$G$18,0,(Inputs!$Q$13*AJ7)*Inputs!$Q$15)</f>
        <v>0</v>
      </c>
    </row>
    <row r="28" spans="2:36" s="36" customFormat="1" ht="16">
      <c r="B28" s="39" t="s">
        <v>481</v>
      </c>
      <c r="C28" s="39"/>
      <c r="D28" s="39"/>
      <c r="E28" s="80" t="s">
        <v>0</v>
      </c>
      <c r="F28" s="39"/>
      <c r="G28" s="744">
        <f>G6*(Inputs!$Q$18*G$8)</f>
        <v>0</v>
      </c>
      <c r="H28" s="744">
        <f>H6*(Inputs!$Q$18*H$8)</f>
        <v>0</v>
      </c>
      <c r="I28" s="744">
        <f>I6*(Inputs!$Q$18*I$8)</f>
        <v>0</v>
      </c>
      <c r="J28" s="744">
        <f>J6*(Inputs!$Q$18*J$8)</f>
        <v>0</v>
      </c>
      <c r="K28" s="744">
        <f>K6*(Inputs!$Q$18*K$8)</f>
        <v>0</v>
      </c>
      <c r="L28" s="744">
        <f>L6*(Inputs!$Q$18*L$8)</f>
        <v>0</v>
      </c>
      <c r="M28" s="744">
        <f>M6*(Inputs!$Q$18*M$8)</f>
        <v>0</v>
      </c>
      <c r="N28" s="744">
        <f>N6*(Inputs!$Q$18*N$8)</f>
        <v>0</v>
      </c>
      <c r="O28" s="744">
        <f>O6*(Inputs!$Q$18*O$8)</f>
        <v>0</v>
      </c>
      <c r="P28" s="744">
        <f>P6*(Inputs!$Q$18*P$8)</f>
        <v>0</v>
      </c>
      <c r="Q28" s="744">
        <f>Q6*(Inputs!$Q$18*Q$8)</f>
        <v>0</v>
      </c>
      <c r="R28" s="744">
        <f>R6*(Inputs!$Q$18*R$8)</f>
        <v>0</v>
      </c>
      <c r="S28" s="744">
        <f>S6*(Inputs!$Q$18*S$8)</f>
        <v>0</v>
      </c>
      <c r="T28" s="744">
        <f>T6*(Inputs!$Q$18*T$8)</f>
        <v>0</v>
      </c>
      <c r="U28" s="744">
        <f>U6*(Inputs!$Q$18*U$8)</f>
        <v>0</v>
      </c>
      <c r="V28" s="744">
        <f>V6*(Inputs!$Q$18*V$8)</f>
        <v>0</v>
      </c>
      <c r="W28" s="744">
        <f>W6*(Inputs!$Q$18*W$8)</f>
        <v>0</v>
      </c>
      <c r="X28" s="744">
        <f>X6*(Inputs!$Q$18*X$8)</f>
        <v>0</v>
      </c>
      <c r="Y28" s="744">
        <f>Y6*(Inputs!$Q$18*Y$8)</f>
        <v>0</v>
      </c>
      <c r="Z28" s="744">
        <f>Z6*(Inputs!$Q$18*Z$8)</f>
        <v>0</v>
      </c>
      <c r="AA28" s="744">
        <f>AA6*(Inputs!$Q$18*AA$8)</f>
        <v>0</v>
      </c>
      <c r="AB28" s="744">
        <f>AB6*(Inputs!$Q$18*AB$8)</f>
        <v>0</v>
      </c>
      <c r="AC28" s="744">
        <f>AC6*(Inputs!$Q$18*AC$8)</f>
        <v>0</v>
      </c>
      <c r="AD28" s="744">
        <f>AD6*(Inputs!$Q$18*AD$8)</f>
        <v>0</v>
      </c>
      <c r="AE28" s="744">
        <f>AE6*(Inputs!$Q$18*AE$8)</f>
        <v>0</v>
      </c>
      <c r="AF28" s="744">
        <f>AF6*(Inputs!$Q$18*AF$8)</f>
        <v>0</v>
      </c>
      <c r="AG28" s="744">
        <f>AG6*(Inputs!$Q$18*AG$8)</f>
        <v>0</v>
      </c>
      <c r="AH28" s="744">
        <f>AH6*(Inputs!$Q$18*AH$8)</f>
        <v>0</v>
      </c>
      <c r="AI28" s="744">
        <f>AI6*(Inputs!$Q$18*AI$8)</f>
        <v>0</v>
      </c>
      <c r="AJ28" s="744">
        <f>AJ6*(Inputs!$Q$18*AJ$8)</f>
        <v>0</v>
      </c>
    </row>
    <row r="29" spans="2:36" s="31" customFormat="1" ht="16">
      <c r="B29" s="49" t="s">
        <v>116</v>
      </c>
      <c r="C29" s="49"/>
      <c r="D29" s="49"/>
      <c r="E29" s="745" t="s">
        <v>0</v>
      </c>
      <c r="F29" s="49"/>
      <c r="G29" s="746">
        <f>G18+G20+G22+G24+G25+G26+G27+G28</f>
        <v>771071.20986735867</v>
      </c>
      <c r="H29" s="746">
        <f t="shared" ref="H29:AJ29" si="4">H18+H20+H22+H24+H25+H26+H27+H28</f>
        <v>772159.20186735864</v>
      </c>
      <c r="I29" s="746">
        <f t="shared" si="4"/>
        <v>773268.95370735857</v>
      </c>
      <c r="J29" s="746">
        <f t="shared" si="4"/>
        <v>774400.90058415872</v>
      </c>
      <c r="K29" s="746">
        <f t="shared" si="4"/>
        <v>775555.48639849457</v>
      </c>
      <c r="L29" s="746">
        <f t="shared" si="4"/>
        <v>776733.16392911738</v>
      </c>
      <c r="M29" s="746">
        <f t="shared" si="4"/>
        <v>777934.3950103526</v>
      </c>
      <c r="N29" s="746">
        <f t="shared" si="4"/>
        <v>779159.65071321232</v>
      </c>
      <c r="O29" s="746">
        <f t="shared" si="4"/>
        <v>780409.4115301295</v>
      </c>
      <c r="P29" s="746">
        <f t="shared" si="4"/>
        <v>781684.16756338486</v>
      </c>
      <c r="Q29" s="746">
        <f t="shared" si="4"/>
        <v>716671.60986735858</v>
      </c>
      <c r="R29" s="746">
        <f t="shared" si="4"/>
        <v>716671.60986735858</v>
      </c>
      <c r="S29" s="746">
        <f t="shared" si="4"/>
        <v>716671.60986735858</v>
      </c>
      <c r="T29" s="746">
        <f t="shared" si="4"/>
        <v>715746.18533880473</v>
      </c>
      <c r="U29" s="746">
        <f t="shared" si="4"/>
        <v>714820.76081025088</v>
      </c>
      <c r="V29" s="746">
        <f t="shared" si="4"/>
        <v>714820.76081025088</v>
      </c>
      <c r="W29" s="746">
        <f t="shared" si="4"/>
        <v>714820.76081025088</v>
      </c>
      <c r="X29" s="746">
        <f t="shared" si="4"/>
        <v>714820.76081025088</v>
      </c>
      <c r="Y29" s="746">
        <f t="shared" si="4"/>
        <v>714820.76081025088</v>
      </c>
      <c r="Z29" s="746">
        <f t="shared" si="4"/>
        <v>713222.20040512539</v>
      </c>
      <c r="AA29" s="746">
        <f t="shared" si="4"/>
        <v>-2.1827872842550277E-13</v>
      </c>
      <c r="AB29" s="746">
        <f t="shared" si="4"/>
        <v>0</v>
      </c>
      <c r="AC29" s="746">
        <f t="shared" si="4"/>
        <v>0</v>
      </c>
      <c r="AD29" s="746">
        <f t="shared" si="4"/>
        <v>0</v>
      </c>
      <c r="AE29" s="746">
        <f t="shared" si="4"/>
        <v>0</v>
      </c>
      <c r="AF29" s="746">
        <f t="shared" si="4"/>
        <v>0</v>
      </c>
      <c r="AG29" s="746">
        <f t="shared" si="4"/>
        <v>0</v>
      </c>
      <c r="AH29" s="746">
        <f t="shared" si="4"/>
        <v>0</v>
      </c>
      <c r="AI29" s="746">
        <f t="shared" si="4"/>
        <v>0</v>
      </c>
      <c r="AJ29" s="746">
        <f t="shared" si="4"/>
        <v>0</v>
      </c>
    </row>
    <row r="30" spans="2:36" s="31" customFormat="1" ht="16">
      <c r="E30" s="82"/>
    </row>
    <row r="31" spans="2:36" s="31" customFormat="1" ht="16">
      <c r="B31" s="49" t="s">
        <v>68</v>
      </c>
      <c r="C31" s="49"/>
      <c r="D31" s="49"/>
      <c r="E31" s="82"/>
    </row>
    <row r="32" spans="2:36" s="31" customFormat="1" ht="16">
      <c r="B32" s="31" t="s">
        <v>110</v>
      </c>
      <c r="E32" s="76"/>
      <c r="F32" s="747"/>
      <c r="G32" s="320">
        <v>1</v>
      </c>
      <c r="H32" s="83">
        <f>G32*(1+IF(G$2&lt;=Inputs!$G$37,Inputs!$G$36,Inputs!$G$38))</f>
        <v>1.02</v>
      </c>
      <c r="I32" s="83">
        <f>H32*(1+IF(H$2&lt;=Inputs!$G$37,Inputs!$G$36,Inputs!$G$38))</f>
        <v>1.0404</v>
      </c>
      <c r="J32" s="83">
        <f>I32*(1+IF(I$2&lt;=Inputs!$G$37,Inputs!$G$36,Inputs!$G$38))</f>
        <v>1.0612079999999999</v>
      </c>
      <c r="K32" s="83">
        <f>J32*(1+IF(J$2&lt;=Inputs!$G$37,Inputs!$G$36,Inputs!$G$38))</f>
        <v>1.08243216</v>
      </c>
      <c r="L32" s="83">
        <f>K32*(1+IF(K$2&lt;=Inputs!$G$37,Inputs!$G$36,Inputs!$G$38))</f>
        <v>1.1040808032</v>
      </c>
      <c r="M32" s="83">
        <f>L32*(1+IF(L$2&lt;=Inputs!$G$37,Inputs!$G$36,Inputs!$G$38))</f>
        <v>1.1261624192640001</v>
      </c>
      <c r="N32" s="83">
        <f>M32*(1+IF(M$2&lt;=Inputs!$G$37,Inputs!$G$36,Inputs!$G$38))</f>
        <v>1.14868566764928</v>
      </c>
      <c r="O32" s="83">
        <f>N32*(1+IF(N$2&lt;=Inputs!$G$37,Inputs!$G$36,Inputs!$G$38))</f>
        <v>1.1716593810022657</v>
      </c>
      <c r="P32" s="83">
        <f>O32*(1+IF(O$2&lt;=Inputs!$G$37,Inputs!$G$36,Inputs!$G$38))</f>
        <v>1.1950925686223111</v>
      </c>
      <c r="Q32" s="83">
        <f>P32*(1+IF(P$2&lt;=Inputs!$G$37,Inputs!$G$36,Inputs!$G$38))</f>
        <v>1.2189944199947573</v>
      </c>
      <c r="R32" s="83">
        <f>Q32*(1+IF(Q$2&lt;=Inputs!$G$37,Inputs!$G$36,Inputs!$G$38))</f>
        <v>1.2433743083946525</v>
      </c>
      <c r="S32" s="83">
        <f>R32*(1+IF(R$2&lt;=Inputs!$G$37,Inputs!$G$36,Inputs!$G$38))</f>
        <v>1.2682417945625455</v>
      </c>
      <c r="T32" s="83">
        <f>S32*(1+IF(S$2&lt;=Inputs!$G$37,Inputs!$G$36,Inputs!$G$38))</f>
        <v>1.2936066304537963</v>
      </c>
      <c r="U32" s="83">
        <f>T32*(1+IF(T$2&lt;=Inputs!$G$37,Inputs!$G$36,Inputs!$G$38))</f>
        <v>1.3194787630628724</v>
      </c>
      <c r="V32" s="83">
        <f>U32*(1+IF(U$2&lt;=Inputs!$G$37,Inputs!$G$36,Inputs!$G$38))</f>
        <v>1.3458683383241299</v>
      </c>
      <c r="W32" s="83">
        <f>V32*(1+IF(V$2&lt;=Inputs!$G$37,Inputs!$G$36,Inputs!$G$38))</f>
        <v>1.3727857050906125</v>
      </c>
      <c r="X32" s="83">
        <f>W32*(1+IF(W$2&lt;=Inputs!$G$37,Inputs!$G$36,Inputs!$G$38))</f>
        <v>1.4002414191924248</v>
      </c>
      <c r="Y32" s="83">
        <f>X32*(1+IF(X$2&lt;=Inputs!$G$37,Inputs!$G$36,Inputs!$G$38))</f>
        <v>1.4282462475762734</v>
      </c>
      <c r="Z32" s="83">
        <f>Y32*(1+IF(Y$2&lt;=Inputs!$G$37,Inputs!$G$36,Inputs!$G$38))</f>
        <v>1.4568111725277988</v>
      </c>
      <c r="AA32" s="83">
        <f>Z32*(1+IF(Z$2&lt;=Inputs!$G$37,Inputs!$G$36,Inputs!$G$38))</f>
        <v>1.4859473959783549</v>
      </c>
      <c r="AB32" s="83">
        <f>AA32*(1+IF(AA$2&lt;=Inputs!$G$37,Inputs!$G$36,Inputs!$G$38))</f>
        <v>1.5156663438979221</v>
      </c>
      <c r="AC32" s="83">
        <f>AB32*(1+IF(AB$2&lt;=Inputs!$G$37,Inputs!$G$36,Inputs!$G$38))</f>
        <v>1.5459796707758806</v>
      </c>
      <c r="AD32" s="83">
        <f>AC32*(1+IF(AC$2&lt;=Inputs!$G$37,Inputs!$G$36,Inputs!$G$38))</f>
        <v>1.5768992641913981</v>
      </c>
      <c r="AE32" s="83">
        <f>AD32*(1+IF(AD$2&lt;=Inputs!$G$37,Inputs!$G$36,Inputs!$G$38))</f>
        <v>1.6084372494752261</v>
      </c>
      <c r="AF32" s="83">
        <f>AE32*(1+IF(AE$2&lt;=Inputs!$G$37,Inputs!$G$36,Inputs!$G$38))</f>
        <v>1.6406059944647307</v>
      </c>
      <c r="AG32" s="83">
        <f>AF32*(1+IF(AF$2&lt;=Inputs!$G$37,Inputs!$G$36,Inputs!$G$38))</f>
        <v>1.6734181143540252</v>
      </c>
      <c r="AH32" s="83">
        <f>AG32*(1+IF(AG$2&lt;=Inputs!$G$37,Inputs!$G$36,Inputs!$G$38))</f>
        <v>1.7068864766411058</v>
      </c>
      <c r="AI32" s="83">
        <f>AH32*(1+IF(AH$2&lt;=Inputs!$G$37,Inputs!$G$36,Inputs!$G$38))</f>
        <v>1.7410242061739281</v>
      </c>
      <c r="AJ32" s="83">
        <f>AI32*(1+IF(AI$2&lt;=Inputs!$G$37,Inputs!$G$36,Inputs!$G$38))</f>
        <v>1.7758446902974065</v>
      </c>
    </row>
    <row r="33" spans="2:36" s="31" customFormat="1" ht="16">
      <c r="B33" s="31" t="s">
        <v>464</v>
      </c>
      <c r="E33" s="76"/>
      <c r="F33" s="747"/>
      <c r="G33" s="320">
        <v>1</v>
      </c>
      <c r="H33" s="83">
        <f>G33*(1+Inputs!$G$43)</f>
        <v>1.02</v>
      </c>
      <c r="I33" s="83">
        <f>H33*(1+Inputs!$G$43)</f>
        <v>1.0404</v>
      </c>
      <c r="J33" s="83">
        <f>I33*(1+Inputs!$G$43)</f>
        <v>1.0612079999999999</v>
      </c>
      <c r="K33" s="83">
        <f>J33*(1+Inputs!$G$43)</f>
        <v>1.08243216</v>
      </c>
      <c r="L33" s="83">
        <f>K33*(1+Inputs!$G$43)</f>
        <v>1.1040808032</v>
      </c>
      <c r="M33" s="83">
        <f>L33*(1+Inputs!$G$43)</f>
        <v>1.1261624192640001</v>
      </c>
      <c r="N33" s="83">
        <f>M33*(1+Inputs!$G$43)</f>
        <v>1.14868566764928</v>
      </c>
      <c r="O33" s="83">
        <f>N33*(1+Inputs!$G$43)</f>
        <v>1.1716593810022657</v>
      </c>
      <c r="P33" s="83">
        <f>O33*(1+Inputs!$G$43)</f>
        <v>1.1950925686223111</v>
      </c>
      <c r="Q33" s="83">
        <f>P33*(1+Inputs!$G$43)</f>
        <v>1.2189944199947573</v>
      </c>
      <c r="R33" s="83">
        <f>Q33*(1+Inputs!$G$43)</f>
        <v>1.2433743083946525</v>
      </c>
      <c r="S33" s="83">
        <f>R33*(1+Inputs!$G$43)</f>
        <v>1.2682417945625455</v>
      </c>
      <c r="T33" s="83">
        <f>S33*(1+Inputs!$G$43)</f>
        <v>1.2936066304537963</v>
      </c>
      <c r="U33" s="83">
        <f>T33*(1+Inputs!$G$43)</f>
        <v>1.3194787630628724</v>
      </c>
      <c r="V33" s="83">
        <f>U33*(1+Inputs!$G$43)</f>
        <v>1.3458683383241299</v>
      </c>
      <c r="W33" s="83">
        <f>V33*(1+Inputs!$G$43)</f>
        <v>1.3727857050906125</v>
      </c>
      <c r="X33" s="83">
        <f>W33*(1+Inputs!$G$43)</f>
        <v>1.4002414191924248</v>
      </c>
      <c r="Y33" s="83">
        <f>X33*(1+Inputs!$G$43)</f>
        <v>1.4282462475762734</v>
      </c>
      <c r="Z33" s="83">
        <f>Y33*(1+Inputs!$G$43)</f>
        <v>1.4568111725277988</v>
      </c>
      <c r="AA33" s="83">
        <f>Z33*(1+Inputs!$G$43)</f>
        <v>1.4859473959783549</v>
      </c>
      <c r="AB33" s="83">
        <f>AA33*(1+Inputs!$G$43)</f>
        <v>1.5156663438979221</v>
      </c>
      <c r="AC33" s="83">
        <f>AB33*(1+Inputs!$G$43)</f>
        <v>1.5459796707758806</v>
      </c>
      <c r="AD33" s="83">
        <f>AC33*(1+Inputs!$G$43)</f>
        <v>1.5768992641913981</v>
      </c>
      <c r="AE33" s="83">
        <f>AD33*(1+Inputs!$G$43)</f>
        <v>1.6084372494752261</v>
      </c>
      <c r="AF33" s="83">
        <f>AE33*(1+Inputs!$G$43)</f>
        <v>1.6406059944647307</v>
      </c>
      <c r="AG33" s="83">
        <f>AF33*(1+Inputs!$G$43)</f>
        <v>1.6734181143540252</v>
      </c>
      <c r="AH33" s="83">
        <f>AG33*(1+Inputs!$G$43)</f>
        <v>1.7068864766411058</v>
      </c>
      <c r="AI33" s="83">
        <f>AH33*(1+Inputs!$G$43)</f>
        <v>1.7410242061739281</v>
      </c>
      <c r="AJ33" s="83">
        <f>AI33*(1+Inputs!$G$43)</f>
        <v>1.7758446902974065</v>
      </c>
    </row>
    <row r="34" spans="2:36" s="31" customFormat="1" ht="16">
      <c r="B34" s="31" t="s">
        <v>451</v>
      </c>
      <c r="E34" s="76"/>
      <c r="F34" s="747"/>
      <c r="G34" s="320">
        <v>1</v>
      </c>
      <c r="H34" s="83">
        <f>G34*(1+Inputs!$G$46)</f>
        <v>1.02</v>
      </c>
      <c r="I34" s="83">
        <f>H34*(1+Inputs!$G$46)</f>
        <v>1.0404</v>
      </c>
      <c r="J34" s="83">
        <f>I34*(1+Inputs!$G$46)</f>
        <v>1.0612079999999999</v>
      </c>
      <c r="K34" s="83">
        <f>J34*(1+Inputs!$G$46)</f>
        <v>1.08243216</v>
      </c>
      <c r="L34" s="83">
        <f>K34*(1+Inputs!$G$46)</f>
        <v>1.1040808032</v>
      </c>
      <c r="M34" s="83">
        <f>L34*(1+Inputs!$G$46)</f>
        <v>1.1261624192640001</v>
      </c>
      <c r="N34" s="83">
        <f>M34*(1+Inputs!$G$46)</f>
        <v>1.14868566764928</v>
      </c>
      <c r="O34" s="83">
        <f>N34*(1+Inputs!$G$46)</f>
        <v>1.1716593810022657</v>
      </c>
      <c r="P34" s="83">
        <f>O34*(1+Inputs!$G$46)</f>
        <v>1.1950925686223111</v>
      </c>
      <c r="Q34" s="83">
        <f>P34*(1+Inputs!$G$46)</f>
        <v>1.2189944199947573</v>
      </c>
      <c r="R34" s="83">
        <f>Q34*(1+Inputs!$G$46)</f>
        <v>1.2433743083946525</v>
      </c>
      <c r="S34" s="83">
        <f>R34*(1+Inputs!$G$46)</f>
        <v>1.2682417945625455</v>
      </c>
      <c r="T34" s="83">
        <f>S34*(1+Inputs!$G$46)</f>
        <v>1.2936066304537963</v>
      </c>
      <c r="U34" s="83">
        <f>T34*(1+Inputs!$G$46)</f>
        <v>1.3194787630628724</v>
      </c>
      <c r="V34" s="83">
        <f>U34*(1+Inputs!$G$46)</f>
        <v>1.3458683383241299</v>
      </c>
      <c r="W34" s="83">
        <f>V34*(1+Inputs!$G$46)</f>
        <v>1.3727857050906125</v>
      </c>
      <c r="X34" s="83">
        <f>W34*(1+Inputs!$G$46)</f>
        <v>1.4002414191924248</v>
      </c>
      <c r="Y34" s="83">
        <f>X34*(1+Inputs!$G$46)</f>
        <v>1.4282462475762734</v>
      </c>
      <c r="Z34" s="83">
        <f>Y34*(1+Inputs!$G$46)</f>
        <v>1.4568111725277988</v>
      </c>
      <c r="AA34" s="83">
        <f>Z34*(1+Inputs!$G$46)</f>
        <v>1.4859473959783549</v>
      </c>
      <c r="AB34" s="83">
        <f>AA34*(1+Inputs!$G$46)</f>
        <v>1.5156663438979221</v>
      </c>
      <c r="AC34" s="83">
        <f>AB34*(1+Inputs!$G$46)</f>
        <v>1.5459796707758806</v>
      </c>
      <c r="AD34" s="83">
        <f>AC34*(1+Inputs!$G$46)</f>
        <v>1.5768992641913981</v>
      </c>
      <c r="AE34" s="83">
        <f>AD34*(1+Inputs!$G$46)</f>
        <v>1.6084372494752261</v>
      </c>
      <c r="AF34" s="83">
        <f>AE34*(1+Inputs!$G$46)</f>
        <v>1.6406059944647307</v>
      </c>
      <c r="AG34" s="83">
        <f>AF34*(1+Inputs!$G$46)</f>
        <v>1.6734181143540252</v>
      </c>
      <c r="AH34" s="83">
        <f>AG34*(1+Inputs!$G$46)</f>
        <v>1.7068864766411058</v>
      </c>
      <c r="AI34" s="83">
        <f>AH34*(1+Inputs!$G$46)</f>
        <v>1.7410242061739281</v>
      </c>
      <c r="AJ34" s="83">
        <f>AI34*(1+Inputs!$G$46)</f>
        <v>1.7758446902974065</v>
      </c>
    </row>
    <row r="35" spans="2:36" s="31" customFormat="1" ht="16">
      <c r="B35" s="31" t="s">
        <v>458</v>
      </c>
      <c r="E35" s="76"/>
      <c r="F35" s="747"/>
      <c r="G35" s="320">
        <v>1</v>
      </c>
      <c r="H35" s="83">
        <f>G35*(1+Inputs!$G$48)</f>
        <v>1.02</v>
      </c>
      <c r="I35" s="83">
        <f>H35*(1+Inputs!$G$48)</f>
        <v>1.0404</v>
      </c>
      <c r="J35" s="83">
        <f>I35*(1+Inputs!$G$48)</f>
        <v>1.0612079999999999</v>
      </c>
      <c r="K35" s="83">
        <f>J35*(1+Inputs!$G$48)</f>
        <v>1.08243216</v>
      </c>
      <c r="L35" s="83">
        <f>K35*(1+Inputs!$G$48)</f>
        <v>1.1040808032</v>
      </c>
      <c r="M35" s="83">
        <f>L35*(1+Inputs!$G$48)</f>
        <v>1.1261624192640001</v>
      </c>
      <c r="N35" s="83">
        <f>M35*(1+Inputs!$G$48)</f>
        <v>1.14868566764928</v>
      </c>
      <c r="O35" s="83">
        <f>N35*(1+Inputs!$G$48)</f>
        <v>1.1716593810022657</v>
      </c>
      <c r="P35" s="83">
        <f>O35*(1+Inputs!$G$48)</f>
        <v>1.1950925686223111</v>
      </c>
      <c r="Q35" s="83">
        <f>P35*(1+Inputs!$G$48)</f>
        <v>1.2189944199947573</v>
      </c>
      <c r="R35" s="83">
        <f>Q35*(1+Inputs!$G$48)</f>
        <v>1.2433743083946525</v>
      </c>
      <c r="S35" s="83">
        <f>R35*(1+Inputs!$G$48)</f>
        <v>1.2682417945625455</v>
      </c>
      <c r="T35" s="83">
        <f>S35*(1+Inputs!$G$48)</f>
        <v>1.2936066304537963</v>
      </c>
      <c r="U35" s="83">
        <f>T35*(1+Inputs!$G$48)</f>
        <v>1.3194787630628724</v>
      </c>
      <c r="V35" s="83">
        <f>U35*(1+Inputs!$G$48)</f>
        <v>1.3458683383241299</v>
      </c>
      <c r="W35" s="83">
        <f>V35*(1+Inputs!$G$48)</f>
        <v>1.3727857050906125</v>
      </c>
      <c r="X35" s="83">
        <f>W35*(1+Inputs!$G$48)</f>
        <v>1.4002414191924248</v>
      </c>
      <c r="Y35" s="83">
        <f>X35*(1+Inputs!$G$48)</f>
        <v>1.4282462475762734</v>
      </c>
      <c r="Z35" s="83">
        <f>Y35*(1+Inputs!$G$48)</f>
        <v>1.4568111725277988</v>
      </c>
      <c r="AA35" s="83">
        <f>Z35*(1+Inputs!$G$48)</f>
        <v>1.4859473959783549</v>
      </c>
      <c r="AB35" s="83">
        <f>AA35*(1+Inputs!$G$48)</f>
        <v>1.5156663438979221</v>
      </c>
      <c r="AC35" s="83">
        <f>AB35*(1+Inputs!$G$48)</f>
        <v>1.5459796707758806</v>
      </c>
      <c r="AD35" s="83">
        <f>AC35*(1+Inputs!$G$48)</f>
        <v>1.5768992641913981</v>
      </c>
      <c r="AE35" s="83">
        <f>AD35*(1+Inputs!$G$48)</f>
        <v>1.6084372494752261</v>
      </c>
      <c r="AF35" s="83">
        <f>AE35*(1+Inputs!$G$48)</f>
        <v>1.6406059944647307</v>
      </c>
      <c r="AG35" s="83">
        <f>AF35*(1+Inputs!$G$48)</f>
        <v>1.6734181143540252</v>
      </c>
      <c r="AH35" s="83">
        <f>AG35*(1+Inputs!$G$48)</f>
        <v>1.7068864766411058</v>
      </c>
      <c r="AI35" s="83">
        <f>AH35*(1+Inputs!$G$48)</f>
        <v>1.7410242061739281</v>
      </c>
      <c r="AJ35" s="83">
        <f>AI35*(1+Inputs!$G$48)</f>
        <v>1.7758446902974065</v>
      </c>
    </row>
    <row r="36" spans="2:36" s="31" customFormat="1" ht="16">
      <c r="E36" s="76"/>
      <c r="F36" s="747"/>
      <c r="G36" s="88"/>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row>
    <row r="37" spans="2:36" s="31" customFormat="1" ht="16">
      <c r="B37" s="31" t="s">
        <v>111</v>
      </c>
      <c r="E37" s="76" t="s">
        <v>0</v>
      </c>
      <c r="F37" s="747"/>
      <c r="G37" s="41">
        <f>-IF(G$2&gt;Inputs!$G$18,0,Inputs!$G$34*Inputs!$G$7*G$32)</f>
        <v>-150000</v>
      </c>
      <c r="H37" s="41">
        <f>-IF(H$2&gt;Inputs!$G$18,0,Inputs!$G$34*Inputs!$G$7*H$32)</f>
        <v>-153000</v>
      </c>
      <c r="I37" s="41">
        <f>-IF(I$2&gt;Inputs!$G$18,0,Inputs!$G$34*Inputs!$G$7*I$32)</f>
        <v>-156060</v>
      </c>
      <c r="J37" s="41">
        <f>-IF(J$2&gt;Inputs!$G$18,0,Inputs!$G$34*Inputs!$G$7*J$32)</f>
        <v>-159181.19999999998</v>
      </c>
      <c r="K37" s="41">
        <f>-IF(K$2&gt;Inputs!$G$18,0,Inputs!$G$34*Inputs!$G$7*K$32)</f>
        <v>-162364.82399999999</v>
      </c>
      <c r="L37" s="41">
        <f>-IF(L$2&gt;Inputs!$G$18,0,Inputs!$G$34*Inputs!$G$7*L$32)</f>
        <v>-165612.12048000001</v>
      </c>
      <c r="M37" s="41">
        <f>-IF(M$2&gt;Inputs!$G$18,0,Inputs!$G$34*Inputs!$G$7*M$32)</f>
        <v>-168924.36288960002</v>
      </c>
      <c r="N37" s="41">
        <f>-IF(N$2&gt;Inputs!$G$18,0,Inputs!$G$34*Inputs!$G$7*N$32)</f>
        <v>-172302.85014739202</v>
      </c>
      <c r="O37" s="41">
        <f>-IF(O$2&gt;Inputs!$G$18,0,Inputs!$G$34*Inputs!$G$7*O$32)</f>
        <v>-175748.90715033986</v>
      </c>
      <c r="P37" s="41">
        <f>-IF(P$2&gt;Inputs!$G$18,0,Inputs!$G$34*Inputs!$G$7*P$32)</f>
        <v>-179263.88529334666</v>
      </c>
      <c r="Q37" s="41">
        <f>-IF(Q$2&gt;Inputs!$G$18,0,Inputs!$G$34*Inputs!$G$7*Q$32)</f>
        <v>-182849.16299921359</v>
      </c>
      <c r="R37" s="41">
        <f>-IF(R$2&gt;Inputs!$G$18,0,Inputs!$G$34*Inputs!$G$7*R$32)</f>
        <v>-186506.14625919788</v>
      </c>
      <c r="S37" s="41">
        <f>-IF(S$2&gt;Inputs!$G$18,0,Inputs!$G$34*Inputs!$G$7*S$32)</f>
        <v>-190236.26918438182</v>
      </c>
      <c r="T37" s="41">
        <f>-IF(T$2&gt;Inputs!$G$18,0,Inputs!$G$34*Inputs!$G$7*T$32)</f>
        <v>-194040.99456806944</v>
      </c>
      <c r="U37" s="41">
        <f>-IF(U$2&gt;Inputs!$G$18,0,Inputs!$G$34*Inputs!$G$7*U$32)</f>
        <v>-197921.81445943087</v>
      </c>
      <c r="V37" s="41">
        <f>-IF(V$2&gt;Inputs!$G$18,0,Inputs!$G$34*Inputs!$G$7*V$32)</f>
        <v>-201880.2507486195</v>
      </c>
      <c r="W37" s="41">
        <f>-IF(W$2&gt;Inputs!$G$18,0,Inputs!$G$34*Inputs!$G$7*W$32)</f>
        <v>-205917.85576359188</v>
      </c>
      <c r="X37" s="41">
        <f>-IF(X$2&gt;Inputs!$G$18,0,Inputs!$G$34*Inputs!$G$7*X$32)</f>
        <v>-210036.21287886373</v>
      </c>
      <c r="Y37" s="41">
        <f>-IF(Y$2&gt;Inputs!$G$18,0,Inputs!$G$34*Inputs!$G$7*Y$32)</f>
        <v>-214236.937136441</v>
      </c>
      <c r="Z37" s="41">
        <f>-IF(Z$2&gt;Inputs!$G$18,0,Inputs!$G$34*Inputs!$G$7*Z$32)</f>
        <v>-218521.67587916981</v>
      </c>
      <c r="AA37" s="41">
        <f>-IF(AA$2&gt;Inputs!$G$18,0,Inputs!$G$34*Inputs!$G$7*AA$32)</f>
        <v>0</v>
      </c>
      <c r="AB37" s="41">
        <f>-IF(AB$2&gt;Inputs!$G$18,0,Inputs!$G$34*Inputs!$G$7*AB$32)</f>
        <v>0</v>
      </c>
      <c r="AC37" s="41">
        <f>-IF(AC$2&gt;Inputs!$G$18,0,Inputs!$G$34*Inputs!$G$7*AC$32)</f>
        <v>0</v>
      </c>
      <c r="AD37" s="41">
        <f>-IF(AD$2&gt;Inputs!$G$18,0,Inputs!$G$34*Inputs!$G$7*AD$32)</f>
        <v>0</v>
      </c>
      <c r="AE37" s="41">
        <f>-IF(AE$2&gt;Inputs!$G$18,0,Inputs!$G$34*Inputs!$G$7*AE$32)</f>
        <v>0</v>
      </c>
      <c r="AF37" s="41">
        <f>-IF(AF$2&gt;Inputs!$G$18,0,Inputs!$G$34*Inputs!$G$7*AF$32)</f>
        <v>0</v>
      </c>
      <c r="AG37" s="41">
        <f>-IF(AG$2&gt;Inputs!$G$18,0,Inputs!$G$34*Inputs!$G$7*AG$32)</f>
        <v>0</v>
      </c>
      <c r="AH37" s="41">
        <f>-IF(AH$2&gt;Inputs!$G$18,0,Inputs!$G$34*Inputs!$G$7*AH$32)</f>
        <v>0</v>
      </c>
      <c r="AI37" s="41">
        <f>-IF(AI$2&gt;Inputs!$G$18,0,Inputs!$G$34*Inputs!$G$7*AI$32)</f>
        <v>0</v>
      </c>
      <c r="AJ37" s="41">
        <f>-IF(AJ$2&gt;Inputs!$G$18,0,Inputs!$G$34*Inputs!$G$7*AJ$32)</f>
        <v>0</v>
      </c>
    </row>
    <row r="38" spans="2:36" s="31" customFormat="1" ht="16">
      <c r="B38" s="31" t="s">
        <v>112</v>
      </c>
      <c r="E38" s="76" t="s">
        <v>0</v>
      </c>
      <c r="G38" s="41">
        <f>-IF(G$2&gt;Inputs!$G$18,0,Inputs!$G$35/100*(Inputs!$G$7*Inputs!$G$14*8760)*G$32)</f>
        <v>-120888</v>
      </c>
      <c r="H38" s="41">
        <f>-IF(H$2&gt;Inputs!$G$18,0,Inputs!$G$35/100*(Inputs!$G$7*Inputs!$G$14*8760)*H$32)</f>
        <v>-123305.76000000001</v>
      </c>
      <c r="I38" s="41">
        <f>-IF(I$2&gt;Inputs!$G$18,0,Inputs!$G$35/100*(Inputs!$G$7*Inputs!$G$14*8760)*I$32)</f>
        <v>-125771.87519999999</v>
      </c>
      <c r="J38" s="41">
        <f>-IF(J$2&gt;Inputs!$G$18,0,Inputs!$G$35/100*(Inputs!$G$7*Inputs!$G$14*8760)*J$32)</f>
        <v>-128287.312704</v>
      </c>
      <c r="K38" s="41">
        <f>-IF(K$2&gt;Inputs!$G$18,0,Inputs!$G$35/100*(Inputs!$G$7*Inputs!$G$14*8760)*K$32)</f>
        <v>-130853.05895808</v>
      </c>
      <c r="L38" s="41">
        <f>-IF(L$2&gt;Inputs!$G$18,0,Inputs!$G$35/100*(Inputs!$G$7*Inputs!$G$14*8760)*L$32)</f>
        <v>-133470.12013724161</v>
      </c>
      <c r="M38" s="41">
        <f>-IF(M$2&gt;Inputs!$G$18,0,Inputs!$G$35/100*(Inputs!$G$7*Inputs!$G$14*8760)*M$32)</f>
        <v>-136139.52253998644</v>
      </c>
      <c r="N38" s="41">
        <f>-IF(N$2&gt;Inputs!$G$18,0,Inputs!$G$35/100*(Inputs!$G$7*Inputs!$G$14*8760)*N$32)</f>
        <v>-138862.31299078616</v>
      </c>
      <c r="O38" s="41">
        <f>-IF(O$2&gt;Inputs!$G$18,0,Inputs!$G$35/100*(Inputs!$G$7*Inputs!$G$14*8760)*O$32)</f>
        <v>-141639.55925060189</v>
      </c>
      <c r="P38" s="41">
        <f>-IF(P$2&gt;Inputs!$G$18,0,Inputs!$G$35/100*(Inputs!$G$7*Inputs!$G$14*8760)*P$32)</f>
        <v>-144472.35043561395</v>
      </c>
      <c r="Q38" s="41">
        <f>-IF(Q$2&gt;Inputs!$G$18,0,Inputs!$G$35/100*(Inputs!$G$7*Inputs!$G$14*8760)*Q$32)</f>
        <v>-147361.79744432622</v>
      </c>
      <c r="R38" s="41">
        <f>-IF(R$2&gt;Inputs!$G$18,0,Inputs!$G$35/100*(Inputs!$G$7*Inputs!$G$14*8760)*R$32)</f>
        <v>-150309.03339321274</v>
      </c>
      <c r="S38" s="41">
        <f>-IF(S$2&gt;Inputs!$G$18,0,Inputs!$G$35/100*(Inputs!$G$7*Inputs!$G$14*8760)*S$32)</f>
        <v>-153315.21406107699</v>
      </c>
      <c r="T38" s="41">
        <f>-IF(T$2&gt;Inputs!$G$18,0,Inputs!$G$35/100*(Inputs!$G$7*Inputs!$G$14*8760)*T$32)</f>
        <v>-156381.51834229854</v>
      </c>
      <c r="U38" s="41">
        <f>-IF(U$2&gt;Inputs!$G$18,0,Inputs!$G$35/100*(Inputs!$G$7*Inputs!$G$14*8760)*U$32)</f>
        <v>-159509.1487091445</v>
      </c>
      <c r="V38" s="41">
        <f>-IF(V$2&gt;Inputs!$G$18,0,Inputs!$G$35/100*(Inputs!$G$7*Inputs!$G$14*8760)*V$32)</f>
        <v>-162699.33168332741</v>
      </c>
      <c r="W38" s="41">
        <f>-IF(W$2&gt;Inputs!$G$18,0,Inputs!$G$35/100*(Inputs!$G$7*Inputs!$G$14*8760)*W$32)</f>
        <v>-165953.31831699397</v>
      </c>
      <c r="X38" s="41">
        <f>-IF(X$2&gt;Inputs!$G$18,0,Inputs!$G$35/100*(Inputs!$G$7*Inputs!$G$14*8760)*X$32)</f>
        <v>-169272.38468333386</v>
      </c>
      <c r="Y38" s="41">
        <f>-IF(Y$2&gt;Inputs!$G$18,0,Inputs!$G$35/100*(Inputs!$G$7*Inputs!$G$14*8760)*Y$32)</f>
        <v>-172657.83237700054</v>
      </c>
      <c r="Z38" s="41">
        <f>-IF(Z$2&gt;Inputs!$G$18,0,Inputs!$G$35/100*(Inputs!$G$7*Inputs!$G$14*8760)*Z$32)</f>
        <v>-176110.98902454053</v>
      </c>
      <c r="AA38" s="41">
        <f>-IF(AA$2&gt;Inputs!$G$18,0,Inputs!$G$35/100*(Inputs!$G$7*Inputs!$G$14*8760)*AA$32)</f>
        <v>0</v>
      </c>
      <c r="AB38" s="41">
        <f>-IF(AB$2&gt;Inputs!$G$18,0,Inputs!$G$35/100*(Inputs!$G$7*Inputs!$G$14*8760)*AB$32)</f>
        <v>0</v>
      </c>
      <c r="AC38" s="41">
        <f>-IF(AC$2&gt;Inputs!$G$18,0,Inputs!$G$35/100*(Inputs!$G$7*Inputs!$G$14*8760)*AC$32)</f>
        <v>0</v>
      </c>
      <c r="AD38" s="41">
        <f>-IF(AD$2&gt;Inputs!$G$18,0,Inputs!$G$35/100*(Inputs!$G$7*Inputs!$G$14*8760)*AD$32)</f>
        <v>0</v>
      </c>
      <c r="AE38" s="41">
        <f>-IF(AE$2&gt;Inputs!$G$18,0,Inputs!$G$35/100*(Inputs!$G$7*Inputs!$G$14*8760)*AE$32)</f>
        <v>0</v>
      </c>
      <c r="AF38" s="41">
        <f>-IF(AF$2&gt;Inputs!$G$18,0,Inputs!$G$35/100*(Inputs!$G$7*Inputs!$G$14*8760)*AF$32)</f>
        <v>0</v>
      </c>
      <c r="AG38" s="41">
        <f>-IF(AG$2&gt;Inputs!$G$18,0,Inputs!$G$35/100*(Inputs!$G$7*Inputs!$G$14*8760)*AG$32)</f>
        <v>0</v>
      </c>
      <c r="AH38" s="41">
        <f>-IF(AH$2&gt;Inputs!$G$18,0,Inputs!$G$35/100*(Inputs!$G$7*Inputs!$G$14*8760)*AH$32)</f>
        <v>0</v>
      </c>
      <c r="AI38" s="41">
        <f>-IF(AI$2&gt;Inputs!$G$18,0,Inputs!$G$35/100*(Inputs!$G$7*Inputs!$G$14*8760)*AI$32)</f>
        <v>0</v>
      </c>
      <c r="AJ38" s="41">
        <f>-IF(AJ$2&gt;Inputs!$G$18,0,Inputs!$G$35/100*(Inputs!$G$7*Inputs!$G$14*8760)*AJ$32)</f>
        <v>0</v>
      </c>
    </row>
    <row r="39" spans="2:36" s="31" customFormat="1" ht="16">
      <c r="B39" s="31" t="s">
        <v>70</v>
      </c>
      <c r="E39" s="76" t="s">
        <v>0</v>
      </c>
      <c r="G39" s="41">
        <f>-IF(Inputs!$G$33="simple",0,IF(G$2&gt;Inputs!$G$18,0,Inputs!$G$40*G$32))</f>
        <v>-15000</v>
      </c>
      <c r="H39" s="41">
        <f>-IF(Inputs!$G$33="simple",0,IF(H$2&gt;Inputs!$G$18,0,Inputs!$G$40*H$32))</f>
        <v>-15300</v>
      </c>
      <c r="I39" s="41">
        <f>-IF(Inputs!$G$33="simple",0,IF(I$2&gt;Inputs!$G$18,0,Inputs!$G$40*I$32))</f>
        <v>-15606</v>
      </c>
      <c r="J39" s="41">
        <f>-IF(Inputs!$G$33="simple",0,IF(J$2&gt;Inputs!$G$18,0,Inputs!$G$40*J$32))</f>
        <v>-15918.119999999999</v>
      </c>
      <c r="K39" s="41">
        <f>-IF(Inputs!$G$33="simple",0,IF(K$2&gt;Inputs!$G$18,0,Inputs!$G$40*K$32))</f>
        <v>-16236.482399999999</v>
      </c>
      <c r="L39" s="41">
        <f>-IF(Inputs!$G$33="simple",0,IF(L$2&gt;Inputs!$G$18,0,Inputs!$G$40*L$32))</f>
        <v>-16561.212048000001</v>
      </c>
      <c r="M39" s="41">
        <f>-IF(Inputs!$G$33="simple",0,IF(M$2&gt;Inputs!$G$18,0,Inputs!$G$40*M$32))</f>
        <v>-16892.436288960002</v>
      </c>
      <c r="N39" s="41">
        <f>-IF(Inputs!$G$33="simple",0,IF(N$2&gt;Inputs!$G$18,0,Inputs!$G$40*N$32))</f>
        <v>-17230.285014739202</v>
      </c>
      <c r="O39" s="41">
        <f>-IF(Inputs!$G$33="simple",0,IF(O$2&gt;Inputs!$G$18,0,Inputs!$G$40*O$32))</f>
        <v>-17574.890715033987</v>
      </c>
      <c r="P39" s="41">
        <f>-IF(Inputs!$G$33="simple",0,IF(P$2&gt;Inputs!$G$18,0,Inputs!$G$40*P$32))</f>
        <v>-17926.388529334665</v>
      </c>
      <c r="Q39" s="41">
        <f>-IF(Inputs!$G$33="simple",0,IF(Q$2&gt;Inputs!$G$18,0,Inputs!$G$40*Q$32))</f>
        <v>-18284.916299921359</v>
      </c>
      <c r="R39" s="41">
        <f>-IF(Inputs!$G$33="simple",0,IF(R$2&gt;Inputs!$G$18,0,Inputs!$G$40*R$32))</f>
        <v>-18650.614625919789</v>
      </c>
      <c r="S39" s="41">
        <f>-IF(Inputs!$G$33="simple",0,IF(S$2&gt;Inputs!$G$18,0,Inputs!$G$40*S$32))</f>
        <v>-19023.626918438182</v>
      </c>
      <c r="T39" s="41">
        <f>-IF(Inputs!$G$33="simple",0,IF(T$2&gt;Inputs!$G$18,0,Inputs!$G$40*T$32))</f>
        <v>-19404.099456806944</v>
      </c>
      <c r="U39" s="41">
        <f>-IF(Inputs!$G$33="simple",0,IF(U$2&gt;Inputs!$G$18,0,Inputs!$G$40*U$32))</f>
        <v>-19792.181445943086</v>
      </c>
      <c r="V39" s="41">
        <f>-IF(Inputs!$G$33="simple",0,IF(V$2&gt;Inputs!$G$18,0,Inputs!$G$40*V$32))</f>
        <v>-20188.025074861947</v>
      </c>
      <c r="W39" s="41">
        <f>-IF(Inputs!$G$33="simple",0,IF(W$2&gt;Inputs!$G$18,0,Inputs!$G$40*W$32))</f>
        <v>-20591.785576359187</v>
      </c>
      <c r="X39" s="41">
        <f>-IF(Inputs!$G$33="simple",0,IF(X$2&gt;Inputs!$G$18,0,Inputs!$G$40*X$32))</f>
        <v>-21003.621287886373</v>
      </c>
      <c r="Y39" s="41">
        <f>-IF(Inputs!$G$33="simple",0,IF(Y$2&gt;Inputs!$G$18,0,Inputs!$G$40*Y$32))</f>
        <v>-21423.693713644101</v>
      </c>
      <c r="Z39" s="41">
        <f>-IF(Inputs!$G$33="simple",0,IF(Z$2&gt;Inputs!$G$18,0,Inputs!$G$40*Z$32))</f>
        <v>-21852.167587916982</v>
      </c>
      <c r="AA39" s="41">
        <f>-IF(Inputs!$G$33="simple",0,IF(AA$2&gt;Inputs!$G$18,0,Inputs!$G$40*AA$32))</f>
        <v>0</v>
      </c>
      <c r="AB39" s="41">
        <f>-IF(Inputs!$G$33="simple",0,IF(AB$2&gt;Inputs!$G$18,0,Inputs!$G$40*AB$32))</f>
        <v>0</v>
      </c>
      <c r="AC39" s="41">
        <f>-IF(Inputs!$G$33="simple",0,IF(AC$2&gt;Inputs!$G$18,0,Inputs!$G$40*AC$32))</f>
        <v>0</v>
      </c>
      <c r="AD39" s="41">
        <f>-IF(Inputs!$G$33="simple",0,IF(AD$2&gt;Inputs!$G$18,0,Inputs!$G$40*AD$32))</f>
        <v>0</v>
      </c>
      <c r="AE39" s="41">
        <f>-IF(Inputs!$G$33="simple",0,IF(AE$2&gt;Inputs!$G$18,0,Inputs!$G$40*AE$32))</f>
        <v>0</v>
      </c>
      <c r="AF39" s="41">
        <f>-IF(Inputs!$G$33="simple",0,IF(AF$2&gt;Inputs!$G$18,0,Inputs!$G$40*AF$32))</f>
        <v>0</v>
      </c>
      <c r="AG39" s="41">
        <f>-IF(Inputs!$G$33="simple",0,IF(AG$2&gt;Inputs!$G$18,0,Inputs!$G$40*AG$32))</f>
        <v>0</v>
      </c>
      <c r="AH39" s="41">
        <f>-IF(Inputs!$G$33="simple",0,IF(AH$2&gt;Inputs!$G$18,0,Inputs!$G$40*AH$32))</f>
        <v>0</v>
      </c>
      <c r="AI39" s="41">
        <f>-IF(Inputs!$G$33="simple",0,IF(AI$2&gt;Inputs!$G$18,0,Inputs!$G$40*AI$32))</f>
        <v>0</v>
      </c>
      <c r="AJ39" s="41">
        <f>-IF(Inputs!$G$33="simple",0,IF(AJ$2&gt;Inputs!$G$18,0,Inputs!$G$40*AJ$32))</f>
        <v>0</v>
      </c>
    </row>
    <row r="40" spans="2:36" s="31" customFormat="1" ht="16">
      <c r="B40" s="31" t="s">
        <v>69</v>
      </c>
      <c r="E40" s="76" t="s">
        <v>0</v>
      </c>
      <c r="G40" s="41">
        <f>-IF(Inputs!$G$33="simple",0,IF(G$2&gt;Inputs!$G$18,0,Inputs!$G$41*G$32))</f>
        <v>-30000</v>
      </c>
      <c r="H40" s="41">
        <f>-IF(Inputs!$G$33="simple",0,IF(H$2&gt;Inputs!$G$18,0,Inputs!$G$41*H$32))</f>
        <v>-30600</v>
      </c>
      <c r="I40" s="41">
        <f>-IF(Inputs!$G$33="simple",0,IF(I$2&gt;Inputs!$G$18,0,Inputs!$G$41*I$32))</f>
        <v>-31212</v>
      </c>
      <c r="J40" s="41">
        <f>-IF(Inputs!$G$33="simple",0,IF(J$2&gt;Inputs!$G$18,0,Inputs!$G$41*J$32))</f>
        <v>-31836.239999999998</v>
      </c>
      <c r="K40" s="41">
        <f>-IF(Inputs!$G$33="simple",0,IF(K$2&gt;Inputs!$G$18,0,Inputs!$G$41*K$32))</f>
        <v>-32472.964799999998</v>
      </c>
      <c r="L40" s="41">
        <f>-IF(Inputs!$G$33="simple",0,IF(L$2&gt;Inputs!$G$18,0,Inputs!$G$41*L$32))</f>
        <v>-33122.424096000002</v>
      </c>
      <c r="M40" s="41">
        <f>-IF(Inputs!$G$33="simple",0,IF(M$2&gt;Inputs!$G$18,0,Inputs!$G$41*M$32))</f>
        <v>-33784.872577920003</v>
      </c>
      <c r="N40" s="41">
        <f>-IF(Inputs!$G$33="simple",0,IF(N$2&gt;Inputs!$G$18,0,Inputs!$G$41*N$32))</f>
        <v>-34460.570029478404</v>
      </c>
      <c r="O40" s="41">
        <f>-IF(Inputs!$G$33="simple",0,IF(O$2&gt;Inputs!$G$18,0,Inputs!$G$41*O$32))</f>
        <v>-35149.781430067975</v>
      </c>
      <c r="P40" s="41">
        <f>-IF(Inputs!$G$33="simple",0,IF(P$2&gt;Inputs!$G$18,0,Inputs!$G$41*P$32))</f>
        <v>-35852.77705866933</v>
      </c>
      <c r="Q40" s="41">
        <f>-IF(Inputs!$G$33="simple",0,IF(Q$2&gt;Inputs!$G$18,0,Inputs!$G$41*Q$32))</f>
        <v>-36569.832599842717</v>
      </c>
      <c r="R40" s="41">
        <f>-IF(Inputs!$G$33="simple",0,IF(R$2&gt;Inputs!$G$18,0,Inputs!$G$41*R$32))</f>
        <v>-37301.229251839577</v>
      </c>
      <c r="S40" s="41">
        <f>-IF(Inputs!$G$33="simple",0,IF(S$2&gt;Inputs!$G$18,0,Inputs!$G$41*S$32))</f>
        <v>-38047.253836876363</v>
      </c>
      <c r="T40" s="41">
        <f>-IF(Inputs!$G$33="simple",0,IF(T$2&gt;Inputs!$G$18,0,Inputs!$G$41*T$32))</f>
        <v>-38808.198913613887</v>
      </c>
      <c r="U40" s="41">
        <f>-IF(Inputs!$G$33="simple",0,IF(U$2&gt;Inputs!$G$18,0,Inputs!$G$41*U$32))</f>
        <v>-39584.362891886172</v>
      </c>
      <c r="V40" s="41">
        <f>-IF(Inputs!$G$33="simple",0,IF(V$2&gt;Inputs!$G$18,0,Inputs!$G$41*V$32))</f>
        <v>-40376.050149723895</v>
      </c>
      <c r="W40" s="41">
        <f>-IF(Inputs!$G$33="simple",0,IF(W$2&gt;Inputs!$G$18,0,Inputs!$G$41*W$32))</f>
        <v>-41183.571152718374</v>
      </c>
      <c r="X40" s="41">
        <f>-IF(Inputs!$G$33="simple",0,IF(X$2&gt;Inputs!$G$18,0,Inputs!$G$41*X$32))</f>
        <v>-42007.242575772747</v>
      </c>
      <c r="Y40" s="41">
        <f>-IF(Inputs!$G$33="simple",0,IF(Y$2&gt;Inputs!$G$18,0,Inputs!$G$41*Y$32))</f>
        <v>-42847.387427288202</v>
      </c>
      <c r="Z40" s="41">
        <f>-IF(Inputs!$G$33="simple",0,IF(Z$2&gt;Inputs!$G$18,0,Inputs!$G$41*Z$32))</f>
        <v>-43704.335175833963</v>
      </c>
      <c r="AA40" s="41">
        <f>-IF(Inputs!$G$33="simple",0,IF(AA$2&gt;Inputs!$G$18,0,Inputs!$G$41*AA$32))</f>
        <v>0</v>
      </c>
      <c r="AB40" s="41">
        <f>-IF(Inputs!$G$33="simple",0,IF(AB$2&gt;Inputs!$G$18,0,Inputs!$G$41*AB$32))</f>
        <v>0</v>
      </c>
      <c r="AC40" s="41">
        <f>-IF(Inputs!$G$33="simple",0,IF(AC$2&gt;Inputs!$G$18,0,Inputs!$G$41*AC$32))</f>
        <v>0</v>
      </c>
      <c r="AD40" s="41">
        <f>-IF(Inputs!$G$33="simple",0,IF(AD$2&gt;Inputs!$G$18,0,Inputs!$G$41*AD$32))</f>
        <v>0</v>
      </c>
      <c r="AE40" s="41">
        <f>-IF(Inputs!$G$33="simple",0,IF(AE$2&gt;Inputs!$G$18,0,Inputs!$G$41*AE$32))</f>
        <v>0</v>
      </c>
      <c r="AF40" s="41">
        <f>-IF(Inputs!$G$33="simple",0,IF(AF$2&gt;Inputs!$G$18,0,Inputs!$G$41*AF$32))</f>
        <v>0</v>
      </c>
      <c r="AG40" s="41">
        <f>-IF(Inputs!$G$33="simple",0,IF(AG$2&gt;Inputs!$G$18,0,Inputs!$G$41*AG$32))</f>
        <v>0</v>
      </c>
      <c r="AH40" s="41">
        <f>-IF(Inputs!$G$33="simple",0,IF(AH$2&gt;Inputs!$G$18,0,Inputs!$G$41*AH$32))</f>
        <v>0</v>
      </c>
      <c r="AI40" s="41">
        <f>-IF(Inputs!$G$33="simple",0,IF(AI$2&gt;Inputs!$G$18,0,Inputs!$G$41*AI$32))</f>
        <v>0</v>
      </c>
      <c r="AJ40" s="41">
        <f>-IF(Inputs!$G$33="simple",0,IF(AJ$2&gt;Inputs!$G$18,0,Inputs!$G$41*AJ$32))</f>
        <v>0</v>
      </c>
    </row>
    <row r="41" spans="2:36" s="31" customFormat="1" ht="16">
      <c r="B41" s="31" t="s">
        <v>463</v>
      </c>
      <c r="E41" s="76" t="s">
        <v>0</v>
      </c>
      <c r="G41" s="41">
        <f>-IF(Inputs!$G$33="simple",0,IF(G$2&gt;Inputs!$G$18,0,(Inputs!$G$42*G$33)*Inputs!$G$44))</f>
        <v>0</v>
      </c>
      <c r="H41" s="41">
        <f>-IF(Inputs!$G$33="simple",0,IF(H$2&gt;Inputs!$G$18,0,(Inputs!$G$42*H$33)*Inputs!$G$44))</f>
        <v>0</v>
      </c>
      <c r="I41" s="41">
        <f>-IF(Inputs!$G$33="simple",0,IF(I$2&gt;Inputs!$G$18,0,(Inputs!$G$42*I$33)*Inputs!$G$44))</f>
        <v>0</v>
      </c>
      <c r="J41" s="41">
        <f>-IF(Inputs!$G$33="simple",0,IF(J$2&gt;Inputs!$G$18,0,(Inputs!$G$42*J$33)*Inputs!$G$44))</f>
        <v>0</v>
      </c>
      <c r="K41" s="41">
        <f>-IF(Inputs!$G$33="simple",0,IF(K$2&gt;Inputs!$G$18,0,(Inputs!$G$42*K$33)*Inputs!$G$44))</f>
        <v>0</v>
      </c>
      <c r="L41" s="41">
        <f>-IF(Inputs!$G$33="simple",0,IF(L$2&gt;Inputs!$G$18,0,(Inputs!$G$42*L$33)*Inputs!$G$44))</f>
        <v>0</v>
      </c>
      <c r="M41" s="41">
        <f>-IF(Inputs!$G$33="simple",0,IF(M$2&gt;Inputs!$G$18,0,(Inputs!$G$42*M$33)*Inputs!$G$44))</f>
        <v>0</v>
      </c>
      <c r="N41" s="41">
        <f>-IF(Inputs!$G$33="simple",0,IF(N$2&gt;Inputs!$G$18,0,(Inputs!$G$42*N$33)*Inputs!$G$44))</f>
        <v>0</v>
      </c>
      <c r="O41" s="41">
        <f>-IF(Inputs!$G$33="simple",0,IF(O$2&gt;Inputs!$G$18,0,(Inputs!$G$42*O$33)*Inputs!$G$44))</f>
        <v>0</v>
      </c>
      <c r="P41" s="41">
        <f>-IF(Inputs!$G$33="simple",0,IF(P$2&gt;Inputs!$G$18,0,(Inputs!$G$42*P$33)*Inputs!$G$44))</f>
        <v>0</v>
      </c>
      <c r="Q41" s="41">
        <f>-IF(Inputs!$G$33="simple",0,IF(Q$2&gt;Inputs!$G$18,0,(Inputs!$G$42*Q$33)*Inputs!$G$44))</f>
        <v>0</v>
      </c>
      <c r="R41" s="41">
        <f>-IF(Inputs!$G$33="simple",0,IF(R$2&gt;Inputs!$G$18,0,(Inputs!$G$42*R$33)*Inputs!$G$44))</f>
        <v>0</v>
      </c>
      <c r="S41" s="41">
        <f>-IF(Inputs!$G$33="simple",0,IF(S$2&gt;Inputs!$G$18,0,(Inputs!$G$42*S$33)*Inputs!$G$44))</f>
        <v>0</v>
      </c>
      <c r="T41" s="41">
        <f>-IF(Inputs!$G$33="simple",0,IF(T$2&gt;Inputs!$G$18,0,(Inputs!$G$42*T$33)*Inputs!$G$44))</f>
        <v>0</v>
      </c>
      <c r="U41" s="41">
        <f>-IF(Inputs!$G$33="simple",0,IF(U$2&gt;Inputs!$G$18,0,(Inputs!$G$42*U$33)*Inputs!$G$44))</f>
        <v>0</v>
      </c>
      <c r="V41" s="41">
        <f>-IF(Inputs!$G$33="simple",0,IF(V$2&gt;Inputs!$G$18,0,(Inputs!$G$42*V$33)*Inputs!$G$44))</f>
        <v>0</v>
      </c>
      <c r="W41" s="41">
        <f>-IF(Inputs!$G$33="simple",0,IF(W$2&gt;Inputs!$G$18,0,(Inputs!$G$42*W$33)*Inputs!$G$44))</f>
        <v>0</v>
      </c>
      <c r="X41" s="41">
        <f>-IF(Inputs!$G$33="simple",0,IF(X$2&gt;Inputs!$G$18,0,(Inputs!$G$42*X$33)*Inputs!$G$44))</f>
        <v>0</v>
      </c>
      <c r="Y41" s="41">
        <f>-IF(Inputs!$G$33="simple",0,IF(Y$2&gt;Inputs!$G$18,0,(Inputs!$G$42*Y$33)*Inputs!$G$44))</f>
        <v>0</v>
      </c>
      <c r="Z41" s="41">
        <f>-IF(Inputs!$G$33="simple",0,IF(Z$2&gt;Inputs!$G$18,0,(Inputs!$G$42*Z$33)*Inputs!$G$44))</f>
        <v>0</v>
      </c>
      <c r="AA41" s="41">
        <f>-IF(Inputs!$G$33="simple",0,IF(AA$2&gt;Inputs!$G$18,0,(Inputs!$G$42*AA$33)*Inputs!$G$44))</f>
        <v>0</v>
      </c>
      <c r="AB41" s="41">
        <f>-IF(Inputs!$G$33="simple",0,IF(AB$2&gt;Inputs!$G$18,0,(Inputs!$G$42*AB$33)*Inputs!$G$44))</f>
        <v>0</v>
      </c>
      <c r="AC41" s="41">
        <f>-IF(Inputs!$G$33="simple",0,IF(AC$2&gt;Inputs!$G$18,0,(Inputs!$G$42*AC$33)*Inputs!$G$44))</f>
        <v>0</v>
      </c>
      <c r="AD41" s="41">
        <f>-IF(Inputs!$G$33="simple",0,IF(AD$2&gt;Inputs!$G$18,0,(Inputs!$G$42*AD$33)*Inputs!$G$44))</f>
        <v>0</v>
      </c>
      <c r="AE41" s="41">
        <f>-IF(Inputs!$G$33="simple",0,IF(AE$2&gt;Inputs!$G$18,0,(Inputs!$G$42*AE$33)*Inputs!$G$44))</f>
        <v>0</v>
      </c>
      <c r="AF41" s="41">
        <f>-IF(Inputs!$G$33="simple",0,IF(AF$2&gt;Inputs!$G$18,0,(Inputs!$G$42*AF$33)*Inputs!$G$44))</f>
        <v>0</v>
      </c>
      <c r="AG41" s="41">
        <f>-IF(Inputs!$G$33="simple",0,IF(AG$2&gt;Inputs!$G$18,0,(Inputs!$G$42*AG$33)*Inputs!$G$44))</f>
        <v>0</v>
      </c>
      <c r="AH41" s="41">
        <f>-IF(Inputs!$G$33="simple",0,IF(AH$2&gt;Inputs!$G$18,0,(Inputs!$G$42*AH$33)*Inputs!$G$44))</f>
        <v>0</v>
      </c>
      <c r="AI41" s="41">
        <f>-IF(Inputs!$G$33="simple",0,IF(AI$2&gt;Inputs!$G$18,0,(Inputs!$G$42*AI$33)*Inputs!$G$44))</f>
        <v>0</v>
      </c>
      <c r="AJ41" s="41">
        <f>-IF(Inputs!$G$33="simple",0,IF(AJ$2&gt;Inputs!$G$18,0,(Inputs!$G$42*AJ$33)*Inputs!$G$44))</f>
        <v>0</v>
      </c>
    </row>
    <row r="42" spans="2:36" s="31" customFormat="1" ht="16">
      <c r="B42" s="31" t="s">
        <v>449</v>
      </c>
      <c r="E42" s="76" t="s">
        <v>0</v>
      </c>
      <c r="G42" s="41">
        <f>-IF(Inputs!$G$33="simple",0,IF(G$2&gt;Inputs!$G$18,0,Inputs!$G$45*G$34))</f>
        <v>-10000</v>
      </c>
      <c r="H42" s="41">
        <f>-IF(Inputs!$G$33="simple",0,IF(H$2&gt;Inputs!$G$18,0,Inputs!$G$45*H$34))</f>
        <v>-10200</v>
      </c>
      <c r="I42" s="41">
        <f>-IF(Inputs!$G$33="simple",0,IF(I$2&gt;Inputs!$G$18,0,Inputs!$G$45*I$34))</f>
        <v>-10404</v>
      </c>
      <c r="J42" s="41">
        <f>-IF(Inputs!$G$33="simple",0,IF(J$2&gt;Inputs!$G$18,0,Inputs!$G$45*J$34))</f>
        <v>-10612.08</v>
      </c>
      <c r="K42" s="41">
        <f>-IF(Inputs!$G$33="simple",0,IF(K$2&gt;Inputs!$G$18,0,Inputs!$G$45*K$34))</f>
        <v>-10824.321599999999</v>
      </c>
      <c r="L42" s="41">
        <f>-IF(Inputs!$G$33="simple",0,IF(L$2&gt;Inputs!$G$18,0,Inputs!$G$45*L$34))</f>
        <v>-11040.808032000001</v>
      </c>
      <c r="M42" s="41">
        <f>-IF(Inputs!$G$33="simple",0,IF(M$2&gt;Inputs!$G$18,0,Inputs!$G$45*M$34))</f>
        <v>-11261.62419264</v>
      </c>
      <c r="N42" s="41">
        <f>-IF(Inputs!$G$33="simple",0,IF(N$2&gt;Inputs!$G$18,0,Inputs!$G$45*N$34))</f>
        <v>-11486.8566764928</v>
      </c>
      <c r="O42" s="41">
        <f>-IF(Inputs!$G$33="simple",0,IF(O$2&gt;Inputs!$G$18,0,Inputs!$G$45*O$34))</f>
        <v>-11716.593810022658</v>
      </c>
      <c r="P42" s="41">
        <f>-IF(Inputs!$G$33="simple",0,IF(P$2&gt;Inputs!$G$18,0,Inputs!$G$45*P$34))</f>
        <v>-11950.92568622311</v>
      </c>
      <c r="Q42" s="41">
        <f>-IF(Inputs!$G$33="simple",0,IF(Q$2&gt;Inputs!$G$18,0,Inputs!$G$45*Q$34))</f>
        <v>-12189.944199947573</v>
      </c>
      <c r="R42" s="41">
        <f>-IF(Inputs!$G$33="simple",0,IF(R$2&gt;Inputs!$G$18,0,Inputs!$G$45*R$34))</f>
        <v>-12433.743083946525</v>
      </c>
      <c r="S42" s="41">
        <f>-IF(Inputs!$G$33="simple",0,IF(S$2&gt;Inputs!$G$18,0,Inputs!$G$45*S$34))</f>
        <v>-12682.417945625455</v>
      </c>
      <c r="T42" s="41">
        <f>-IF(Inputs!$G$33="simple",0,IF(T$2&gt;Inputs!$G$18,0,Inputs!$G$45*T$34))</f>
        <v>-12936.066304537962</v>
      </c>
      <c r="U42" s="41">
        <f>-IF(Inputs!$G$33="simple",0,IF(U$2&gt;Inputs!$G$18,0,Inputs!$G$45*U$34))</f>
        <v>-13194.787630628723</v>
      </c>
      <c r="V42" s="41">
        <f>-IF(Inputs!$G$33="simple",0,IF(V$2&gt;Inputs!$G$18,0,Inputs!$G$45*V$34))</f>
        <v>-13458.683383241299</v>
      </c>
      <c r="W42" s="41">
        <f>-IF(Inputs!$G$33="simple",0,IF(W$2&gt;Inputs!$G$18,0,Inputs!$G$45*W$34))</f>
        <v>-13727.857050906125</v>
      </c>
      <c r="X42" s="41">
        <f>-IF(Inputs!$G$33="simple",0,IF(X$2&gt;Inputs!$G$18,0,Inputs!$G$45*X$34))</f>
        <v>-14002.414191924248</v>
      </c>
      <c r="Y42" s="41">
        <f>-IF(Inputs!$G$33="simple",0,IF(Y$2&gt;Inputs!$G$18,0,Inputs!$G$45*Y$34))</f>
        <v>-14282.462475762733</v>
      </c>
      <c r="Z42" s="41">
        <f>-IF(Inputs!$G$33="simple",0,IF(Z$2&gt;Inputs!$G$18,0,Inputs!$G$45*Z$34))</f>
        <v>-14568.111725277988</v>
      </c>
      <c r="AA42" s="41">
        <f>-IF(Inputs!$G$33="simple",0,IF(AA$2&gt;Inputs!$G$18,0,Inputs!$G$45*AA$34))</f>
        <v>0</v>
      </c>
      <c r="AB42" s="41">
        <f>-IF(Inputs!$G$33="simple",0,IF(AB$2&gt;Inputs!$G$18,0,Inputs!$G$45*AB$34))</f>
        <v>0</v>
      </c>
      <c r="AC42" s="41">
        <f>-IF(Inputs!$G$33="simple",0,IF(AC$2&gt;Inputs!$G$18,0,Inputs!$G$45*AC$34))</f>
        <v>0</v>
      </c>
      <c r="AD42" s="41">
        <f>-IF(Inputs!$G$33="simple",0,IF(AD$2&gt;Inputs!$G$18,0,Inputs!$G$45*AD$34))</f>
        <v>0</v>
      </c>
      <c r="AE42" s="41">
        <f>-IF(Inputs!$G$33="simple",0,IF(AE$2&gt;Inputs!$G$18,0,Inputs!$G$45*AE$34))</f>
        <v>0</v>
      </c>
      <c r="AF42" s="41">
        <f>-IF(Inputs!$G$33="simple",0,IF(AF$2&gt;Inputs!$G$18,0,Inputs!$G$45*AF$34))</f>
        <v>0</v>
      </c>
      <c r="AG42" s="41">
        <f>-IF(Inputs!$G$33="simple",0,IF(AG$2&gt;Inputs!$G$18,0,Inputs!$G$45*AG$34))</f>
        <v>0</v>
      </c>
      <c r="AH42" s="41">
        <f>-IF(Inputs!$G$33="simple",0,IF(AH$2&gt;Inputs!$G$18,0,Inputs!$G$45*AH$34))</f>
        <v>0</v>
      </c>
      <c r="AI42" s="41">
        <f>-IF(Inputs!$G$33="simple",0,IF(AI$2&gt;Inputs!$G$18,0,Inputs!$G$45*AI$34))</f>
        <v>0</v>
      </c>
      <c r="AJ42" s="41">
        <f>-IF(Inputs!$G$33="simple",0,IF(AJ$2&gt;Inputs!$G$18,0,Inputs!$G$45*AJ$34))</f>
        <v>0</v>
      </c>
    </row>
    <row r="43" spans="2:36" s="31" customFormat="1" ht="16">
      <c r="B43" s="31" t="s">
        <v>457</v>
      </c>
      <c r="E43" s="76" t="s">
        <v>0</v>
      </c>
      <c r="G43" s="41">
        <f>-IF(Inputs!$G$33="simple",0,IF(G$2&gt;Inputs!$G$18,0,(Inputs!$G$47*G$34)*Inputs!$G$49))</f>
        <v>0</v>
      </c>
      <c r="H43" s="41">
        <f>-IF(Inputs!$G$33="simple",0,IF(H$2&gt;Inputs!$G$18,0,(Inputs!$G$47*H$34)*Inputs!$G$49))</f>
        <v>0</v>
      </c>
      <c r="I43" s="41">
        <f>-IF(Inputs!$G$33="simple",0,IF(I$2&gt;Inputs!$G$18,0,(Inputs!$G$47*I$34)*Inputs!$G$49))</f>
        <v>0</v>
      </c>
      <c r="J43" s="41">
        <f>-IF(Inputs!$G$33="simple",0,IF(J$2&gt;Inputs!$G$18,0,(Inputs!$G$47*J$34)*Inputs!$G$49))</f>
        <v>0</v>
      </c>
      <c r="K43" s="41">
        <f>-IF(Inputs!$G$33="simple",0,IF(K$2&gt;Inputs!$G$18,0,(Inputs!$G$47*K$34)*Inputs!$G$49))</f>
        <v>0</v>
      </c>
      <c r="L43" s="41">
        <f>-IF(Inputs!$G$33="simple",0,IF(L$2&gt;Inputs!$G$18,0,(Inputs!$G$47*L$34)*Inputs!$G$49))</f>
        <v>0</v>
      </c>
      <c r="M43" s="41">
        <f>-IF(Inputs!$G$33="simple",0,IF(M$2&gt;Inputs!$G$18,0,(Inputs!$G$47*M$34)*Inputs!$G$49))</f>
        <v>0</v>
      </c>
      <c r="N43" s="41">
        <f>-IF(Inputs!$G$33="simple",0,IF(N$2&gt;Inputs!$G$18,0,(Inputs!$G$47*N$34)*Inputs!$G$49))</f>
        <v>0</v>
      </c>
      <c r="O43" s="41">
        <f>-IF(Inputs!$G$33="simple",0,IF(O$2&gt;Inputs!$G$18,0,(Inputs!$G$47*O$34)*Inputs!$G$49))</f>
        <v>0</v>
      </c>
      <c r="P43" s="41">
        <f>-IF(Inputs!$G$33="simple",0,IF(P$2&gt;Inputs!$G$18,0,(Inputs!$G$47*P$34)*Inputs!$G$49))</f>
        <v>0</v>
      </c>
      <c r="Q43" s="41">
        <f>-IF(Inputs!$G$33="simple",0,IF(Q$2&gt;Inputs!$G$18,0,(Inputs!$G$47*Q$34)*Inputs!$G$49))</f>
        <v>0</v>
      </c>
      <c r="R43" s="41">
        <f>-IF(Inputs!$G$33="simple",0,IF(R$2&gt;Inputs!$G$18,0,(Inputs!$G$47*R$34)*Inputs!$G$49))</f>
        <v>0</v>
      </c>
      <c r="S43" s="41">
        <f>-IF(Inputs!$G$33="simple",0,IF(S$2&gt;Inputs!$G$18,0,(Inputs!$G$47*S$34)*Inputs!$G$49))</f>
        <v>0</v>
      </c>
      <c r="T43" s="41">
        <f>-IF(Inputs!$G$33="simple",0,IF(T$2&gt;Inputs!$G$18,0,(Inputs!$G$47*T$34)*Inputs!$G$49))</f>
        <v>0</v>
      </c>
      <c r="U43" s="41">
        <f>-IF(Inputs!$G$33="simple",0,IF(U$2&gt;Inputs!$G$18,0,(Inputs!$G$47*U$34)*Inputs!$G$49))</f>
        <v>0</v>
      </c>
      <c r="V43" s="41">
        <f>-IF(Inputs!$G$33="simple",0,IF(V$2&gt;Inputs!$G$18,0,(Inputs!$G$47*V$34)*Inputs!$G$49))</f>
        <v>0</v>
      </c>
      <c r="W43" s="41">
        <f>-IF(Inputs!$G$33="simple",0,IF(W$2&gt;Inputs!$G$18,0,(Inputs!$G$47*W$34)*Inputs!$G$49))</f>
        <v>0</v>
      </c>
      <c r="X43" s="41">
        <f>-IF(Inputs!$G$33="simple",0,IF(X$2&gt;Inputs!$G$18,0,(Inputs!$G$47*X$34)*Inputs!$G$49))</f>
        <v>0</v>
      </c>
      <c r="Y43" s="41">
        <f>-IF(Inputs!$G$33="simple",0,IF(Y$2&gt;Inputs!$G$18,0,(Inputs!$G$47*Y$34)*Inputs!$G$49))</f>
        <v>0</v>
      </c>
      <c r="Z43" s="41">
        <f>-IF(Inputs!$G$33="simple",0,IF(Z$2&gt;Inputs!$G$18,0,(Inputs!$G$47*Z$34)*Inputs!$G$49))</f>
        <v>0</v>
      </c>
      <c r="AA43" s="41">
        <f>-IF(Inputs!$G$33="simple",0,IF(AA$2&gt;Inputs!$G$18,0,(Inputs!$G$47*AA$34)*Inputs!$G$49))</f>
        <v>0</v>
      </c>
      <c r="AB43" s="41">
        <f>-IF(Inputs!$G$33="simple",0,IF(AB$2&gt;Inputs!$G$18,0,(Inputs!$G$47*AB$34)*Inputs!$G$49))</f>
        <v>0</v>
      </c>
      <c r="AC43" s="41">
        <f>-IF(Inputs!$G$33="simple",0,IF(AC$2&gt;Inputs!$G$18,0,(Inputs!$G$47*AC$34)*Inputs!$G$49))</f>
        <v>0</v>
      </c>
      <c r="AD43" s="41">
        <f>-IF(Inputs!$G$33="simple",0,IF(AD$2&gt;Inputs!$G$18,0,(Inputs!$G$47*AD$34)*Inputs!$G$49))</f>
        <v>0</v>
      </c>
      <c r="AE43" s="41">
        <f>-IF(Inputs!$G$33="simple",0,IF(AE$2&gt;Inputs!$G$18,0,(Inputs!$G$47*AE$34)*Inputs!$G$49))</f>
        <v>0</v>
      </c>
      <c r="AF43" s="41">
        <f>-IF(Inputs!$G$33="simple",0,IF(AF$2&gt;Inputs!$G$18,0,(Inputs!$G$47*AF$34)*Inputs!$G$49))</f>
        <v>0</v>
      </c>
      <c r="AG43" s="41">
        <f>-IF(Inputs!$G$33="simple",0,IF(AG$2&gt;Inputs!$G$18,0,(Inputs!$G$47*AG$34)*Inputs!$G$49))</f>
        <v>0</v>
      </c>
      <c r="AH43" s="41">
        <f>-IF(Inputs!$G$33="simple",0,IF(AH$2&gt;Inputs!$G$18,0,(Inputs!$G$47*AH$34)*Inputs!$G$49))</f>
        <v>0</v>
      </c>
      <c r="AI43" s="41">
        <f>-IF(Inputs!$G$33="simple",0,IF(AI$2&gt;Inputs!$G$18,0,(Inputs!$G$47*AI$34)*Inputs!$G$49))</f>
        <v>0</v>
      </c>
      <c r="AJ43" s="41">
        <f>-IF(Inputs!$G$33="simple",0,IF(AJ$2&gt;Inputs!$G$18,0,(Inputs!$G$47*AJ$34)*Inputs!$G$49))</f>
        <v>0</v>
      </c>
    </row>
    <row r="44" spans="2:36" s="29" customFormat="1" ht="16">
      <c r="B44" s="29" t="s">
        <v>113</v>
      </c>
      <c r="E44" s="76" t="s">
        <v>0</v>
      </c>
      <c r="G44" s="84">
        <f>IF(Inputs!$G$33="simple",0,IF(G$2&gt;Inputs!$G$18,0,-Inputs!$G$50))</f>
        <v>0</v>
      </c>
      <c r="H44" s="84">
        <f>IF(Inputs!$G$33="simple",0,IF(H$2&gt;Inputs!$G$18,0,G44*(1+Inputs!$G$51)))</f>
        <v>0</v>
      </c>
      <c r="I44" s="84">
        <f>IF(Inputs!$G$33="simple",0,IF(I$2&gt;Inputs!$G$18,0,H44*(1+Inputs!$G$51)))</f>
        <v>0</v>
      </c>
      <c r="J44" s="84">
        <f>IF(Inputs!$G$33="simple",0,IF(J$2&gt;Inputs!$G$18,0,I44*(1+Inputs!$G$51)))</f>
        <v>0</v>
      </c>
      <c r="K44" s="84">
        <f>IF(Inputs!$G$33="simple",0,IF(K$2&gt;Inputs!$G$18,0,J44*(1+Inputs!$G$51)))</f>
        <v>0</v>
      </c>
      <c r="L44" s="84">
        <f>IF(Inputs!$G$33="simple",0,IF(L$2&gt;Inputs!$G$18,0,K44*(1+Inputs!$G$51)))</f>
        <v>0</v>
      </c>
      <c r="M44" s="84">
        <f>IF(Inputs!$G$33="simple",0,IF(M$2&gt;Inputs!$G$18,0,L44*(1+Inputs!$G$51)))</f>
        <v>0</v>
      </c>
      <c r="N44" s="84">
        <f>IF(Inputs!$G$33="simple",0,IF(N$2&gt;Inputs!$G$18,0,M44*(1+Inputs!$G$51)))</f>
        <v>0</v>
      </c>
      <c r="O44" s="84">
        <f>IF(Inputs!$G$33="simple",0,IF(O$2&gt;Inputs!$G$18,0,N44*(1+Inputs!$G$51)))</f>
        <v>0</v>
      </c>
      <c r="P44" s="84">
        <f>IF(Inputs!$G$33="simple",0,IF(P$2&gt;Inputs!$G$18,0,O44*(1+Inputs!$G$51)))</f>
        <v>0</v>
      </c>
      <c r="Q44" s="84">
        <f>IF(Inputs!$G$33="simple",0,IF(Q$2&gt;Inputs!$G$18,0,P44*(1+Inputs!$G$51)))</f>
        <v>0</v>
      </c>
      <c r="R44" s="84">
        <f>IF(Inputs!$G$33="simple",0,IF(R$2&gt;Inputs!$G$18,0,Q44*(1+Inputs!$G$51)))</f>
        <v>0</v>
      </c>
      <c r="S44" s="84">
        <f>IF(Inputs!$G$33="simple",0,IF(S$2&gt;Inputs!$G$18,0,R44*(1+Inputs!$G$51)))</f>
        <v>0</v>
      </c>
      <c r="T44" s="84">
        <f>IF(Inputs!$G$33="simple",0,IF(T$2&gt;Inputs!$G$18,0,S44*(1+Inputs!$G$51)))</f>
        <v>0</v>
      </c>
      <c r="U44" s="84">
        <f>IF(Inputs!$G$33="simple",0,IF(U$2&gt;Inputs!$G$18,0,T44*(1+Inputs!$G$51)))</f>
        <v>0</v>
      </c>
      <c r="V44" s="84">
        <f>IF(Inputs!$G$33="simple",0,IF(V$2&gt;Inputs!$G$18,0,U44*(1+Inputs!$G$51)))</f>
        <v>0</v>
      </c>
      <c r="W44" s="84">
        <f>IF(Inputs!$G$33="simple",0,IF(W$2&gt;Inputs!$G$18,0,V44*(1+Inputs!$G$51)))</f>
        <v>0</v>
      </c>
      <c r="X44" s="84">
        <f>IF(Inputs!$G$33="simple",0,IF(X$2&gt;Inputs!$G$18,0,W44*(1+Inputs!$G$51)))</f>
        <v>0</v>
      </c>
      <c r="Y44" s="84">
        <f>IF(Inputs!$G$33="simple",0,IF(Y$2&gt;Inputs!$G$18,0,X44*(1+Inputs!$G$51)))</f>
        <v>0</v>
      </c>
      <c r="Z44" s="84">
        <f>IF(Inputs!$G$33="simple",0,IF(Z$2&gt;Inputs!$G$18,0,Y44*(1+Inputs!$G$51)))</f>
        <v>0</v>
      </c>
      <c r="AA44" s="84">
        <f>IF(Inputs!$G$33="simple",0,IF(AA$2&gt;Inputs!$G$18,0,Z44*(1+Inputs!$G$51)))</f>
        <v>0</v>
      </c>
      <c r="AB44" s="84">
        <f>IF(Inputs!$G$33="simple",0,IF(AB$2&gt;Inputs!$G$18,0,AA44*(1+Inputs!$G$51)))</f>
        <v>0</v>
      </c>
      <c r="AC44" s="84">
        <f>IF(Inputs!$G$33="simple",0,IF(AC$2&gt;Inputs!$G$18,0,AB44*(1+Inputs!$G$51)))</f>
        <v>0</v>
      </c>
      <c r="AD44" s="84">
        <f>IF(Inputs!$G$33="simple",0,IF(AD$2&gt;Inputs!$G$18,0,AC44*(1+Inputs!$G$51)))</f>
        <v>0</v>
      </c>
      <c r="AE44" s="84">
        <f>IF(Inputs!$G$33="simple",0,IF(AE$2&gt;Inputs!$G$18,0,AD44*(1+Inputs!$G$51)))</f>
        <v>0</v>
      </c>
      <c r="AF44" s="84">
        <f>IF(Inputs!$G$33="simple",0,IF(AF$2&gt;Inputs!$G$18,0,AE44*(1+Inputs!$G$51)))</f>
        <v>0</v>
      </c>
      <c r="AG44" s="84">
        <f>IF(Inputs!$G$33="simple",0,IF(AG$2&gt;Inputs!$G$18,0,AF44*(1+Inputs!$G$51)))</f>
        <v>0</v>
      </c>
      <c r="AH44" s="84">
        <f>IF(Inputs!$G$33="simple",0,IF(AH$2&gt;Inputs!$G$18,0,AG44*(1+Inputs!$G$51)))</f>
        <v>0</v>
      </c>
      <c r="AI44" s="84">
        <f>IF(Inputs!$G$33="simple",0,IF(AI$2&gt;Inputs!$G$18,0,AH44*(1+Inputs!$G$51)))</f>
        <v>0</v>
      </c>
      <c r="AJ44" s="84">
        <f>IF(Inputs!$G$33="simple",0,IF(AJ$2&gt;Inputs!$G$18,0,AI44*(1+Inputs!$G$51)))</f>
        <v>0</v>
      </c>
    </row>
    <row r="45" spans="2:36" s="29" customFormat="1" ht="16">
      <c r="B45" s="29" t="s">
        <v>329</v>
      </c>
      <c r="E45" s="76" t="s">
        <v>0</v>
      </c>
      <c r="G45" s="84">
        <f>IF(Inputs!$G$33="simple",0,IF(G$2&gt;Inputs!$G$18,0,-Inputs!$G$52*G$32))</f>
        <v>-25000</v>
      </c>
      <c r="H45" s="84">
        <f>IF(Inputs!$G$33="simple",0,IF(H$2&gt;Inputs!$G$18,0,-Inputs!$G$52*H$32))</f>
        <v>-25500</v>
      </c>
      <c r="I45" s="84">
        <f>IF(Inputs!$G$33="simple",0,IF(I$2&gt;Inputs!$G$18,0,-Inputs!$G$52*I$32))</f>
        <v>-26010</v>
      </c>
      <c r="J45" s="84">
        <f>IF(Inputs!$G$33="simple",0,IF(J$2&gt;Inputs!$G$18,0,-Inputs!$G$52*J$32))</f>
        <v>-26530.199999999997</v>
      </c>
      <c r="K45" s="84">
        <f>IF(Inputs!$G$33="simple",0,IF(K$2&gt;Inputs!$G$18,0,-Inputs!$G$52*K$32))</f>
        <v>-27060.804</v>
      </c>
      <c r="L45" s="84">
        <f>IF(Inputs!$G$33="simple",0,IF(L$2&gt;Inputs!$G$18,0,-Inputs!$G$52*L$32))</f>
        <v>-27602.020080000002</v>
      </c>
      <c r="M45" s="84">
        <f>IF(Inputs!$G$33="simple",0,IF(M$2&gt;Inputs!$G$18,0,-Inputs!$G$52*M$32))</f>
        <v>-28154.060481600001</v>
      </c>
      <c r="N45" s="84">
        <f>IF(Inputs!$G$33="simple",0,IF(N$2&gt;Inputs!$G$18,0,-Inputs!$G$52*N$32))</f>
        <v>-28717.141691232002</v>
      </c>
      <c r="O45" s="84">
        <f>IF(Inputs!$G$33="simple",0,IF(O$2&gt;Inputs!$G$18,0,-Inputs!$G$52*O$32))</f>
        <v>-29291.484525056643</v>
      </c>
      <c r="P45" s="84">
        <f>IF(Inputs!$G$33="simple",0,IF(P$2&gt;Inputs!$G$18,0,-Inputs!$G$52*P$32))</f>
        <v>-29877.314215557777</v>
      </c>
      <c r="Q45" s="84">
        <f>IF(Inputs!$G$33="simple",0,IF(Q$2&gt;Inputs!$G$18,0,-Inputs!$G$52*Q$32))</f>
        <v>-30474.860499868933</v>
      </c>
      <c r="R45" s="84">
        <f>IF(Inputs!$G$33="simple",0,IF(R$2&gt;Inputs!$G$18,0,-Inputs!$G$52*R$32))</f>
        <v>-31084.357709866312</v>
      </c>
      <c r="S45" s="84">
        <f>IF(Inputs!$G$33="simple",0,IF(S$2&gt;Inputs!$G$18,0,-Inputs!$G$52*S$32))</f>
        <v>-31706.044864063639</v>
      </c>
      <c r="T45" s="84">
        <f>IF(Inputs!$G$33="simple",0,IF(T$2&gt;Inputs!$G$18,0,-Inputs!$G$52*T$32))</f>
        <v>-32340.165761344906</v>
      </c>
      <c r="U45" s="84">
        <f>IF(Inputs!$G$33="simple",0,IF(U$2&gt;Inputs!$G$18,0,-Inputs!$G$52*U$32))</f>
        <v>-32986.969076571811</v>
      </c>
      <c r="V45" s="84">
        <f>IF(Inputs!$G$33="simple",0,IF(V$2&gt;Inputs!$G$18,0,-Inputs!$G$52*V$32))</f>
        <v>-33646.708458103247</v>
      </c>
      <c r="W45" s="84">
        <f>IF(Inputs!$G$33="simple",0,IF(W$2&gt;Inputs!$G$18,0,-Inputs!$G$52*W$32))</f>
        <v>-34319.642627265312</v>
      </c>
      <c r="X45" s="84">
        <f>IF(Inputs!$G$33="simple",0,IF(X$2&gt;Inputs!$G$18,0,-Inputs!$G$52*X$32))</f>
        <v>-35006.03547981062</v>
      </c>
      <c r="Y45" s="84">
        <f>IF(Inputs!$G$33="simple",0,IF(Y$2&gt;Inputs!$G$18,0,-Inputs!$G$52*Y$32))</f>
        <v>-35706.156189406836</v>
      </c>
      <c r="Z45" s="84">
        <f>IF(Inputs!$G$33="simple",0,IF(Z$2&gt;Inputs!$G$18,0,-Inputs!$G$52*Z$32))</f>
        <v>-36420.279313194973</v>
      </c>
      <c r="AA45" s="84">
        <f>IF(Inputs!$G$33="simple",0,IF(AA$2&gt;Inputs!$G$18,0,-Inputs!$G$52*AA$32))</f>
        <v>0</v>
      </c>
      <c r="AB45" s="84">
        <f>IF(Inputs!$G$33="simple",0,IF(AB$2&gt;Inputs!$G$18,0,-Inputs!$G$52*AB$32))</f>
        <v>0</v>
      </c>
      <c r="AC45" s="84">
        <f>IF(Inputs!$G$33="simple",0,IF(AC$2&gt;Inputs!$G$18,0,-Inputs!$G$52*AC$32))</f>
        <v>0</v>
      </c>
      <c r="AD45" s="84">
        <f>IF(Inputs!$G$33="simple",0,IF(AD$2&gt;Inputs!$G$18,0,-Inputs!$G$52*AD$32))</f>
        <v>0</v>
      </c>
      <c r="AE45" s="84">
        <f>IF(Inputs!$G$33="simple",0,IF(AE$2&gt;Inputs!$G$18,0,-Inputs!$G$52*AE$32))</f>
        <v>0</v>
      </c>
      <c r="AF45" s="84">
        <f>IF(Inputs!$G$33="simple",0,IF(AF$2&gt;Inputs!$G$18,0,-Inputs!$G$52*AF$32))</f>
        <v>0</v>
      </c>
      <c r="AG45" s="84">
        <f>IF(Inputs!$G$33="simple",0,IF(AG$2&gt;Inputs!$G$18,0,-Inputs!$G$52*AG$32))</f>
        <v>0</v>
      </c>
      <c r="AH45" s="84">
        <f>IF(Inputs!$G$33="simple",0,IF(AH$2&gt;Inputs!$G$18,0,-Inputs!$G$52*AH$32))</f>
        <v>0</v>
      </c>
      <c r="AI45" s="84">
        <f>IF(Inputs!$G$33="simple",0,IF(AI$2&gt;Inputs!$G$18,0,-Inputs!$G$52*AI$32))</f>
        <v>0</v>
      </c>
      <c r="AJ45" s="84">
        <f>IF(Inputs!$G$33="simple",0,IF(AJ$2&gt;Inputs!$G$18,0,-Inputs!$G$52*AJ$32))</f>
        <v>0</v>
      </c>
    </row>
    <row r="46" spans="2:36" s="29" customFormat="1" ht="16">
      <c r="B46" s="40" t="s">
        <v>114</v>
      </c>
      <c r="C46" s="40"/>
      <c r="D46" s="40"/>
      <c r="E46" s="80" t="s">
        <v>0</v>
      </c>
      <c r="F46" s="40"/>
      <c r="G46" s="53">
        <f>-IF(Inputs!$G$33="simple",0,IF(G$2&gt;Inputs!$G$18,0,Inputs!$G$53*(G$18+G$20+G$22+G$24)))</f>
        <v>0</v>
      </c>
      <c r="H46" s="53">
        <f>-IF(Inputs!$G$33="simple",0,IF(H$2&gt;Inputs!$G$18,0,Inputs!$G$53*(H$18+H$20+H$22+H$24)))</f>
        <v>0</v>
      </c>
      <c r="I46" s="53">
        <f>-IF(Inputs!$G$33="simple",0,IF(I$2&gt;Inputs!$G$18,0,Inputs!$G$53*(I$18+I$20+I$22+I$24)))</f>
        <v>0</v>
      </c>
      <c r="J46" s="53">
        <f>-IF(Inputs!$G$33="simple",0,IF(J$2&gt;Inputs!$G$18,0,Inputs!$G$53*(J$18+J$20+J$22+J$24)))</f>
        <v>0</v>
      </c>
      <c r="K46" s="53">
        <f>-IF(Inputs!$G$33="simple",0,IF(K$2&gt;Inputs!$G$18,0,Inputs!$G$53*(K$18+K$20+K$22+K$24)))</f>
        <v>0</v>
      </c>
      <c r="L46" s="53">
        <f>-IF(Inputs!$G$33="simple",0,IF(L$2&gt;Inputs!$G$18,0,Inputs!$G$53*(L$18+L$20+L$22+L$24)))</f>
        <v>0</v>
      </c>
      <c r="M46" s="53">
        <f>-IF(Inputs!$G$33="simple",0,IF(M$2&gt;Inputs!$G$18,0,Inputs!$G$53*(M$18+M$20+M$22+M$24)))</f>
        <v>0</v>
      </c>
      <c r="N46" s="53">
        <f>-IF(Inputs!$G$33="simple",0,IF(N$2&gt;Inputs!$G$18,0,Inputs!$G$53*(N$18+N$20+N$22+N$24)))</f>
        <v>0</v>
      </c>
      <c r="O46" s="53">
        <f>-IF(Inputs!$G$33="simple",0,IF(O$2&gt;Inputs!$G$18,0,Inputs!$G$53*(O$18+O$20+O$22+O$24)))</f>
        <v>0</v>
      </c>
      <c r="P46" s="53">
        <f>-IF(Inputs!$G$33="simple",0,IF(P$2&gt;Inputs!$G$18,0,Inputs!$G$53*(P$18+P$20+P$22+P$24)))</f>
        <v>0</v>
      </c>
      <c r="Q46" s="53">
        <f>-IF(Inputs!$G$33="simple",0,IF(Q$2&gt;Inputs!$G$18,0,Inputs!$G$53*(Q$18+Q$20+Q$22+Q$24)))</f>
        <v>0</v>
      </c>
      <c r="R46" s="53">
        <f>-IF(Inputs!$G$33="simple",0,IF(R$2&gt;Inputs!$G$18,0,Inputs!$G$53*(R$18+R$20+R$22+R$24)))</f>
        <v>0</v>
      </c>
      <c r="S46" s="53">
        <f>-IF(Inputs!$G$33="simple",0,IF(S$2&gt;Inputs!$G$18,0,Inputs!$G$53*(S$18+S$20+S$22+S$24)))</f>
        <v>0</v>
      </c>
      <c r="T46" s="53">
        <f>-IF(Inputs!$G$33="simple",0,IF(T$2&gt;Inputs!$G$18,0,Inputs!$G$53*(T$18+T$20+T$22+T$24)))</f>
        <v>0</v>
      </c>
      <c r="U46" s="53">
        <f>-IF(Inputs!$G$33="simple",0,IF(U$2&gt;Inputs!$G$18,0,Inputs!$G$53*(U$18+U$20+U$22+U$24)))</f>
        <v>0</v>
      </c>
      <c r="V46" s="53">
        <f>-IF(Inputs!$G$33="simple",0,IF(V$2&gt;Inputs!$G$18,0,Inputs!$G$53*(V$18+V$20+V$22+V$24)))</f>
        <v>0</v>
      </c>
      <c r="W46" s="53">
        <f>-IF(Inputs!$G$33="simple",0,IF(W$2&gt;Inputs!$G$18,0,Inputs!$G$53*(W$18+W$20+W$22+W$24)))</f>
        <v>0</v>
      </c>
      <c r="X46" s="53">
        <f>-IF(Inputs!$G$33="simple",0,IF(X$2&gt;Inputs!$G$18,0,Inputs!$G$53*(X$18+X$20+X$22+X$24)))</f>
        <v>0</v>
      </c>
      <c r="Y46" s="53">
        <f>-IF(Inputs!$G$33="simple",0,IF(Y$2&gt;Inputs!$G$18,0,Inputs!$G$53*(Y$18+Y$20+Y$22+Y$24)))</f>
        <v>0</v>
      </c>
      <c r="Z46" s="53">
        <f>-IF(Inputs!$G$33="simple",0,IF(Z$2&gt;Inputs!$G$18,0,Inputs!$G$53*(Z$18+Z$20+Z$22+Z$24)))</f>
        <v>0</v>
      </c>
      <c r="AA46" s="53">
        <f>-IF(Inputs!$G$33="simple",0,IF(AA$2&gt;Inputs!$G$18,0,Inputs!$G$53*(AA$18+AA$20+AA$22+AA$24)))</f>
        <v>0</v>
      </c>
      <c r="AB46" s="53">
        <f>-IF(Inputs!$G$33="simple",0,IF(AB$2&gt;Inputs!$G$18,0,Inputs!$G$53*(AB$18+AB$20+AB$22+AB$24)))</f>
        <v>0</v>
      </c>
      <c r="AC46" s="53">
        <f>-IF(Inputs!$G$33="simple",0,IF(AC$2&gt;Inputs!$G$18,0,Inputs!$G$53*(AC$18+AC$20+AC$22+AC$24)))</f>
        <v>0</v>
      </c>
      <c r="AD46" s="53">
        <f>-IF(Inputs!$G$33="simple",0,IF(AD$2&gt;Inputs!$G$18,0,Inputs!$G$53*(AD$18+AD$20+AD$22+AD$24)))</f>
        <v>0</v>
      </c>
      <c r="AE46" s="53">
        <f>-IF(Inputs!$G$33="simple",0,IF(AE$2&gt;Inputs!$G$18,0,Inputs!$G$53*(AE$18+AE$20+AE$22+AE$24)))</f>
        <v>0</v>
      </c>
      <c r="AF46" s="53">
        <f>-IF(Inputs!$G$33="simple",0,IF(AF$2&gt;Inputs!$G$18,0,Inputs!$G$53*(AF$18+AF$20+AF$22+AF$24)))</f>
        <v>0</v>
      </c>
      <c r="AG46" s="53">
        <f>-IF(Inputs!$G$33="simple",0,IF(AG$2&gt;Inputs!$G$18,0,Inputs!$G$53*(AG$18+AG$20+AG$22+AG$24)))</f>
        <v>0</v>
      </c>
      <c r="AH46" s="53">
        <f>-IF(Inputs!$G$33="simple",0,IF(AH$2&gt;Inputs!$G$18,0,Inputs!$G$53*(AH$18+AH$20+AH$22+AH$24)))</f>
        <v>0</v>
      </c>
      <c r="AI46" s="53">
        <f>-IF(Inputs!$G$33="simple",0,IF(AI$2&gt;Inputs!$G$18,0,Inputs!$G$53*(AI$18+AI$20+AI$22+AI$24)))</f>
        <v>0</v>
      </c>
      <c r="AJ46" s="53">
        <f>-IF(Inputs!$G$33="simple",0,IF(AJ$2&gt;Inputs!$G$18,0,Inputs!$G$53*(AJ$18+AJ$20+AJ$22+AJ$24)))</f>
        <v>0</v>
      </c>
    </row>
    <row r="47" spans="2:36" s="29" customFormat="1" ht="16">
      <c r="B47" s="43" t="s">
        <v>117</v>
      </c>
      <c r="C47" s="43"/>
      <c r="D47" s="43"/>
      <c r="E47" s="81" t="s">
        <v>0</v>
      </c>
      <c r="F47" s="34"/>
      <c r="G47" s="44">
        <f>SUM(G37:G46)</f>
        <v>-350888</v>
      </c>
      <c r="H47" s="44">
        <f t="shared" ref="H47:AJ47" si="5">SUM(H37:H46)</f>
        <v>-357905.76</v>
      </c>
      <c r="I47" s="44">
        <f t="shared" si="5"/>
        <v>-365063.87520000001</v>
      </c>
      <c r="J47" s="44">
        <f t="shared" si="5"/>
        <v>-372365.15270400001</v>
      </c>
      <c r="K47" s="44">
        <f t="shared" si="5"/>
        <v>-379812.45575808</v>
      </c>
      <c r="L47" s="44">
        <f t="shared" si="5"/>
        <v>-387408.70487324154</v>
      </c>
      <c r="M47" s="44">
        <f t="shared" si="5"/>
        <v>-395156.87897070643</v>
      </c>
      <c r="N47" s="44">
        <f t="shared" si="5"/>
        <v>-403060.01655012055</v>
      </c>
      <c r="O47" s="44">
        <f t="shared" si="5"/>
        <v>-411121.21688112291</v>
      </c>
      <c r="P47" s="44">
        <f t="shared" si="5"/>
        <v>-419343.64121874544</v>
      </c>
      <c r="Q47" s="44">
        <f t="shared" si="5"/>
        <v>-427730.51404312032</v>
      </c>
      <c r="R47" s="44">
        <f t="shared" si="5"/>
        <v>-436285.1243239828</v>
      </c>
      <c r="S47" s="44">
        <f t="shared" si="5"/>
        <v>-445010.8268104624</v>
      </c>
      <c r="T47" s="44">
        <f t="shared" si="5"/>
        <v>-453911.04334667168</v>
      </c>
      <c r="U47" s="44">
        <f t="shared" si="5"/>
        <v>-462989.26421360514</v>
      </c>
      <c r="V47" s="44">
        <f t="shared" si="5"/>
        <v>-472249.04949787725</v>
      </c>
      <c r="W47" s="44">
        <f t="shared" si="5"/>
        <v>-481694.03048783483</v>
      </c>
      <c r="X47" s="44">
        <f t="shared" si="5"/>
        <v>-491327.91109759163</v>
      </c>
      <c r="Y47" s="44">
        <f t="shared" si="5"/>
        <v>-501154.46931954345</v>
      </c>
      <c r="Z47" s="44">
        <f t="shared" si="5"/>
        <v>-511177.55870593427</v>
      </c>
      <c r="AA47" s="44">
        <f t="shared" si="5"/>
        <v>0</v>
      </c>
      <c r="AB47" s="44">
        <f t="shared" si="5"/>
        <v>0</v>
      </c>
      <c r="AC47" s="44">
        <f t="shared" si="5"/>
        <v>0</v>
      </c>
      <c r="AD47" s="44">
        <f t="shared" si="5"/>
        <v>0</v>
      </c>
      <c r="AE47" s="44">
        <f t="shared" si="5"/>
        <v>0</v>
      </c>
      <c r="AF47" s="44">
        <f t="shared" si="5"/>
        <v>0</v>
      </c>
      <c r="AG47" s="44">
        <f t="shared" si="5"/>
        <v>0</v>
      </c>
      <c r="AH47" s="44">
        <f t="shared" si="5"/>
        <v>0</v>
      </c>
      <c r="AI47" s="44">
        <f t="shared" si="5"/>
        <v>0</v>
      </c>
      <c r="AJ47" s="44">
        <f t="shared" si="5"/>
        <v>0</v>
      </c>
    </row>
    <row r="48" spans="2:36" s="29" customFormat="1" ht="16" hidden="1">
      <c r="B48" s="43"/>
      <c r="C48" s="43"/>
      <c r="D48" s="43"/>
      <c r="E48" s="81"/>
      <c r="F48" s="34"/>
      <c r="G48" s="44">
        <f>IF(G47=0,"",G47)</f>
        <v>-350888</v>
      </c>
      <c r="H48" s="44">
        <f t="shared" ref="H48:AJ48" si="6">IF(H47=0,"",H47)</f>
        <v>-357905.76</v>
      </c>
      <c r="I48" s="44">
        <f t="shared" si="6"/>
        <v>-365063.87520000001</v>
      </c>
      <c r="J48" s="44">
        <f t="shared" si="6"/>
        <v>-372365.15270400001</v>
      </c>
      <c r="K48" s="44">
        <f t="shared" si="6"/>
        <v>-379812.45575808</v>
      </c>
      <c r="L48" s="44">
        <f t="shared" si="6"/>
        <v>-387408.70487324154</v>
      </c>
      <c r="M48" s="44">
        <f t="shared" si="6"/>
        <v>-395156.87897070643</v>
      </c>
      <c r="N48" s="44">
        <f t="shared" si="6"/>
        <v>-403060.01655012055</v>
      </c>
      <c r="O48" s="44">
        <f t="shared" si="6"/>
        <v>-411121.21688112291</v>
      </c>
      <c r="P48" s="44">
        <f t="shared" si="6"/>
        <v>-419343.64121874544</v>
      </c>
      <c r="Q48" s="44">
        <f t="shared" si="6"/>
        <v>-427730.51404312032</v>
      </c>
      <c r="R48" s="44">
        <f t="shared" si="6"/>
        <v>-436285.1243239828</v>
      </c>
      <c r="S48" s="44">
        <f t="shared" si="6"/>
        <v>-445010.8268104624</v>
      </c>
      <c r="T48" s="44">
        <f t="shared" si="6"/>
        <v>-453911.04334667168</v>
      </c>
      <c r="U48" s="44">
        <f t="shared" si="6"/>
        <v>-462989.26421360514</v>
      </c>
      <c r="V48" s="44">
        <f t="shared" si="6"/>
        <v>-472249.04949787725</v>
      </c>
      <c r="W48" s="44">
        <f t="shared" si="6"/>
        <v>-481694.03048783483</v>
      </c>
      <c r="X48" s="44">
        <f t="shared" si="6"/>
        <v>-491327.91109759163</v>
      </c>
      <c r="Y48" s="44">
        <f t="shared" si="6"/>
        <v>-501154.46931954345</v>
      </c>
      <c r="Z48" s="44">
        <f t="shared" si="6"/>
        <v>-511177.55870593427</v>
      </c>
      <c r="AA48" s="44" t="str">
        <f t="shared" si="6"/>
        <v/>
      </c>
      <c r="AB48" s="44" t="str">
        <f t="shared" si="6"/>
        <v/>
      </c>
      <c r="AC48" s="44" t="str">
        <f t="shared" si="6"/>
        <v/>
      </c>
      <c r="AD48" s="44" t="str">
        <f t="shared" si="6"/>
        <v/>
      </c>
      <c r="AE48" s="44" t="str">
        <f t="shared" si="6"/>
        <v/>
      </c>
      <c r="AF48" s="44" t="str">
        <f t="shared" si="6"/>
        <v/>
      </c>
      <c r="AG48" s="44" t="str">
        <f t="shared" si="6"/>
        <v/>
      </c>
      <c r="AH48" s="44" t="str">
        <f t="shared" si="6"/>
        <v/>
      </c>
      <c r="AI48" s="44" t="str">
        <f t="shared" si="6"/>
        <v/>
      </c>
      <c r="AJ48" s="44" t="str">
        <f t="shared" si="6"/>
        <v/>
      </c>
    </row>
    <row r="49" spans="1:36" s="29" customFormat="1" ht="16">
      <c r="B49" s="45" t="s">
        <v>117</v>
      </c>
      <c r="C49" s="45"/>
      <c r="D49" s="45"/>
      <c r="E49" s="79" t="s">
        <v>52</v>
      </c>
      <c r="F49" s="46"/>
      <c r="G49" s="694">
        <f>IF(G$2&gt;Inputs!$G$18,0,G47*100/G5)</f>
        <v>-9.6752917300862507</v>
      </c>
      <c r="H49" s="694">
        <f>IF(H$2&gt;Inputs!$G$18,0,H47*100/H5)</f>
        <v>-9.8687975646879753</v>
      </c>
      <c r="I49" s="694">
        <f>IF(I$2&gt;Inputs!$G$18,0,I47*100/I5)</f>
        <v>-10.066173515981736</v>
      </c>
      <c r="J49" s="694">
        <f>IF(J$2&gt;Inputs!$G$18,0,J47*100/J5)</f>
        <v>-10.267496986301371</v>
      </c>
      <c r="K49" s="694">
        <f>IF(K$2&gt;Inputs!$G$18,0,K47*100/K5)</f>
        <v>-10.472846926027398</v>
      </c>
      <c r="L49" s="694">
        <f>IF(L$2&gt;Inputs!$G$18,0,L47*100/L5)</f>
        <v>-10.682303864547944</v>
      </c>
      <c r="M49" s="694">
        <f>IF(M$2&gt;Inputs!$G$18,0,M47*100/M5)</f>
        <v>-10.895949941838905</v>
      </c>
      <c r="N49" s="694">
        <f>IF(N$2&gt;Inputs!$G$18,0,N47*100/N5)</f>
        <v>-11.113868940675681</v>
      </c>
      <c r="O49" s="694">
        <f>IF(O$2&gt;Inputs!$G$18,0,O47*100/O5)</f>
        <v>-11.336146319489194</v>
      </c>
      <c r="P49" s="694">
        <f>IF(P$2&gt;Inputs!$G$18,0,P47*100/P5)</f>
        <v>-11.562869245878979</v>
      </c>
      <c r="Q49" s="694">
        <f>IF(Q$2&gt;Inputs!$G$18,0,Q47*100/Q5)</f>
        <v>-11.794126630796558</v>
      </c>
      <c r="R49" s="694">
        <f>IF(R$2&gt;Inputs!$G$18,0,R47*100/R5)</f>
        <v>-12.030009163412492</v>
      </c>
      <c r="S49" s="694">
        <f>IF(S$2&gt;Inputs!$G$18,0,S47*100/S5)</f>
        <v>-12.27060934668074</v>
      </c>
      <c r="T49" s="694">
        <f>IF(T$2&gt;Inputs!$G$18,0,T47*100/T5)</f>
        <v>-12.516021533614357</v>
      </c>
      <c r="U49" s="694">
        <f>IF(U$2&gt;Inputs!$G$18,0,U47*100/U5)</f>
        <v>-12.766341964286644</v>
      </c>
      <c r="V49" s="694">
        <f>IF(V$2&gt;Inputs!$G$18,0,V47*100/V5)</f>
        <v>-13.021668803572377</v>
      </c>
      <c r="W49" s="694">
        <f>IF(W$2&gt;Inputs!$G$18,0,W47*100/W5)</f>
        <v>-13.282102179643825</v>
      </c>
      <c r="X49" s="694">
        <f>IF(X$2&gt;Inputs!$G$18,0,X47*100/X5)</f>
        <v>-13.547744223236704</v>
      </c>
      <c r="Y49" s="694">
        <f>IF(Y$2&gt;Inputs!$G$18,0,Y47*100/Y5)</f>
        <v>-13.818699107701439</v>
      </c>
      <c r="Z49" s="694">
        <f>IF(Z$2&gt;Inputs!$G$18,0,Z47*100/Z5)</f>
        <v>-14.095073089855466</v>
      </c>
      <c r="AA49" s="694">
        <f>IF(AA$2&gt;Inputs!$G$18,0,AA47*100/AA5)</f>
        <v>0</v>
      </c>
      <c r="AB49" s="694">
        <f>IF(AB$2&gt;Inputs!$G$18,0,AB47*100/AB5)</f>
        <v>0</v>
      </c>
      <c r="AC49" s="694">
        <f>IF(AC$2&gt;Inputs!$G$18,0,AC47*100/AC5)</f>
        <v>0</v>
      </c>
      <c r="AD49" s="694">
        <f>IF(AD$2&gt;Inputs!$G$18,0,AD47*100/AD5)</f>
        <v>0</v>
      </c>
      <c r="AE49" s="694">
        <f>IF(AE$2&gt;Inputs!$G$18,0,AE47*100/AE5)</f>
        <v>0</v>
      </c>
      <c r="AF49" s="694">
        <f>IF(AF$2&gt;Inputs!$G$18,0,AF47*100/AF5)</f>
        <v>0</v>
      </c>
      <c r="AG49" s="694">
        <f>IF(AG$2&gt;Inputs!$G$18,0,AG47*100/AG5)</f>
        <v>0</v>
      </c>
      <c r="AH49" s="694">
        <f>IF(AH$2&gt;Inputs!$G$18,0,AH47*100/AH5)</f>
        <v>0</v>
      </c>
      <c r="AI49" s="694">
        <f>IF(AI$2&gt;Inputs!$G$18,0,AI47*100/AI5)</f>
        <v>0</v>
      </c>
      <c r="AJ49" s="694">
        <f>IF(AJ$2&gt;Inputs!$G$18,0,AJ47*100/AJ5)</f>
        <v>0</v>
      </c>
    </row>
    <row r="50" spans="1:36" s="29" customFormat="1" ht="16">
      <c r="E50" s="79"/>
    </row>
    <row r="51" spans="1:36" s="29" customFormat="1" ht="16">
      <c r="B51" s="34" t="s">
        <v>118</v>
      </c>
      <c r="C51" s="34"/>
      <c r="D51" s="34"/>
      <c r="E51" s="76" t="s">
        <v>0</v>
      </c>
      <c r="F51" s="31"/>
      <c r="G51" s="44">
        <f t="shared" ref="G51:AJ51" si="7">G29+G47</f>
        <v>420183.20986735867</v>
      </c>
      <c r="H51" s="44">
        <f t="shared" si="7"/>
        <v>414253.44186735863</v>
      </c>
      <c r="I51" s="44">
        <f t="shared" si="7"/>
        <v>408205.07850735856</v>
      </c>
      <c r="J51" s="44">
        <f t="shared" si="7"/>
        <v>402035.74788015871</v>
      </c>
      <c r="K51" s="44">
        <f t="shared" si="7"/>
        <v>395743.03064041457</v>
      </c>
      <c r="L51" s="44">
        <f t="shared" si="7"/>
        <v>389324.45905587584</v>
      </c>
      <c r="M51" s="44">
        <f t="shared" si="7"/>
        <v>382777.51603964617</v>
      </c>
      <c r="N51" s="44">
        <f t="shared" si="7"/>
        <v>376099.63416309177</v>
      </c>
      <c r="O51" s="44">
        <f t="shared" si="7"/>
        <v>369288.19464900659</v>
      </c>
      <c r="P51" s="44">
        <f t="shared" si="7"/>
        <v>362340.52634463942</v>
      </c>
      <c r="Q51" s="44">
        <f t="shared" si="7"/>
        <v>288941.09582423826</v>
      </c>
      <c r="R51" s="44">
        <f t="shared" si="7"/>
        <v>280386.48554337578</v>
      </c>
      <c r="S51" s="44">
        <f t="shared" si="7"/>
        <v>271660.78305689618</v>
      </c>
      <c r="T51" s="44">
        <f t="shared" si="7"/>
        <v>261835.14199213305</v>
      </c>
      <c r="U51" s="44">
        <f t="shared" si="7"/>
        <v>251831.49659664574</v>
      </c>
      <c r="V51" s="44">
        <f t="shared" si="7"/>
        <v>242571.71131237363</v>
      </c>
      <c r="W51" s="44">
        <f t="shared" si="7"/>
        <v>233126.73032241606</v>
      </c>
      <c r="X51" s="44">
        <f t="shared" si="7"/>
        <v>223492.84971265926</v>
      </c>
      <c r="Y51" s="44">
        <f t="shared" si="7"/>
        <v>213666.29149070743</v>
      </c>
      <c r="Z51" s="44">
        <f t="shared" si="7"/>
        <v>202044.64169919112</v>
      </c>
      <c r="AA51" s="44">
        <f t="shared" si="7"/>
        <v>-2.1827872842550277E-13</v>
      </c>
      <c r="AB51" s="44">
        <f t="shared" si="7"/>
        <v>0</v>
      </c>
      <c r="AC51" s="44">
        <f t="shared" si="7"/>
        <v>0</v>
      </c>
      <c r="AD51" s="44">
        <f t="shared" si="7"/>
        <v>0</v>
      </c>
      <c r="AE51" s="44">
        <f t="shared" si="7"/>
        <v>0</v>
      </c>
      <c r="AF51" s="44">
        <f t="shared" si="7"/>
        <v>0</v>
      </c>
      <c r="AG51" s="44">
        <f t="shared" si="7"/>
        <v>0</v>
      </c>
      <c r="AH51" s="44">
        <f t="shared" si="7"/>
        <v>0</v>
      </c>
      <c r="AI51" s="44">
        <f t="shared" si="7"/>
        <v>0</v>
      </c>
      <c r="AJ51" s="44">
        <f t="shared" si="7"/>
        <v>0</v>
      </c>
    </row>
    <row r="52" spans="1:36" s="29" customFormat="1" ht="16">
      <c r="B52" s="34"/>
      <c r="C52" s="34"/>
      <c r="D52" s="34"/>
      <c r="E52" s="76" t="s">
        <v>256</v>
      </c>
      <c r="F52" s="82" t="s">
        <v>191</v>
      </c>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row>
    <row r="53" spans="1:36" s="31" customFormat="1" ht="16">
      <c r="B53" s="47" t="s">
        <v>149</v>
      </c>
      <c r="C53" s="47"/>
      <c r="D53" s="47"/>
      <c r="E53" s="48">
        <f>IF(OR(Inputs!$G$62=0,Inputs!$G$62=""),"N/A",AVERAGE(G53:AJ53))</f>
        <v>1.4841127971329571</v>
      </c>
      <c r="F53" s="48">
        <f>IF(OR(Inputs!$G$62=0,Inputs!$G$62=""),"N/A",MIN(G53:AJ53))</f>
        <v>1.10082227672882</v>
      </c>
      <c r="G53" s="48">
        <f>IF(OR(Inputs!$G$62=0,Inputs!$G$62=""),"N/A",IF(G$2&gt;Inputs!$G$63,"N/A",(G51+SUM(G59:G60))/-G97))</f>
        <v>1.702664008122712</v>
      </c>
      <c r="H53" s="48">
        <f>IF(OR(Inputs!$G$62=0,Inputs!$G$62=""),"N/A",IF(H$2&gt;Inputs!$G$63,"N/A",(H51+SUM(H59:H60))/-H97))</f>
        <v>1.6786354360307785</v>
      </c>
      <c r="I53" s="48">
        <f>IF(OR(Inputs!$G$62=0,Inputs!$G$62=""),"N/A",IF(I$2&gt;Inputs!$G$63,"N/A",(I51+SUM(I59:I60))/-I97))</f>
        <v>1.6541262924970062</v>
      </c>
      <c r="J53" s="48">
        <f>IF(OR(Inputs!$G$62=0,Inputs!$G$62=""),"N/A",IF(J$2&gt;Inputs!$G$63,"N/A",(J51+SUM(J59:J60))/-J97))</f>
        <v>1.6291269660925594</v>
      </c>
      <c r="K53" s="48">
        <f>IF(OR(Inputs!$G$62=0,Inputs!$G$62=""),"N/A",IF(K$2&gt;Inputs!$G$63,"N/A",(K51+SUM(K59:K60))/-K97))</f>
        <v>1.6036276531600224</v>
      </c>
      <c r="L53" s="48">
        <f>IF(OR(Inputs!$G$62=0,Inputs!$G$62=""),"N/A",IF(L$2&gt;Inputs!$G$63,"N/A",(L51+SUM(L59:L60))/-L97))</f>
        <v>1.5776183539688355</v>
      </c>
      <c r="M53" s="48">
        <f>IF(OR(Inputs!$G$62=0,Inputs!$G$62=""),"N/A",IF(M$2&gt;Inputs!$G$63,"N/A",(M51+SUM(M59:M60))/-M97))</f>
        <v>1.5510888687938249</v>
      </c>
      <c r="N53" s="48">
        <f>IF(OR(Inputs!$G$62=0,Inputs!$G$62=""),"N/A",IF(N$2&gt;Inputs!$G$63,"N/A",(N51+SUM(N59:N60))/-N97))</f>
        <v>1.524028793915313</v>
      </c>
      <c r="O53" s="48">
        <f>IF(OR(Inputs!$G$62=0,Inputs!$G$62=""),"N/A",IF(O$2&gt;Inputs!$G$63,"N/A",(O51+SUM(O59:O60))/-O97))</f>
        <v>1.4964275175392323</v>
      </c>
      <c r="P53" s="48">
        <f>IF(OR(Inputs!$G$62=0,Inputs!$G$62=""),"N/A",IF(P$2&gt;Inputs!$G$63,"N/A",(P51+SUM(P59:P60))/-P97))</f>
        <v>1.468274215635629</v>
      </c>
      <c r="Q53" s="48">
        <f>IF(OR(Inputs!$G$62=0,Inputs!$G$62=""),"N/A",IF(Q$2&gt;Inputs!$G$63,"N/A",(Q51+SUM(Q59:Q60))/-Q97))</f>
        <v>1.1708454616327213</v>
      </c>
      <c r="R53" s="48">
        <f>IF(OR(Inputs!$G$62=0,Inputs!$G$62=""),"N/A",IF(R$2&gt;Inputs!$G$63,"N/A",(R51+SUM(R59:R60))/-R97))</f>
        <v>1.1361805186109877</v>
      </c>
      <c r="S53" s="48">
        <f>IF(OR(Inputs!$G$62=0,Inputs!$G$62=""),"N/A",IF(S$2&gt;Inputs!$G$63,"N/A",(S51+SUM(S59:S60))/-S97))</f>
        <v>1.10082227672882</v>
      </c>
      <c r="T53" s="48" t="str">
        <f>IF(OR(Inputs!$G$62=0,Inputs!$G$62=""),"N/A",IF(T$2&gt;Inputs!$G$63,"N/A",(T51+SUM(T59:T60))/-T97))</f>
        <v>N/A</v>
      </c>
      <c r="U53" s="48" t="str">
        <f>IF(OR(Inputs!$G$62=0,Inputs!$G$62=""),"N/A",IF(U$2&gt;Inputs!$G$63,"N/A",(U51+SUM(U59:U60))/-U97))</f>
        <v>N/A</v>
      </c>
      <c r="V53" s="48" t="str">
        <f>IF(OR(Inputs!$G$62=0,Inputs!$G$62=""),"N/A",IF(V$2&gt;Inputs!$G$63,"N/A",(V51+SUM(V59:V60))/-V97))</f>
        <v>N/A</v>
      </c>
      <c r="W53" s="48" t="str">
        <f>IF(OR(Inputs!$G$62=0,Inputs!$G$62=""),"N/A",IF(W$2&gt;Inputs!$G$63,"N/A",(W51+SUM(W59:W60))/-W97))</f>
        <v>N/A</v>
      </c>
      <c r="X53" s="48" t="str">
        <f>IF(OR(Inputs!$G$62=0,Inputs!$G$62=""),"N/A",IF(X$2&gt;Inputs!$G$63,"N/A",(X51+SUM(X59:X60))/-X97))</f>
        <v>N/A</v>
      </c>
      <c r="Y53" s="48" t="str">
        <f>IF(OR(Inputs!$G$62=0,Inputs!$G$62=""),"N/A",IF(Y$2&gt;Inputs!$G$63,"N/A",(Y51+SUM(Y59:Y60))/-Y97))</f>
        <v>N/A</v>
      </c>
      <c r="Z53" s="48" t="str">
        <f>IF(OR(Inputs!$G$62=0,Inputs!$G$62=""),"N/A",IF(Z$2&gt;Inputs!$G$63,"N/A",(Z51+SUM(Z59:Z60))/-Z97))</f>
        <v>N/A</v>
      </c>
      <c r="AA53" s="48" t="str">
        <f>IF(OR(Inputs!$G$62=0,Inputs!$G$62=""),"N/A",IF(AA$2&gt;Inputs!$G$63,"N/A",(AA51+SUM(AA59:AA60))/-AA97))</f>
        <v>N/A</v>
      </c>
      <c r="AB53" s="48" t="str">
        <f>IF(OR(Inputs!$G$62=0,Inputs!$G$62=""),"N/A",IF(AB$2&gt;Inputs!$G$63,"N/A",(AB51+SUM(AB59:AB60))/-AB97))</f>
        <v>N/A</v>
      </c>
      <c r="AC53" s="48" t="str">
        <f>IF(OR(Inputs!$G$62=0,Inputs!$G$62=""),"N/A",IF(AC$2&gt;Inputs!$G$63,"N/A",(AC51+SUM(AC59:AC60))/-AC97))</f>
        <v>N/A</v>
      </c>
      <c r="AD53" s="48" t="str">
        <f>IF(OR(Inputs!$G$62=0,Inputs!$G$62=""),"N/A",IF(AD$2&gt;Inputs!$G$63,"N/A",(AD51+SUM(AD59:AD60))/-AD97))</f>
        <v>N/A</v>
      </c>
      <c r="AE53" s="48" t="str">
        <f>IF(OR(Inputs!$G$62=0,Inputs!$G$62=""),"N/A",IF(AE$2&gt;Inputs!$G$63,"N/A",(AE51+SUM(AE59:AE60))/-AE97))</f>
        <v>N/A</v>
      </c>
      <c r="AF53" s="48" t="str">
        <f>IF(OR(Inputs!$G$62=0,Inputs!$G$62=""),"N/A",IF(AF$2&gt;Inputs!$G$63,"N/A",(AF51+SUM(AF59:AF60))/-AF97))</f>
        <v>N/A</v>
      </c>
      <c r="AG53" s="48" t="str">
        <f>IF(OR(Inputs!$G$62=0,Inputs!$G$62=""),"N/A",IF(AG$2&gt;Inputs!$G$63,"N/A",(AG51+SUM(AG59:AG60))/-AG97))</f>
        <v>N/A</v>
      </c>
      <c r="AH53" s="48" t="str">
        <f>IF(OR(Inputs!$G$62=0,Inputs!$G$62=""),"N/A",IF(AH$2&gt;Inputs!$G$63,"N/A",(AH51+SUM(AH59:AH60))/-AH97))</f>
        <v>N/A</v>
      </c>
      <c r="AI53" s="48" t="str">
        <f>IF(OR(Inputs!$G$62=0,Inputs!$G$62=""),"N/A",IF(AI$2&gt;Inputs!$G$63,"N/A",(AI51+SUM(AI59:AI60))/-AI97))</f>
        <v>N/A</v>
      </c>
      <c r="AJ53" s="48" t="str">
        <f>IF(OR(Inputs!$G$62=0,Inputs!$G$62=""),"N/A",IF(AJ$2&gt;Inputs!$G$63,"N/A",(AJ51+SUM(AJ59:AJ60))/-AJ97))</f>
        <v>N/A</v>
      </c>
    </row>
    <row r="54" spans="1:36" s="31" customFormat="1" ht="16">
      <c r="B54" s="47" t="s">
        <v>286</v>
      </c>
      <c r="C54" s="47"/>
      <c r="D54" s="47"/>
      <c r="E54" s="82"/>
      <c r="F54" s="48"/>
      <c r="G54" s="424" t="str">
        <f t="shared" ref="G54:AJ54" si="8">IF(G53=$F$53,G2,"")</f>
        <v/>
      </c>
      <c r="H54" s="424" t="str">
        <f t="shared" si="8"/>
        <v/>
      </c>
      <c r="I54" s="424" t="str">
        <f t="shared" si="8"/>
        <v/>
      </c>
      <c r="J54" s="424" t="str">
        <f t="shared" si="8"/>
        <v/>
      </c>
      <c r="K54" s="424" t="str">
        <f t="shared" si="8"/>
        <v/>
      </c>
      <c r="L54" s="424" t="str">
        <f t="shared" si="8"/>
        <v/>
      </c>
      <c r="M54" s="424" t="str">
        <f t="shared" si="8"/>
        <v/>
      </c>
      <c r="N54" s="424" t="str">
        <f t="shared" si="8"/>
        <v/>
      </c>
      <c r="O54" s="424" t="str">
        <f t="shared" si="8"/>
        <v/>
      </c>
      <c r="P54" s="424" t="str">
        <f t="shared" si="8"/>
        <v/>
      </c>
      <c r="Q54" s="424" t="str">
        <f t="shared" si="8"/>
        <v/>
      </c>
      <c r="R54" s="424" t="str">
        <f t="shared" si="8"/>
        <v/>
      </c>
      <c r="S54" s="424">
        <f t="shared" si="8"/>
        <v>13</v>
      </c>
      <c r="T54" s="424" t="str">
        <f t="shared" si="8"/>
        <v/>
      </c>
      <c r="U54" s="424" t="str">
        <f t="shared" si="8"/>
        <v/>
      </c>
      <c r="V54" s="424" t="str">
        <f t="shared" si="8"/>
        <v/>
      </c>
      <c r="W54" s="424" t="str">
        <f t="shared" si="8"/>
        <v/>
      </c>
      <c r="X54" s="424" t="str">
        <f t="shared" si="8"/>
        <v/>
      </c>
      <c r="Y54" s="424" t="str">
        <f t="shared" si="8"/>
        <v/>
      </c>
      <c r="Z54" s="424" t="str">
        <f t="shared" si="8"/>
        <v/>
      </c>
      <c r="AA54" s="424" t="str">
        <f t="shared" si="8"/>
        <v/>
      </c>
      <c r="AB54" s="424" t="str">
        <f t="shared" si="8"/>
        <v/>
      </c>
      <c r="AC54" s="424" t="str">
        <f t="shared" si="8"/>
        <v/>
      </c>
      <c r="AD54" s="424" t="str">
        <f t="shared" si="8"/>
        <v/>
      </c>
      <c r="AE54" s="424" t="str">
        <f t="shared" si="8"/>
        <v/>
      </c>
      <c r="AF54" s="424" t="str">
        <f t="shared" si="8"/>
        <v/>
      </c>
      <c r="AG54" s="424" t="str">
        <f t="shared" si="8"/>
        <v/>
      </c>
      <c r="AH54" s="424" t="str">
        <f t="shared" si="8"/>
        <v/>
      </c>
      <c r="AI54" s="424" t="str">
        <f t="shared" si="8"/>
        <v/>
      </c>
      <c r="AJ54" s="424" t="str">
        <f t="shared" si="8"/>
        <v/>
      </c>
    </row>
    <row r="55" spans="1:36" s="29" customFormat="1" ht="16">
      <c r="B55" s="39" t="s">
        <v>123</v>
      </c>
      <c r="C55" s="39"/>
      <c r="D55" s="39"/>
      <c r="E55" s="80"/>
      <c r="F55" s="39"/>
      <c r="G55" s="42">
        <f>G98</f>
        <v>-144375.00000000003</v>
      </c>
      <c r="H55" s="42">
        <f t="shared" ref="H55:AJ55" si="9">H98</f>
        <v>-137206.65880032792</v>
      </c>
      <c r="I55" s="42">
        <f t="shared" si="9"/>
        <v>-129536.53371667869</v>
      </c>
      <c r="J55" s="42">
        <f t="shared" si="9"/>
        <v>-121329.49987717408</v>
      </c>
      <c r="K55" s="42">
        <f t="shared" si="9"/>
        <v>-112547.97366890412</v>
      </c>
      <c r="L55" s="42">
        <f t="shared" si="9"/>
        <v>-103151.74062605525</v>
      </c>
      <c r="M55" s="42">
        <f t="shared" si="9"/>
        <v>-93097.771270206969</v>
      </c>
      <c r="N55" s="42">
        <f t="shared" si="9"/>
        <v>-82340.024059449323</v>
      </c>
      <c r="O55" s="42">
        <f t="shared" si="9"/>
        <v>-70829.234543938612</v>
      </c>
      <c r="P55" s="42">
        <f t="shared" si="9"/>
        <v>-58512.689762342161</v>
      </c>
      <c r="Q55" s="42">
        <f t="shared" si="9"/>
        <v>-45333.986846033964</v>
      </c>
      <c r="R55" s="42">
        <f t="shared" si="9"/>
        <v>-31232.774725584197</v>
      </c>
      <c r="S55" s="42">
        <f t="shared" si="9"/>
        <v>-16144.477756702943</v>
      </c>
      <c r="T55" s="42">
        <f t="shared" si="9"/>
        <v>0</v>
      </c>
      <c r="U55" s="42">
        <f t="shared" si="9"/>
        <v>0</v>
      </c>
      <c r="V55" s="42">
        <f t="shared" si="9"/>
        <v>0</v>
      </c>
      <c r="W55" s="42">
        <f t="shared" si="9"/>
        <v>0</v>
      </c>
      <c r="X55" s="42">
        <f t="shared" si="9"/>
        <v>0</v>
      </c>
      <c r="Y55" s="42">
        <f t="shared" si="9"/>
        <v>0</v>
      </c>
      <c r="Z55" s="42">
        <f t="shared" si="9"/>
        <v>0</v>
      </c>
      <c r="AA55" s="42">
        <f t="shared" si="9"/>
        <v>0</v>
      </c>
      <c r="AB55" s="42">
        <f t="shared" si="9"/>
        <v>0</v>
      </c>
      <c r="AC55" s="42">
        <f t="shared" si="9"/>
        <v>0</v>
      </c>
      <c r="AD55" s="42">
        <f t="shared" si="9"/>
        <v>0</v>
      </c>
      <c r="AE55" s="42">
        <f t="shared" si="9"/>
        <v>0</v>
      </c>
      <c r="AF55" s="42">
        <f t="shared" si="9"/>
        <v>0</v>
      </c>
      <c r="AG55" s="42">
        <f t="shared" si="9"/>
        <v>0</v>
      </c>
      <c r="AH55" s="42">
        <f t="shared" si="9"/>
        <v>0</v>
      </c>
      <c r="AI55" s="42">
        <f t="shared" si="9"/>
        <v>0</v>
      </c>
      <c r="AJ55" s="42">
        <f t="shared" si="9"/>
        <v>0</v>
      </c>
    </row>
    <row r="56" spans="1:36" s="29" customFormat="1" ht="16">
      <c r="B56" s="49" t="s">
        <v>71</v>
      </c>
      <c r="C56" s="49"/>
      <c r="D56" s="49"/>
      <c r="E56" s="82"/>
      <c r="F56" s="49"/>
      <c r="G56" s="50">
        <f>G51+G55</f>
        <v>275808.20986735867</v>
      </c>
      <c r="H56" s="50">
        <f t="shared" ref="H56:AJ56" si="10">H51+H55</f>
        <v>277046.78306703072</v>
      </c>
      <c r="I56" s="50">
        <f t="shared" si="10"/>
        <v>278668.54479067988</v>
      </c>
      <c r="J56" s="50">
        <f t="shared" si="10"/>
        <v>280706.24800298462</v>
      </c>
      <c r="K56" s="50">
        <f t="shared" si="10"/>
        <v>283195.05697151046</v>
      </c>
      <c r="L56" s="50">
        <f t="shared" si="10"/>
        <v>286172.71842982061</v>
      </c>
      <c r="M56" s="50">
        <f t="shared" si="10"/>
        <v>289679.74476943922</v>
      </c>
      <c r="N56" s="50">
        <f t="shared" si="10"/>
        <v>293759.61010364245</v>
      </c>
      <c r="O56" s="50">
        <f t="shared" si="10"/>
        <v>298458.96010506799</v>
      </c>
      <c r="P56" s="50">
        <f t="shared" si="10"/>
        <v>303827.83658229728</v>
      </c>
      <c r="Q56" s="50">
        <f t="shared" si="10"/>
        <v>243607.10897820431</v>
      </c>
      <c r="R56" s="50">
        <f t="shared" si="10"/>
        <v>249153.71081779158</v>
      </c>
      <c r="S56" s="50">
        <f t="shared" si="10"/>
        <v>255516.30530019323</v>
      </c>
      <c r="T56" s="50">
        <f t="shared" si="10"/>
        <v>261835.14199213305</v>
      </c>
      <c r="U56" s="50">
        <f t="shared" si="10"/>
        <v>251831.49659664574</v>
      </c>
      <c r="V56" s="50">
        <f t="shared" si="10"/>
        <v>242571.71131237363</v>
      </c>
      <c r="W56" s="50">
        <f t="shared" si="10"/>
        <v>233126.73032241606</v>
      </c>
      <c r="X56" s="50">
        <f t="shared" si="10"/>
        <v>223492.84971265926</v>
      </c>
      <c r="Y56" s="50">
        <f t="shared" si="10"/>
        <v>213666.29149070743</v>
      </c>
      <c r="Z56" s="50">
        <f t="shared" si="10"/>
        <v>202044.64169919112</v>
      </c>
      <c r="AA56" s="50">
        <f t="shared" si="10"/>
        <v>-2.1827872842550277E-13</v>
      </c>
      <c r="AB56" s="50">
        <f t="shared" si="10"/>
        <v>0</v>
      </c>
      <c r="AC56" s="50">
        <f t="shared" si="10"/>
        <v>0</v>
      </c>
      <c r="AD56" s="50">
        <f t="shared" si="10"/>
        <v>0</v>
      </c>
      <c r="AE56" s="50">
        <f t="shared" si="10"/>
        <v>0</v>
      </c>
      <c r="AF56" s="50">
        <f t="shared" si="10"/>
        <v>0</v>
      </c>
      <c r="AG56" s="50">
        <f t="shared" si="10"/>
        <v>0</v>
      </c>
      <c r="AH56" s="50">
        <f t="shared" si="10"/>
        <v>0</v>
      </c>
      <c r="AI56" s="50">
        <f t="shared" si="10"/>
        <v>0</v>
      </c>
      <c r="AJ56" s="50">
        <f t="shared" si="10"/>
        <v>0</v>
      </c>
    </row>
    <row r="57" spans="1:36" s="29" customFormat="1" ht="16">
      <c r="B57" s="31"/>
      <c r="C57" s="31"/>
      <c r="D57" s="31"/>
      <c r="E57" s="82"/>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36" s="29" customFormat="1" ht="16">
      <c r="B58" s="36" t="s">
        <v>122</v>
      </c>
      <c r="C58" s="36"/>
      <c r="D58" s="36"/>
      <c r="E58" s="76"/>
      <c r="F58" s="36"/>
      <c r="G58" s="41">
        <f>G99</f>
        <v>-102404.87428103063</v>
      </c>
      <c r="H58" s="41">
        <f t="shared" ref="H58:AJ58" si="11">H99</f>
        <v>-109573.21548070277</v>
      </c>
      <c r="I58" s="41">
        <f t="shared" si="11"/>
        <v>-117243.34056435198</v>
      </c>
      <c r="J58" s="41">
        <f t="shared" si="11"/>
        <v>-125450.37440385661</v>
      </c>
      <c r="K58" s="41">
        <f t="shared" si="11"/>
        <v>-134231.90061212654</v>
      </c>
      <c r="L58" s="41">
        <f t="shared" si="11"/>
        <v>-143628.13365497545</v>
      </c>
      <c r="M58" s="41">
        <f t="shared" si="11"/>
        <v>-153682.10301082372</v>
      </c>
      <c r="N58" s="41">
        <f t="shared" si="11"/>
        <v>-164439.85022158138</v>
      </c>
      <c r="O58" s="41">
        <f t="shared" si="11"/>
        <v>-175950.63973709205</v>
      </c>
      <c r="P58" s="41">
        <f t="shared" si="11"/>
        <v>-188267.1845186885</v>
      </c>
      <c r="Q58" s="41">
        <f t="shared" si="11"/>
        <v>-201445.88743499672</v>
      </c>
      <c r="R58" s="41">
        <f t="shared" si="11"/>
        <v>-215547.09955544648</v>
      </c>
      <c r="S58" s="41">
        <f t="shared" si="11"/>
        <v>-230635.39652432772</v>
      </c>
      <c r="T58" s="41">
        <f t="shared" si="11"/>
        <v>0</v>
      </c>
      <c r="U58" s="41">
        <f t="shared" si="11"/>
        <v>0</v>
      </c>
      <c r="V58" s="41">
        <f t="shared" si="11"/>
        <v>0</v>
      </c>
      <c r="W58" s="41">
        <f t="shared" si="11"/>
        <v>0</v>
      </c>
      <c r="X58" s="41">
        <f t="shared" si="11"/>
        <v>0</v>
      </c>
      <c r="Y58" s="41">
        <f t="shared" si="11"/>
        <v>0</v>
      </c>
      <c r="Z58" s="41">
        <f t="shared" si="11"/>
        <v>0</v>
      </c>
      <c r="AA58" s="41">
        <f t="shared" si="11"/>
        <v>0</v>
      </c>
      <c r="AB58" s="41">
        <f t="shared" si="11"/>
        <v>0</v>
      </c>
      <c r="AC58" s="41">
        <f t="shared" si="11"/>
        <v>0</v>
      </c>
      <c r="AD58" s="41">
        <f t="shared" si="11"/>
        <v>0</v>
      </c>
      <c r="AE58" s="41">
        <f t="shared" si="11"/>
        <v>0</v>
      </c>
      <c r="AF58" s="41">
        <f t="shared" si="11"/>
        <v>0</v>
      </c>
      <c r="AG58" s="41">
        <f t="shared" si="11"/>
        <v>0</v>
      </c>
      <c r="AH58" s="41">
        <f t="shared" si="11"/>
        <v>0</v>
      </c>
      <c r="AI58" s="41">
        <f t="shared" si="11"/>
        <v>0</v>
      </c>
      <c r="AJ58" s="41">
        <f t="shared" si="11"/>
        <v>0</v>
      </c>
    </row>
    <row r="59" spans="1:36" s="38" customFormat="1" ht="16">
      <c r="B59" s="36" t="s">
        <v>185</v>
      </c>
      <c r="C59" s="36"/>
      <c r="D59" s="36"/>
      <c r="E59" s="76"/>
      <c r="F59" s="36"/>
      <c r="G59" s="41">
        <f>-G221</f>
        <v>0</v>
      </c>
      <c r="H59" s="41">
        <f t="shared" ref="H59:AJ59" si="12">-H221</f>
        <v>0</v>
      </c>
      <c r="I59" s="41">
        <f t="shared" si="12"/>
        <v>0</v>
      </c>
      <c r="J59" s="41">
        <f t="shared" si="12"/>
        <v>0</v>
      </c>
      <c r="K59" s="41">
        <f t="shared" si="12"/>
        <v>0</v>
      </c>
      <c r="L59" s="41">
        <f t="shared" si="12"/>
        <v>0</v>
      </c>
      <c r="M59" s="41">
        <f t="shared" si="12"/>
        <v>0</v>
      </c>
      <c r="N59" s="41">
        <f t="shared" si="12"/>
        <v>0</v>
      </c>
      <c r="O59" s="41">
        <f t="shared" si="12"/>
        <v>0</v>
      </c>
      <c r="P59" s="41">
        <f t="shared" si="12"/>
        <v>0</v>
      </c>
      <c r="Q59" s="41">
        <f t="shared" si="12"/>
        <v>0</v>
      </c>
      <c r="R59" s="41">
        <f t="shared" si="12"/>
        <v>0</v>
      </c>
      <c r="S59" s="41">
        <f t="shared" si="12"/>
        <v>0</v>
      </c>
      <c r="T59" s="41">
        <f t="shared" si="12"/>
        <v>123389.93714051534</v>
      </c>
      <c r="U59" s="41">
        <f t="shared" si="12"/>
        <v>0</v>
      </c>
      <c r="V59" s="41">
        <f t="shared" si="12"/>
        <v>0</v>
      </c>
      <c r="W59" s="41">
        <f t="shared" si="12"/>
        <v>0</v>
      </c>
      <c r="X59" s="41">
        <f t="shared" si="12"/>
        <v>0</v>
      </c>
      <c r="Y59" s="41">
        <f t="shared" si="12"/>
        <v>0</v>
      </c>
      <c r="Z59" s="41">
        <f t="shared" si="12"/>
        <v>213141.38735006598</v>
      </c>
      <c r="AA59" s="41">
        <f t="shared" si="12"/>
        <v>0</v>
      </c>
      <c r="AB59" s="41">
        <f t="shared" si="12"/>
        <v>0</v>
      </c>
      <c r="AC59" s="41">
        <f t="shared" si="12"/>
        <v>0</v>
      </c>
      <c r="AD59" s="41">
        <f t="shared" si="12"/>
        <v>0</v>
      </c>
      <c r="AE59" s="41">
        <f t="shared" si="12"/>
        <v>0</v>
      </c>
      <c r="AF59" s="41">
        <f t="shared" si="12"/>
        <v>0</v>
      </c>
      <c r="AG59" s="41">
        <f t="shared" si="12"/>
        <v>0</v>
      </c>
      <c r="AH59" s="41">
        <f t="shared" si="12"/>
        <v>0</v>
      </c>
      <c r="AI59" s="41">
        <f t="shared" si="12"/>
        <v>0</v>
      </c>
      <c r="AJ59" s="41">
        <f t="shared" si="12"/>
        <v>0</v>
      </c>
    </row>
    <row r="60" spans="1:36" s="38" customFormat="1" ht="16">
      <c r="B60" s="39" t="s">
        <v>186</v>
      </c>
      <c r="C60" s="39"/>
      <c r="D60" s="39"/>
      <c r="E60" s="80"/>
      <c r="F60" s="39"/>
      <c r="G60" s="42">
        <f>MIN(SUM(G213:G217),0)</f>
        <v>0</v>
      </c>
      <c r="H60" s="42">
        <f t="shared" ref="H60:AJ60" si="13">MIN(SUM(H213:H217),0)</f>
        <v>0</v>
      </c>
      <c r="I60" s="42">
        <f t="shared" si="13"/>
        <v>0</v>
      </c>
      <c r="J60" s="42">
        <f t="shared" si="13"/>
        <v>0</v>
      </c>
      <c r="K60" s="42">
        <f t="shared" si="13"/>
        <v>0</v>
      </c>
      <c r="L60" s="42">
        <f t="shared" si="13"/>
        <v>0</v>
      </c>
      <c r="M60" s="42">
        <f t="shared" si="13"/>
        <v>0</v>
      </c>
      <c r="N60" s="42">
        <f t="shared" si="13"/>
        <v>0</v>
      </c>
      <c r="O60" s="42">
        <f t="shared" si="13"/>
        <v>0</v>
      </c>
      <c r="P60" s="42">
        <f t="shared" si="13"/>
        <v>0</v>
      </c>
      <c r="Q60" s="42">
        <f t="shared" si="13"/>
        <v>0</v>
      </c>
      <c r="R60" s="42">
        <f t="shared" si="13"/>
        <v>0</v>
      </c>
      <c r="S60" s="42">
        <f t="shared" si="13"/>
        <v>0</v>
      </c>
      <c r="T60" s="42">
        <f t="shared" si="13"/>
        <v>0</v>
      </c>
      <c r="U60" s="42">
        <f t="shared" si="13"/>
        <v>0</v>
      </c>
      <c r="V60" s="42">
        <f t="shared" si="13"/>
        <v>0</v>
      </c>
      <c r="W60" s="42">
        <f t="shared" si="13"/>
        <v>0</v>
      </c>
      <c r="X60" s="42">
        <f t="shared" si="13"/>
        <v>0</v>
      </c>
      <c r="Y60" s="42">
        <f t="shared" si="13"/>
        <v>0</v>
      </c>
      <c r="Z60" s="42">
        <f t="shared" si="13"/>
        <v>0</v>
      </c>
      <c r="AA60" s="42">
        <f t="shared" si="13"/>
        <v>0</v>
      </c>
      <c r="AB60" s="42">
        <f t="shared" si="13"/>
        <v>0</v>
      </c>
      <c r="AC60" s="42">
        <f t="shared" si="13"/>
        <v>0</v>
      </c>
      <c r="AD60" s="42">
        <f t="shared" si="13"/>
        <v>0</v>
      </c>
      <c r="AE60" s="42">
        <f t="shared" si="13"/>
        <v>0</v>
      </c>
      <c r="AF60" s="42">
        <f t="shared" si="13"/>
        <v>0</v>
      </c>
      <c r="AG60" s="42">
        <f t="shared" si="13"/>
        <v>0</v>
      </c>
      <c r="AH60" s="42">
        <f t="shared" si="13"/>
        <v>0</v>
      </c>
      <c r="AI60" s="42">
        <f t="shared" si="13"/>
        <v>0</v>
      </c>
      <c r="AJ60" s="42">
        <f t="shared" si="13"/>
        <v>0</v>
      </c>
    </row>
    <row r="61" spans="1:36" s="29" customFormat="1" ht="17">
      <c r="A61" s="31"/>
      <c r="B61" s="51" t="s">
        <v>72</v>
      </c>
      <c r="C61" s="51"/>
      <c r="D61" s="51"/>
      <c r="E61" s="334"/>
      <c r="F61" s="334"/>
      <c r="G61" s="44">
        <f>G56+SUM(G58:G60)</f>
        <v>173403.33558632806</v>
      </c>
      <c r="H61" s="44">
        <f t="shared" ref="H61:AJ61" si="14">H56+SUM(H58:H60)</f>
        <v>167473.56758632796</v>
      </c>
      <c r="I61" s="44">
        <f t="shared" si="14"/>
        <v>161425.20422632789</v>
      </c>
      <c r="J61" s="44">
        <f t="shared" si="14"/>
        <v>155255.87359912801</v>
      </c>
      <c r="K61" s="44">
        <f t="shared" si="14"/>
        <v>148963.15635938392</v>
      </c>
      <c r="L61" s="44">
        <f t="shared" si="14"/>
        <v>142544.58477484516</v>
      </c>
      <c r="M61" s="44">
        <f t="shared" si="14"/>
        <v>135997.6417586155</v>
      </c>
      <c r="N61" s="44">
        <f t="shared" si="14"/>
        <v>129319.75988206107</v>
      </c>
      <c r="O61" s="44">
        <f t="shared" si="14"/>
        <v>122508.32036797595</v>
      </c>
      <c r="P61" s="44">
        <f t="shared" si="14"/>
        <v>115560.65206360878</v>
      </c>
      <c r="Q61" s="44">
        <f t="shared" si="14"/>
        <v>42161.22154320759</v>
      </c>
      <c r="R61" s="44">
        <f t="shared" si="14"/>
        <v>33606.611262345104</v>
      </c>
      <c r="S61" s="44">
        <f t="shared" si="14"/>
        <v>24880.908775865508</v>
      </c>
      <c r="T61" s="44">
        <f t="shared" si="14"/>
        <v>385225.07913264842</v>
      </c>
      <c r="U61" s="44">
        <f t="shared" si="14"/>
        <v>251831.49659664574</v>
      </c>
      <c r="V61" s="44">
        <f t="shared" si="14"/>
        <v>242571.71131237363</v>
      </c>
      <c r="W61" s="44">
        <f t="shared" si="14"/>
        <v>233126.73032241606</v>
      </c>
      <c r="X61" s="44">
        <f t="shared" si="14"/>
        <v>223492.84971265926</v>
      </c>
      <c r="Y61" s="44">
        <f t="shared" si="14"/>
        <v>213666.29149070743</v>
      </c>
      <c r="Z61" s="44">
        <f t="shared" si="14"/>
        <v>415186.02904925711</v>
      </c>
      <c r="AA61" s="44">
        <f t="shared" si="14"/>
        <v>-2.1827872842550277E-13</v>
      </c>
      <c r="AB61" s="44">
        <f t="shared" si="14"/>
        <v>0</v>
      </c>
      <c r="AC61" s="44">
        <f t="shared" si="14"/>
        <v>0</v>
      </c>
      <c r="AD61" s="44">
        <f t="shared" si="14"/>
        <v>0</v>
      </c>
      <c r="AE61" s="44">
        <f t="shared" si="14"/>
        <v>0</v>
      </c>
      <c r="AF61" s="44">
        <f t="shared" si="14"/>
        <v>0</v>
      </c>
      <c r="AG61" s="44">
        <f t="shared" si="14"/>
        <v>0</v>
      </c>
      <c r="AH61" s="44">
        <f t="shared" si="14"/>
        <v>0</v>
      </c>
      <c r="AI61" s="44">
        <f t="shared" si="14"/>
        <v>0</v>
      </c>
      <c r="AJ61" s="44">
        <f t="shared" si="14"/>
        <v>0</v>
      </c>
    </row>
    <row r="62" spans="1:36" s="29" customFormat="1" ht="16">
      <c r="B62" s="34"/>
      <c r="C62" s="34"/>
      <c r="D62" s="34"/>
      <c r="G62" s="52"/>
    </row>
    <row r="63" spans="1:36" s="29" customFormat="1" ht="16">
      <c r="B63" s="30" t="s">
        <v>73</v>
      </c>
      <c r="C63" s="30"/>
      <c r="D63" s="30"/>
      <c r="F63" s="87"/>
      <c r="G63" s="52"/>
    </row>
    <row r="64" spans="1:36" s="29" customFormat="1" ht="16">
      <c r="B64" s="31" t="s">
        <v>260</v>
      </c>
      <c r="C64" s="31"/>
      <c r="D64" s="31"/>
      <c r="F64" s="52">
        <f>-(Inputs!$G$29-Inputs!$G$80-$F$94)</f>
        <v>-1687499.9999999998</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v>
      </c>
      <c r="Y64" s="52">
        <v>0</v>
      </c>
      <c r="Z64" s="52">
        <v>0</v>
      </c>
      <c r="AA64" s="52">
        <v>0</v>
      </c>
      <c r="AB64" s="52">
        <v>0</v>
      </c>
      <c r="AC64" s="52">
        <v>0</v>
      </c>
      <c r="AD64" s="52">
        <v>0</v>
      </c>
      <c r="AE64" s="52">
        <v>0</v>
      </c>
      <c r="AF64" s="52">
        <v>0</v>
      </c>
      <c r="AG64" s="52">
        <v>0</v>
      </c>
      <c r="AH64" s="52">
        <v>0</v>
      </c>
      <c r="AI64" s="52">
        <v>0</v>
      </c>
      <c r="AJ64" s="52">
        <v>0</v>
      </c>
    </row>
    <row r="65" spans="2:36" s="29" customFormat="1" ht="16">
      <c r="B65" s="40" t="s">
        <v>72</v>
      </c>
      <c r="C65" s="40"/>
      <c r="D65" s="40"/>
      <c r="E65" s="40"/>
      <c r="F65" s="40"/>
      <c r="G65" s="53">
        <f>G61</f>
        <v>173403.33558632806</v>
      </c>
      <c r="H65" s="53">
        <f t="shared" ref="H65:AJ65" si="15">H61</f>
        <v>167473.56758632796</v>
      </c>
      <c r="I65" s="53">
        <f t="shared" si="15"/>
        <v>161425.20422632789</v>
      </c>
      <c r="J65" s="53">
        <f t="shared" si="15"/>
        <v>155255.87359912801</v>
      </c>
      <c r="K65" s="53">
        <f t="shared" si="15"/>
        <v>148963.15635938392</v>
      </c>
      <c r="L65" s="53">
        <f t="shared" si="15"/>
        <v>142544.58477484516</v>
      </c>
      <c r="M65" s="53">
        <f t="shared" si="15"/>
        <v>135997.6417586155</v>
      </c>
      <c r="N65" s="53">
        <f t="shared" si="15"/>
        <v>129319.75988206107</v>
      </c>
      <c r="O65" s="53">
        <f t="shared" si="15"/>
        <v>122508.32036797595</v>
      </c>
      <c r="P65" s="53">
        <f t="shared" si="15"/>
        <v>115560.65206360878</v>
      </c>
      <c r="Q65" s="53">
        <f t="shared" si="15"/>
        <v>42161.22154320759</v>
      </c>
      <c r="R65" s="53">
        <f t="shared" si="15"/>
        <v>33606.611262345104</v>
      </c>
      <c r="S65" s="53">
        <f t="shared" si="15"/>
        <v>24880.908775865508</v>
      </c>
      <c r="T65" s="53">
        <f t="shared" si="15"/>
        <v>385225.07913264842</v>
      </c>
      <c r="U65" s="53">
        <f t="shared" si="15"/>
        <v>251831.49659664574</v>
      </c>
      <c r="V65" s="53">
        <f t="shared" si="15"/>
        <v>242571.71131237363</v>
      </c>
      <c r="W65" s="53">
        <f t="shared" si="15"/>
        <v>233126.73032241606</v>
      </c>
      <c r="X65" s="53">
        <f t="shared" si="15"/>
        <v>223492.84971265926</v>
      </c>
      <c r="Y65" s="53">
        <f t="shared" si="15"/>
        <v>213666.29149070743</v>
      </c>
      <c r="Z65" s="53">
        <f t="shared" si="15"/>
        <v>415186.02904925711</v>
      </c>
      <c r="AA65" s="53">
        <f t="shared" si="15"/>
        <v>-2.1827872842550277E-13</v>
      </c>
      <c r="AB65" s="53">
        <f t="shared" si="15"/>
        <v>0</v>
      </c>
      <c r="AC65" s="53">
        <f t="shared" si="15"/>
        <v>0</v>
      </c>
      <c r="AD65" s="53">
        <f t="shared" si="15"/>
        <v>0</v>
      </c>
      <c r="AE65" s="53">
        <f t="shared" si="15"/>
        <v>0</v>
      </c>
      <c r="AF65" s="53">
        <f t="shared" si="15"/>
        <v>0</v>
      </c>
      <c r="AG65" s="53">
        <f t="shared" si="15"/>
        <v>0</v>
      </c>
      <c r="AH65" s="53">
        <f t="shared" si="15"/>
        <v>0</v>
      </c>
      <c r="AI65" s="53">
        <f t="shared" si="15"/>
        <v>0</v>
      </c>
      <c r="AJ65" s="53">
        <f t="shared" si="15"/>
        <v>0</v>
      </c>
    </row>
    <row r="66" spans="2:36" s="29" customFormat="1" ht="17">
      <c r="B66" s="51" t="s">
        <v>124</v>
      </c>
      <c r="C66" s="51"/>
      <c r="D66" s="51"/>
      <c r="E66" s="397"/>
      <c r="F66" s="52">
        <f t="shared" ref="F66:AJ66" si="16">SUM(F64:F65)</f>
        <v>-1687499.9999999998</v>
      </c>
      <c r="G66" s="52">
        <f t="shared" si="16"/>
        <v>173403.33558632806</v>
      </c>
      <c r="H66" s="52">
        <f t="shared" si="16"/>
        <v>167473.56758632796</v>
      </c>
      <c r="I66" s="52">
        <f t="shared" si="16"/>
        <v>161425.20422632789</v>
      </c>
      <c r="J66" s="52">
        <f t="shared" si="16"/>
        <v>155255.87359912801</v>
      </c>
      <c r="K66" s="52">
        <f t="shared" si="16"/>
        <v>148963.15635938392</v>
      </c>
      <c r="L66" s="52">
        <f t="shared" si="16"/>
        <v>142544.58477484516</v>
      </c>
      <c r="M66" s="52">
        <f t="shared" si="16"/>
        <v>135997.6417586155</v>
      </c>
      <c r="N66" s="52">
        <f t="shared" si="16"/>
        <v>129319.75988206107</v>
      </c>
      <c r="O66" s="52">
        <f t="shared" si="16"/>
        <v>122508.32036797595</v>
      </c>
      <c r="P66" s="52">
        <f t="shared" si="16"/>
        <v>115560.65206360878</v>
      </c>
      <c r="Q66" s="52">
        <f t="shared" si="16"/>
        <v>42161.22154320759</v>
      </c>
      <c r="R66" s="52">
        <f t="shared" si="16"/>
        <v>33606.611262345104</v>
      </c>
      <c r="S66" s="52">
        <f t="shared" si="16"/>
        <v>24880.908775865508</v>
      </c>
      <c r="T66" s="52">
        <f t="shared" si="16"/>
        <v>385225.07913264842</v>
      </c>
      <c r="U66" s="52">
        <f t="shared" si="16"/>
        <v>251831.49659664574</v>
      </c>
      <c r="V66" s="52">
        <f t="shared" si="16"/>
        <v>242571.71131237363</v>
      </c>
      <c r="W66" s="52">
        <f t="shared" si="16"/>
        <v>233126.73032241606</v>
      </c>
      <c r="X66" s="52">
        <f t="shared" si="16"/>
        <v>223492.84971265926</v>
      </c>
      <c r="Y66" s="52">
        <f t="shared" si="16"/>
        <v>213666.29149070743</v>
      </c>
      <c r="Z66" s="52">
        <f t="shared" si="16"/>
        <v>415186.02904925711</v>
      </c>
      <c r="AA66" s="52">
        <f t="shared" si="16"/>
        <v>-2.1827872842550277E-13</v>
      </c>
      <c r="AB66" s="52">
        <f t="shared" si="16"/>
        <v>0</v>
      </c>
      <c r="AC66" s="52">
        <f t="shared" si="16"/>
        <v>0</v>
      </c>
      <c r="AD66" s="52">
        <f t="shared" si="16"/>
        <v>0</v>
      </c>
      <c r="AE66" s="52">
        <f t="shared" si="16"/>
        <v>0</v>
      </c>
      <c r="AF66" s="52">
        <f t="shared" si="16"/>
        <v>0</v>
      </c>
      <c r="AG66" s="52">
        <f t="shared" si="16"/>
        <v>0</v>
      </c>
      <c r="AH66" s="52">
        <f t="shared" si="16"/>
        <v>0</v>
      </c>
      <c r="AI66" s="52">
        <f t="shared" si="16"/>
        <v>0</v>
      </c>
      <c r="AJ66" s="52">
        <f t="shared" si="16"/>
        <v>0</v>
      </c>
    </row>
    <row r="67" spans="2:36" s="29" customFormat="1" ht="17">
      <c r="B67" s="54" t="s">
        <v>74</v>
      </c>
      <c r="C67" s="54"/>
      <c r="D67" s="54"/>
      <c r="E67" s="52"/>
      <c r="F67" s="85"/>
      <c r="G67" s="380">
        <f>IF(ISERROR(IRR($F66:G66)),"NA",IRR($F66:G66))</f>
        <v>-0.8972424678006945</v>
      </c>
      <c r="H67" s="380">
        <f>IF(ISERROR(IRR($F66:H66)),"NA",IRR($F66:H66))</f>
        <v>-0.62942948398717835</v>
      </c>
      <c r="I67" s="380">
        <f>IF(ISERROR(IRR($F66:I66)),"NA",IRR($F66:I66))</f>
        <v>-0.42944527215722261</v>
      </c>
      <c r="J67" s="380">
        <f>IF(ISERROR(IRR($F66:J66)),"NA",IRR($F66:J66))</f>
        <v>-0.2972421235669811</v>
      </c>
      <c r="K67" s="380">
        <f>IF(ISERROR(IRR($F66:K66)),"NA",IRR($F66:K66))</f>
        <v>-0.20855694520059898</v>
      </c>
      <c r="L67" s="380">
        <f>IF(ISERROR(IRR($F66:L66)),"NA",IRR($F66:L66))</f>
        <v>-0.14710310414682914</v>
      </c>
      <c r="M67" s="380">
        <f>IF(ISERROR(IRR($F66:M66)),"NA",IRR($F66:M66))</f>
        <v>-0.10316613257519036</v>
      </c>
      <c r="N67" s="380">
        <f>IF(ISERROR(IRR($F66:N66)),"NA",IRR($F66:N66))</f>
        <v>-7.0900997273070976E-2</v>
      </c>
      <c r="O67" s="380">
        <f>IF(ISERROR(IRR($F66:O66)),"NA",IRR($F66:O66))</f>
        <v>-4.6677208989065799E-2</v>
      </c>
      <c r="P67" s="380">
        <f>IF(ISERROR(IRR($F66:P66)),"NA",IRR($F66:P66))</f>
        <v>-2.8160452589294671E-2</v>
      </c>
      <c r="Q67" s="380">
        <f>IF(ISERROR(IRR($F66:Q66)),"NA",IRR($F66:Q66))</f>
        <v>-2.2227637058012006E-2</v>
      </c>
      <c r="R67" s="380">
        <f>IF(ISERROR(IRR($F66:R66)),"NA",IRR($F66:R66))</f>
        <v>-1.775594909583722E-2</v>
      </c>
      <c r="S67" s="380">
        <f>IF(ISERROR(IRR($F66:S66)),"NA",IRR($F66:S66))</f>
        <v>-1.4594556390932767E-2</v>
      </c>
      <c r="T67" s="380">
        <f>IF(ISERROR(IRR($F66:T66)),"NA",IRR($F66:T66))</f>
        <v>1.9840251809343679E-2</v>
      </c>
      <c r="U67" s="380">
        <f>IF(ISERROR(IRR($F66:U66)),"NA",IRR($F66:U66))</f>
        <v>3.4238214742871476E-2</v>
      </c>
      <c r="V67" s="380">
        <f>IF(ISERROR(IRR($F66:V66)),"NA",IRR($F66:V66))</f>
        <v>4.4846455324420553E-2</v>
      </c>
      <c r="W67" s="380">
        <f>IF(ISERROR(IRR($F66:W66)),"NA",IRR($F66:W66))</f>
        <v>5.2949610851402706E-2</v>
      </c>
      <c r="X67" s="380">
        <f>IF(ISERROR(IRR($F66:X66)),"NA",IRR($F66:X66))</f>
        <v>5.9285974956736043E-2</v>
      </c>
      <c r="Y67" s="380">
        <f>IF(ISERROR(IRR($F66:Y66)),"NA",IRR($F66:Y66))</f>
        <v>6.432200152325418E-2</v>
      </c>
      <c r="Z67" s="380">
        <f>IF(ISERROR(IRR($F66:Z66)),"NA",IRR($F66:Z66))</f>
        <v>7.219534467474964E-2</v>
      </c>
      <c r="AA67" s="380">
        <f>IF(ISERROR(IRR($F66:AA66)),"NA",IRR($F66:AA66))</f>
        <v>7.219534467474964E-2</v>
      </c>
      <c r="AB67" s="380">
        <f>IF(ISERROR(IRR($F66:AB66)),"NA",IRR($F66:AB66))</f>
        <v>7.219534467474964E-2</v>
      </c>
      <c r="AC67" s="380">
        <f>IF(ISERROR(IRR($F66:AC66)),"NA",IRR($F66:AC66))</f>
        <v>7.219534467474964E-2</v>
      </c>
      <c r="AD67" s="380">
        <f>IF(ISERROR(IRR($F66:AD66)),"NA",IRR($F66:AD66))</f>
        <v>7.219534467474964E-2</v>
      </c>
      <c r="AE67" s="380">
        <f>IF(ISERROR(IRR($F66:AE66)),"NA",IRR($F66:AE66))</f>
        <v>7.219534467474964E-2</v>
      </c>
      <c r="AF67" s="380">
        <f>IF(ISERROR(IRR($F66:AF66)),"NA",IRR($F66:AF66))</f>
        <v>7.219534467474964E-2</v>
      </c>
      <c r="AG67" s="380">
        <f>IF(ISERROR(IRR($F66:AG66)),"NA",IRR($F66:AG66))</f>
        <v>7.219534467474964E-2</v>
      </c>
      <c r="AH67" s="380">
        <f>IF(ISERROR(IRR($F66:AH66)),"NA",IRR($F66:AH66))</f>
        <v>7.219534467474964E-2</v>
      </c>
      <c r="AI67" s="380">
        <f>IF(ISERROR(IRR($F66:AI66)),"NA",IRR($F66:AI66))</f>
        <v>7.219534467474964E-2</v>
      </c>
      <c r="AJ67" s="380">
        <f>IF(ISERROR(IRR($F66:AJ66)),"NA",IRR($F66:AJ66))</f>
        <v>7.219534467474964E-2</v>
      </c>
    </row>
    <row r="68" spans="2:36" s="29" customFormat="1" ht="16">
      <c r="B68" s="54"/>
      <c r="C68" s="54"/>
      <c r="D68" s="54"/>
      <c r="E68" s="52"/>
      <c r="F68" s="8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2:36" s="29" customFormat="1" ht="17">
      <c r="B69" s="389" t="s">
        <v>156</v>
      </c>
      <c r="C69" s="389"/>
      <c r="D69" s="389"/>
      <c r="E69" s="40"/>
      <c r="F69" s="343"/>
      <c r="G69" s="53">
        <f t="shared" ref="G69:AJ69" si="17">-G154</f>
        <v>-710156.25</v>
      </c>
      <c r="H69" s="53">
        <f t="shared" si="17"/>
        <v>-1137925.875</v>
      </c>
      <c r="I69" s="53">
        <f t="shared" si="17"/>
        <v>-685988.25</v>
      </c>
      <c r="J69" s="53">
        <f t="shared" si="17"/>
        <v>-414602.625</v>
      </c>
      <c r="K69" s="53">
        <f t="shared" si="17"/>
        <v>-413995.5</v>
      </c>
      <c r="L69" s="53">
        <f t="shared" si="17"/>
        <v>-210401.25</v>
      </c>
      <c r="M69" s="53">
        <f t="shared" si="17"/>
        <v>-7026.75</v>
      </c>
      <c r="N69" s="53">
        <f t="shared" si="17"/>
        <v>-6889.5</v>
      </c>
      <c r="O69" s="53">
        <f t="shared" si="17"/>
        <v>-6872.625</v>
      </c>
      <c r="P69" s="53">
        <f t="shared" si="17"/>
        <v>-6866.625</v>
      </c>
      <c r="Q69" s="53">
        <f t="shared" si="17"/>
        <v>-6872.625</v>
      </c>
      <c r="R69" s="53">
        <f t="shared" si="17"/>
        <v>-6866.625</v>
      </c>
      <c r="S69" s="53">
        <f t="shared" si="17"/>
        <v>-6872.625</v>
      </c>
      <c r="T69" s="53">
        <f t="shared" si="17"/>
        <v>-6866.625</v>
      </c>
      <c r="U69" s="53">
        <f t="shared" si="17"/>
        <v>-6872.625</v>
      </c>
      <c r="V69" s="53">
        <f t="shared" si="17"/>
        <v>-5207.25</v>
      </c>
      <c r="W69" s="53">
        <f t="shared" si="17"/>
        <v>-3548.25</v>
      </c>
      <c r="X69" s="53">
        <f t="shared" si="17"/>
        <v>-3547.875</v>
      </c>
      <c r="Y69" s="53">
        <f t="shared" si="17"/>
        <v>-3548.25</v>
      </c>
      <c r="Z69" s="53">
        <f t="shared" si="17"/>
        <v>-3547.875</v>
      </c>
      <c r="AA69" s="53">
        <f t="shared" si="17"/>
        <v>0</v>
      </c>
      <c r="AB69" s="53">
        <f t="shared" si="17"/>
        <v>0</v>
      </c>
      <c r="AC69" s="53">
        <f t="shared" si="17"/>
        <v>0</v>
      </c>
      <c r="AD69" s="53">
        <f t="shared" si="17"/>
        <v>0</v>
      </c>
      <c r="AE69" s="53">
        <f t="shared" si="17"/>
        <v>0</v>
      </c>
      <c r="AF69" s="53">
        <f t="shared" si="17"/>
        <v>0</v>
      </c>
      <c r="AG69" s="53">
        <f t="shared" si="17"/>
        <v>0</v>
      </c>
      <c r="AH69" s="53">
        <f t="shared" si="17"/>
        <v>0</v>
      </c>
      <c r="AI69" s="53">
        <f t="shared" si="17"/>
        <v>0</v>
      </c>
      <c r="AJ69" s="53">
        <f t="shared" si="17"/>
        <v>0</v>
      </c>
    </row>
    <row r="70" spans="2:36" s="29" customFormat="1" ht="16">
      <c r="B70" s="34" t="s">
        <v>279</v>
      </c>
      <c r="C70" s="34"/>
      <c r="D70" s="34"/>
      <c r="F70" s="86"/>
      <c r="G70" s="84">
        <f>IF(Inputs!$G$84="No",0,(G$56+G$69))</f>
        <v>-434348.04013264133</v>
      </c>
      <c r="H70" s="84">
        <f>IF(Inputs!$G$84="No",0,(H$56+H$69))</f>
        <v>-860879.09193296928</v>
      </c>
      <c r="I70" s="84">
        <f>IF(Inputs!$G$84="No",0,(I$56+I$69))</f>
        <v>-407319.70520932012</v>
      </c>
      <c r="J70" s="84">
        <f>IF(Inputs!$G$84="No",0,(J$56+J$69))</f>
        <v>-133896.37699701538</v>
      </c>
      <c r="K70" s="84">
        <f>IF(Inputs!$G$84="No",0,(K$56+K$69))</f>
        <v>-130800.44302848954</v>
      </c>
      <c r="L70" s="84">
        <f>IF(Inputs!$G$84="No",0,(L$56+L$69))</f>
        <v>75771.468429820612</v>
      </c>
      <c r="M70" s="84">
        <f>IF(Inputs!$G$84="No",0,(M$56+M$69))</f>
        <v>282652.99476943922</v>
      </c>
      <c r="N70" s="84">
        <f>IF(Inputs!$G$84="No",0,(N$56+N$69))</f>
        <v>286870.11010364245</v>
      </c>
      <c r="O70" s="84">
        <f>IF(Inputs!$G$84="No",0,(O$56+O$69))</f>
        <v>291586.33510506799</v>
      </c>
      <c r="P70" s="84">
        <f>IF(Inputs!$G$84="No",0,(P$56+P$69))</f>
        <v>296961.21158229728</v>
      </c>
      <c r="Q70" s="84">
        <f>IF(Inputs!$G$84="No",0,(Q$56+Q$69))</f>
        <v>236734.48397820431</v>
      </c>
      <c r="R70" s="84">
        <f>IF(Inputs!$G$84="No",0,(R$56+R$69))</f>
        <v>242287.08581779158</v>
      </c>
      <c r="S70" s="84">
        <f>IF(Inputs!$G$84="No",0,(S$56+S$69))</f>
        <v>248643.68030019323</v>
      </c>
      <c r="T70" s="84">
        <f>IF(Inputs!$G$84="No",0,(T$56+T$69))</f>
        <v>254968.51699213305</v>
      </c>
      <c r="U70" s="84">
        <f>IF(Inputs!$G$84="No",0,(U$56+U$69))</f>
        <v>244958.87159664574</v>
      </c>
      <c r="V70" s="84">
        <f>IF(Inputs!$G$84="No",0,(V$56+V$69))</f>
        <v>237364.46131237363</v>
      </c>
      <c r="W70" s="84">
        <f>IF(Inputs!$G$84="No",0,(W$56+W$69))</f>
        <v>229578.48032241606</v>
      </c>
      <c r="X70" s="84">
        <f>IF(Inputs!$G$84="No",0,(X$56+X$69))</f>
        <v>219944.97471265926</v>
      </c>
      <c r="Y70" s="84">
        <f>IF(Inputs!$G$84="No",0,(Y$56+Y$69))</f>
        <v>210118.04149070743</v>
      </c>
      <c r="Z70" s="84">
        <f>IF(Inputs!$G$84="No",0,(Z$56+Z$69))</f>
        <v>198496.76669919112</v>
      </c>
      <c r="AA70" s="84">
        <f>IF(Inputs!$G$84="No",0,(AA$56+AA$69))</f>
        <v>-2.1827872842550277E-13</v>
      </c>
      <c r="AB70" s="84">
        <f>IF(Inputs!$G$84="No",0,(AB$56+AB$69))</f>
        <v>0</v>
      </c>
      <c r="AC70" s="84">
        <f>IF(Inputs!$G$84="No",0,(AC$56+AC$69))</f>
        <v>0</v>
      </c>
      <c r="AD70" s="84">
        <f>IF(Inputs!$G$84="No",0,(AD$56+AD$69))</f>
        <v>0</v>
      </c>
      <c r="AE70" s="84">
        <f>IF(Inputs!$G$84="No",0,(AE$56+AE$69))</f>
        <v>0</v>
      </c>
      <c r="AF70" s="84">
        <f>IF(Inputs!$G$84="No",0,(AF$56+AF$69))</f>
        <v>0</v>
      </c>
      <c r="AG70" s="84">
        <f>IF(Inputs!$G$84="No",0,(AG$56+AG$69))</f>
        <v>0</v>
      </c>
      <c r="AH70" s="84">
        <f>IF(Inputs!$G$84="No",0,(AH$56+AH$69))</f>
        <v>0</v>
      </c>
      <c r="AI70" s="84">
        <f>IF(Inputs!$G$84="No",0,(AI$56+AI$69))</f>
        <v>0</v>
      </c>
      <c r="AJ70" s="84">
        <f>IF(Inputs!$G$84="No",0,(AJ$56+AJ$69))</f>
        <v>0</v>
      </c>
    </row>
    <row r="71" spans="2:36" s="29" customFormat="1" ht="16">
      <c r="B71" s="51"/>
      <c r="C71" s="51"/>
      <c r="D71" s="51"/>
      <c r="F71" s="86"/>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row>
    <row r="72" spans="2:36" s="29" customFormat="1" ht="16">
      <c r="B72" s="34" t="s">
        <v>280</v>
      </c>
      <c r="C72" s="34"/>
      <c r="D72" s="34"/>
      <c r="F72" s="344" t="str">
        <f>Inputs!G86</f>
        <v>As Generated</v>
      </c>
      <c r="G72" s="84">
        <f t="shared" ref="G72:AJ72" si="18">IF($F$72="as generated",G$70,G$169)</f>
        <v>-434348.04013264133</v>
      </c>
      <c r="H72" s="84">
        <f t="shared" si="18"/>
        <v>-860879.09193296928</v>
      </c>
      <c r="I72" s="84">
        <f t="shared" si="18"/>
        <v>-407319.70520932012</v>
      </c>
      <c r="J72" s="84">
        <f t="shared" si="18"/>
        <v>-133896.37699701538</v>
      </c>
      <c r="K72" s="84">
        <f t="shared" si="18"/>
        <v>-130800.44302848954</v>
      </c>
      <c r="L72" s="84">
        <f t="shared" si="18"/>
        <v>75771.468429820612</v>
      </c>
      <c r="M72" s="84">
        <f t="shared" si="18"/>
        <v>282652.99476943922</v>
      </c>
      <c r="N72" s="84">
        <f t="shared" si="18"/>
        <v>286870.11010364245</v>
      </c>
      <c r="O72" s="84">
        <f t="shared" si="18"/>
        <v>291586.33510506799</v>
      </c>
      <c r="P72" s="84">
        <f t="shared" si="18"/>
        <v>296961.21158229728</v>
      </c>
      <c r="Q72" s="84">
        <f t="shared" si="18"/>
        <v>236734.48397820431</v>
      </c>
      <c r="R72" s="84">
        <f t="shared" si="18"/>
        <v>242287.08581779158</v>
      </c>
      <c r="S72" s="84">
        <f t="shared" si="18"/>
        <v>248643.68030019323</v>
      </c>
      <c r="T72" s="84">
        <f t="shared" si="18"/>
        <v>254968.51699213305</v>
      </c>
      <c r="U72" s="84">
        <f t="shared" si="18"/>
        <v>244958.87159664574</v>
      </c>
      <c r="V72" s="84">
        <f t="shared" si="18"/>
        <v>237364.46131237363</v>
      </c>
      <c r="W72" s="84">
        <f t="shared" si="18"/>
        <v>229578.48032241606</v>
      </c>
      <c r="X72" s="84">
        <f t="shared" si="18"/>
        <v>219944.97471265926</v>
      </c>
      <c r="Y72" s="84">
        <f t="shared" si="18"/>
        <v>210118.04149070743</v>
      </c>
      <c r="Z72" s="84">
        <f t="shared" si="18"/>
        <v>198496.76669919112</v>
      </c>
      <c r="AA72" s="84">
        <f t="shared" si="18"/>
        <v>-2.1827872842550277E-13</v>
      </c>
      <c r="AB72" s="84">
        <f t="shared" si="18"/>
        <v>0</v>
      </c>
      <c r="AC72" s="84">
        <f t="shared" si="18"/>
        <v>0</v>
      </c>
      <c r="AD72" s="84">
        <f t="shared" si="18"/>
        <v>0</v>
      </c>
      <c r="AE72" s="84">
        <f t="shared" si="18"/>
        <v>0</v>
      </c>
      <c r="AF72" s="84">
        <f t="shared" si="18"/>
        <v>0</v>
      </c>
      <c r="AG72" s="84">
        <f t="shared" si="18"/>
        <v>0</v>
      </c>
      <c r="AH72" s="84">
        <f t="shared" si="18"/>
        <v>0</v>
      </c>
      <c r="AI72" s="84">
        <f t="shared" si="18"/>
        <v>0</v>
      </c>
      <c r="AJ72" s="84">
        <f t="shared" si="18"/>
        <v>0</v>
      </c>
    </row>
    <row r="73" spans="2:36" s="29" customFormat="1" ht="16">
      <c r="B73" s="34" t="s">
        <v>281</v>
      </c>
      <c r="C73" s="34"/>
      <c r="D73" s="34"/>
      <c r="F73" s="344" t="str">
        <f>Inputs!G88</f>
        <v>As Generated</v>
      </c>
      <c r="G73" s="84">
        <f t="shared" ref="G73:AJ73" si="19">IF($F$73="as generated",G$70,G$177)</f>
        <v>-434348.04013264133</v>
      </c>
      <c r="H73" s="84">
        <f t="shared" si="19"/>
        <v>-860879.09193296928</v>
      </c>
      <c r="I73" s="84">
        <f t="shared" si="19"/>
        <v>-407319.70520932012</v>
      </c>
      <c r="J73" s="84">
        <f t="shared" si="19"/>
        <v>-133896.37699701538</v>
      </c>
      <c r="K73" s="84">
        <f t="shared" si="19"/>
        <v>-130800.44302848954</v>
      </c>
      <c r="L73" s="84">
        <f t="shared" si="19"/>
        <v>75771.468429820612</v>
      </c>
      <c r="M73" s="84">
        <f t="shared" si="19"/>
        <v>282652.99476943922</v>
      </c>
      <c r="N73" s="84">
        <f t="shared" si="19"/>
        <v>286870.11010364245</v>
      </c>
      <c r="O73" s="84">
        <f t="shared" si="19"/>
        <v>291586.33510506799</v>
      </c>
      <c r="P73" s="84">
        <f t="shared" si="19"/>
        <v>296961.21158229728</v>
      </c>
      <c r="Q73" s="84">
        <f t="shared" si="19"/>
        <v>236734.48397820431</v>
      </c>
      <c r="R73" s="84">
        <f t="shared" si="19"/>
        <v>242287.08581779158</v>
      </c>
      <c r="S73" s="84">
        <f t="shared" si="19"/>
        <v>248643.68030019323</v>
      </c>
      <c r="T73" s="84">
        <f t="shared" si="19"/>
        <v>254968.51699213305</v>
      </c>
      <c r="U73" s="84">
        <f t="shared" si="19"/>
        <v>244958.87159664574</v>
      </c>
      <c r="V73" s="84">
        <f t="shared" si="19"/>
        <v>237364.46131237363</v>
      </c>
      <c r="W73" s="84">
        <f t="shared" si="19"/>
        <v>229578.48032241606</v>
      </c>
      <c r="X73" s="84">
        <f t="shared" si="19"/>
        <v>219944.97471265926</v>
      </c>
      <c r="Y73" s="84">
        <f t="shared" si="19"/>
        <v>210118.04149070743</v>
      </c>
      <c r="Z73" s="84">
        <f t="shared" si="19"/>
        <v>198496.76669919112</v>
      </c>
      <c r="AA73" s="84">
        <f t="shared" si="19"/>
        <v>-2.1827872842550277E-13</v>
      </c>
      <c r="AB73" s="84">
        <f t="shared" si="19"/>
        <v>0</v>
      </c>
      <c r="AC73" s="84">
        <f t="shared" si="19"/>
        <v>0</v>
      </c>
      <c r="AD73" s="84">
        <f t="shared" si="19"/>
        <v>0</v>
      </c>
      <c r="AE73" s="84">
        <f t="shared" si="19"/>
        <v>0</v>
      </c>
      <c r="AF73" s="84">
        <f t="shared" si="19"/>
        <v>0</v>
      </c>
      <c r="AG73" s="84">
        <f t="shared" si="19"/>
        <v>0</v>
      </c>
      <c r="AH73" s="84">
        <f t="shared" si="19"/>
        <v>0</v>
      </c>
      <c r="AI73" s="84">
        <f t="shared" si="19"/>
        <v>0</v>
      </c>
      <c r="AJ73" s="84">
        <f t="shared" si="19"/>
        <v>0</v>
      </c>
    </row>
    <row r="74" spans="2:36" s="29" customFormat="1" ht="16">
      <c r="B74" s="342"/>
      <c r="C74" s="342"/>
      <c r="D74" s="342"/>
      <c r="F74" s="86"/>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row>
    <row r="75" spans="2:36" s="38" customFormat="1" ht="16">
      <c r="B75" s="36" t="s">
        <v>140</v>
      </c>
      <c r="C75" s="36"/>
      <c r="D75" s="36"/>
      <c r="E75" s="334"/>
      <c r="G75" s="84">
        <f>IF(Inputs!$G$84="No",0,-(G$72+G$76)*Inputs!$G$85)</f>
        <v>137481.5717524784</v>
      </c>
      <c r="H75" s="84">
        <f>IF(Inputs!$G$84="No",0,-(H$72+H$76)*Inputs!$G$85)</f>
        <v>274045.7733295334</v>
      </c>
      <c r="I75" s="84">
        <f>IF(Inputs!$G$84="No",0,-(I$72+I$76)*Inputs!$G$85)</f>
        <v>128760.36461404475</v>
      </c>
      <c r="J75" s="84">
        <f>IF(Inputs!$G$84="No",0,-(J$72+J$76)*Inputs!$G$85)</f>
        <v>41162.868334469371</v>
      </c>
      <c r="K75" s="84">
        <f>IF(Inputs!$G$84="No",0,-(K$72+K$76)*Inputs!$G$85)</f>
        <v>40137.046553072476</v>
      </c>
      <c r="L75" s="84">
        <f>IF(Inputs!$G$84="No",0,-(L$72+L$76)*Inputs!$G$85)</f>
        <v>-26052.643997987372</v>
      </c>
      <c r="M75" s="84">
        <f>IF(Inputs!$G$84="No",0,-(M$72+M$76)*Inputs!$G$85)</f>
        <v>-92342.189432916974</v>
      </c>
      <c r="N75" s="84">
        <f>IF(Inputs!$G$84="No",0,-(N$72+N$76)*Inputs!$G$85)</f>
        <v>-93729.171975855643</v>
      </c>
      <c r="O75" s="84">
        <f>IF(Inputs!$G$84="No",0,-(O$72+O$76)*Inputs!$G$85)</f>
        <v>-95276.72341686544</v>
      </c>
      <c r="P75" s="84">
        <f>IF(Inputs!$G$84="No",0,-(P$72+P$76)*Inputs!$G$85)</f>
        <v>-97035.951600687491</v>
      </c>
      <c r="Q75" s="84">
        <f>IF(Inputs!$G$84="No",0,-(Q$72+Q$76)*Inputs!$G$85)</f>
        <v>-75814.218494019922</v>
      </c>
      <c r="R75" s="84">
        <f>IF(Inputs!$G$84="No",0,-(R$72+R$76)*Inputs!$G$85)</f>
        <v>-77592.439233147743</v>
      </c>
      <c r="S75" s="84">
        <f>IF(Inputs!$G$84="No",0,-(S$72+S$76)*Inputs!$G$85)</f>
        <v>-79628.138616136886</v>
      </c>
      <c r="T75" s="84">
        <f>IF(Inputs!$G$84="No",0,-(T$72+T$76)*Inputs!$G$85)</f>
        <v>-81653.667566730597</v>
      </c>
      <c r="U75" s="84">
        <f>IF(Inputs!$G$84="No",0,-(U$72+U$76)*Inputs!$G$85)</f>
        <v>-78448.078628825795</v>
      </c>
      <c r="V75" s="84">
        <f>IF(Inputs!$G$84="No",0,-(V$72+V$76)*Inputs!$G$85)</f>
        <v>-76015.96873528765</v>
      </c>
      <c r="W75" s="84">
        <f>IF(Inputs!$G$84="No",0,-(W$72+W$76)*Inputs!$G$85)</f>
        <v>-73522.508323253744</v>
      </c>
      <c r="X75" s="84">
        <f>IF(Inputs!$G$84="No",0,-(X$72+X$76)*Inputs!$G$85)</f>
        <v>-70437.378151729121</v>
      </c>
      <c r="Y75" s="84">
        <f>IF(Inputs!$G$84="No",0,-(Y$72+Y$76)*Inputs!$G$85)</f>
        <v>-67290.30278739905</v>
      </c>
      <c r="Z75" s="84">
        <f>IF(Inputs!$G$84="No",0,-(Z$72+Z$76)*Inputs!$G$85)</f>
        <v>-63568.589535415951</v>
      </c>
      <c r="AA75" s="84">
        <f>IF(Inputs!$G$84="No",0,-(AA$72+AA$76)*Inputs!$G$85)</f>
        <v>6.9903762778267262E-14</v>
      </c>
      <c r="AB75" s="84">
        <f>IF(Inputs!$G$84="No",0,-(AB$72+AB$76)*Inputs!$G$85)</f>
        <v>0</v>
      </c>
      <c r="AC75" s="84">
        <f>IF(Inputs!$G$84="No",0,-(AC$72+AC$76)*Inputs!$G$85)</f>
        <v>0</v>
      </c>
      <c r="AD75" s="84">
        <f>IF(Inputs!$G$84="No",0,-(AD$72+AD$76)*Inputs!$G$85)</f>
        <v>0</v>
      </c>
      <c r="AE75" s="84">
        <f>IF(Inputs!$G$84="No",0,-(AE$72+AE$76)*Inputs!$G$85)</f>
        <v>0</v>
      </c>
      <c r="AF75" s="84">
        <f>IF(Inputs!$G$84="No",0,-(AF$72+AF$76)*Inputs!$G$85)</f>
        <v>0</v>
      </c>
      <c r="AG75" s="84">
        <f>IF(Inputs!$G$84="No",0,-(AG$72+AG$76)*Inputs!$G$85)</f>
        <v>0</v>
      </c>
      <c r="AH75" s="84">
        <f>IF(Inputs!$G$84="No",0,-(AH$72+AH$76)*Inputs!$G$85)</f>
        <v>0</v>
      </c>
      <c r="AI75" s="84">
        <f>IF(Inputs!$G$84="No",0,-(AI$72+AI$76)*Inputs!$G$85)</f>
        <v>0</v>
      </c>
      <c r="AJ75" s="84">
        <f>IF(Inputs!$G$84="No",0,-(AJ$72+AJ$76)*Inputs!$G$85)</f>
        <v>0</v>
      </c>
    </row>
    <row r="76" spans="2:36" s="38" customFormat="1" ht="16">
      <c r="B76" s="36" t="s">
        <v>177</v>
      </c>
      <c r="C76" s="36"/>
      <c r="D76" s="36"/>
      <c r="G76" s="84">
        <f>IF(Inputs!$G$84="No",0,-(G$73-IF(AND(Inputs!$Q$52="Cash",Inputs!$Q$54="No"),'Cash Flow'!G$24,0))*Inputs!$G$87)</f>
        <v>41543.549411274515</v>
      </c>
      <c r="H76" s="84">
        <f>IF(Inputs!$G$84="No",0,-(H$73-IF(AND(Inputs!$Q$52="Cash",Inputs!$Q$54="No"),'Cash Flow'!H$24,0))*Inputs!$G$87)</f>
        <v>77891.168134302396</v>
      </c>
      <c r="I76" s="84">
        <f>IF(Inputs!$G$84="No",0,-(I$73-IF(AND(Inputs!$Q$52="Cash",Inputs!$Q$54="No"),'Cash Flow'!I$24,0))*Inputs!$G$87)</f>
        <v>39432.949169192209</v>
      </c>
      <c r="J76" s="84">
        <f>IF(Inputs!$G$84="No",0,-(J$73-IF(AND(Inputs!$Q$52="Cash",Inputs!$Q$54="No"),'Cash Flow'!J$24,0))*Inputs!$G$87)</f>
        <v>16288.181755674308</v>
      </c>
      <c r="K76" s="84">
        <f>IF(Inputs!$G$84="No",0,-(K$73-IF(AND(Inputs!$Q$52="Cash",Inputs!$Q$54="No"),'Cash Flow'!K$24,0))*Inputs!$G$87)</f>
        <v>16123.16716256817</v>
      </c>
      <c r="L76" s="84">
        <f>IF(Inputs!$G$84="No",0,-(L$73-IF(AND(Inputs!$Q$52="Cash",Inputs!$Q$54="No"),'Cash Flow'!L$24,0))*Inputs!$G$87)</f>
        <v>-1335.3427212852605</v>
      </c>
      <c r="M76" s="84">
        <f>IF(Inputs!$G$84="No",0,-(M$73-IF(AND(Inputs!$Q$52="Cash",Inputs!$Q$54="No"),'Cash Flow'!M$24,0))*Inputs!$G$87)</f>
        <v>-18818.167818247854</v>
      </c>
      <c r="N76" s="84">
        <f>IF(Inputs!$G$84="No",0,-(N$73-IF(AND(Inputs!$Q$52="Cash",Inputs!$Q$54="No"),'Cash Flow'!N$24,0))*Inputs!$G$87)</f>
        <v>-19072.475886912038</v>
      </c>
      <c r="O76" s="84">
        <f>IF(Inputs!$G$84="No",0,-(O$73-IF(AND(Inputs!$Q$52="Cash",Inputs!$Q$54="No"),'Cash Flow'!O$24,0))*Inputs!$G$87)</f>
        <v>-19367.125342595256</v>
      </c>
      <c r="P76" s="84">
        <f>IF(Inputs!$G$84="No",0,-(P$73-IF(AND(Inputs!$Q$52="Cash",Inputs!$Q$54="No"),'Cash Flow'!P$24,0))*Inputs!$G$87)</f>
        <v>-19715.635580333037</v>
      </c>
      <c r="Q76" s="84">
        <f>IF(Inputs!$G$84="No",0,-(Q$73-IF(AND(Inputs!$Q$52="Cash",Inputs!$Q$54="No"),'Cash Flow'!Q$24,0))*Inputs!$G$87)</f>
        <v>-20122.431138147367</v>
      </c>
      <c r="R76" s="84">
        <f>IF(Inputs!$G$84="No",0,-(R$73-IF(AND(Inputs!$Q$52="Cash",Inputs!$Q$54="No"),'Cash Flow'!R$24,0))*Inputs!$G$87)</f>
        <v>-20594.402294512285</v>
      </c>
      <c r="S76" s="84">
        <f>IF(Inputs!$G$84="No",0,-(S$73-IF(AND(Inputs!$Q$52="Cash",Inputs!$Q$54="No"),'Cash Flow'!S$24,0))*Inputs!$G$87)</f>
        <v>-21134.712825516424</v>
      </c>
      <c r="T76" s="84">
        <f>IF(Inputs!$G$84="No",0,-(T$73-IF(AND(Inputs!$Q$52="Cash",Inputs!$Q$54="No"),'Cash Flow'!T$24,0))*Inputs!$G$87)</f>
        <v>-21672.32394433131</v>
      </c>
      <c r="U76" s="84">
        <f>IF(Inputs!$G$84="No",0,-(U$73-IF(AND(Inputs!$Q$52="Cash",Inputs!$Q$54="No"),'Cash Flow'!U$24,0))*Inputs!$G$87)</f>
        <v>-20821.504085714889</v>
      </c>
      <c r="V76" s="84">
        <f>IF(Inputs!$G$84="No",0,-(V$73-IF(AND(Inputs!$Q$52="Cash",Inputs!$Q$54="No"),'Cash Flow'!V$24,0))*Inputs!$G$87)</f>
        <v>-20175.979211551759</v>
      </c>
      <c r="W76" s="84">
        <f>IF(Inputs!$G$84="No",0,-(W$73-IF(AND(Inputs!$Q$52="Cash",Inputs!$Q$54="No"),'Cash Flow'!W$24,0))*Inputs!$G$87)</f>
        <v>-19514.170827405367</v>
      </c>
      <c r="X76" s="84">
        <f>IF(Inputs!$G$84="No",0,-(X$73-IF(AND(Inputs!$Q$52="Cash",Inputs!$Q$54="No"),'Cash Flow'!X$24,0))*Inputs!$G$87)</f>
        <v>-18695.322850576038</v>
      </c>
      <c r="Y76" s="84">
        <f>IF(Inputs!$G$84="No",0,-(Y$73-IF(AND(Inputs!$Q$52="Cash",Inputs!$Q$54="No"),'Cash Flow'!Y$24,0))*Inputs!$G$87)</f>
        <v>-17860.033526710133</v>
      </c>
      <c r="Z76" s="84">
        <f>IF(Inputs!$G$84="No",0,-(Z$73-IF(AND(Inputs!$Q$52="Cash",Inputs!$Q$54="No"),'Cash Flow'!Z$24,0))*Inputs!$G$87)</f>
        <v>-16872.225169431247</v>
      </c>
      <c r="AA76" s="84">
        <f>IF(Inputs!$G$84="No",0,-(AA$73-IF(AND(Inputs!$Q$52="Cash",Inputs!$Q$54="No"),'Cash Flow'!AA$24,0))*Inputs!$G$87)</f>
        <v>1.8553691916167737E-14</v>
      </c>
      <c r="AB76" s="84">
        <f>IF(Inputs!$G$84="No",0,-(AB$73-IF(AND(Inputs!$Q$52="Cash",Inputs!$Q$54="No"),'Cash Flow'!AB$24,0))*Inputs!$G$87)</f>
        <v>0</v>
      </c>
      <c r="AC76" s="84">
        <f>IF(Inputs!$G$84="No",0,-(AC$73-IF(AND(Inputs!$Q$52="Cash",Inputs!$Q$54="No"),'Cash Flow'!AC$24,0))*Inputs!$G$87)</f>
        <v>0</v>
      </c>
      <c r="AD76" s="84">
        <f>IF(Inputs!$G$84="No",0,-(AD$73-IF(AND(Inputs!$Q$52="Cash",Inputs!$Q$54="No"),'Cash Flow'!AD$24,0))*Inputs!$G$87)</f>
        <v>0</v>
      </c>
      <c r="AE76" s="84">
        <f>IF(Inputs!$G$84="No",0,-(AE$73-IF(AND(Inputs!$Q$52="Cash",Inputs!$Q$54="No"),'Cash Flow'!AE$24,0))*Inputs!$G$87)</f>
        <v>0</v>
      </c>
      <c r="AF76" s="84">
        <f>IF(Inputs!$G$84="No",0,-(AF$73-IF(AND(Inputs!$Q$52="Cash",Inputs!$Q$54="No"),'Cash Flow'!AF$24,0))*Inputs!$G$87)</f>
        <v>0</v>
      </c>
      <c r="AG76" s="84">
        <f>IF(Inputs!$G$84="No",0,-(AG$73-IF(AND(Inputs!$Q$52="Cash",Inputs!$Q$54="No"),'Cash Flow'!AG$24,0))*Inputs!$G$87)</f>
        <v>0</v>
      </c>
      <c r="AH76" s="84">
        <f>IF(Inputs!$G$84="No",0,-(AH$73-IF(AND(Inputs!$Q$52="Cash",Inputs!$Q$54="No"),'Cash Flow'!AH$24,0))*Inputs!$G$87)</f>
        <v>0</v>
      </c>
      <c r="AI76" s="84">
        <f>IF(Inputs!$G$84="No",0,-(AI$73-IF(AND(Inputs!$Q$52="Cash",Inputs!$Q$54="No"),'Cash Flow'!AI$24,0))*Inputs!$G$87)</f>
        <v>0</v>
      </c>
      <c r="AJ76" s="84">
        <f>IF(Inputs!$G$84="No",0,-(AJ$73-IF(AND(Inputs!$Q$52="Cash",Inputs!$Q$54="No"),'Cash Flow'!AJ$24,0))*Inputs!$G$87)</f>
        <v>0</v>
      </c>
    </row>
    <row r="77" spans="2:36" s="29" customFormat="1" ht="16">
      <c r="B77" s="36" t="s">
        <v>266</v>
      </c>
      <c r="C77" s="36"/>
      <c r="D77" s="36"/>
      <c r="E77" s="334"/>
      <c r="F77" s="38"/>
      <c r="G77" s="41">
        <f>IF(AND(Inputs!$Q$33="Cost-Based",Inputs!$Q$34="Cash Grant",G$2=1),Inputs!$Q$37,IF(Inputs!$G$86="as generated",'Cash Flow'!G$184,-G$191))</f>
        <v>41706.36</v>
      </c>
      <c r="H77" s="41">
        <f>IF(AND(Inputs!$Q$33="Cost-Based",Inputs!$Q$34="Cash Grant",H$2=1),Inputs!$Q$37,IF(Inputs!$G$86="as generated",'Cash Flow'!H$184,-H$191))</f>
        <v>42540.487200000003</v>
      </c>
      <c r="I77" s="41">
        <f>IF(AND(Inputs!$Q$33="Cost-Based",Inputs!$Q$34="Cash Grant",I$2=1),Inputs!$Q$37,IF(Inputs!$G$86="as generated",'Cash Flow'!I$184,-I$191))</f>
        <v>43391.296943999994</v>
      </c>
      <c r="J77" s="41">
        <f>IF(AND(Inputs!$Q$33="Cost-Based",Inputs!$Q$34="Cash Grant",J$2=1),Inputs!$Q$37,IF(Inputs!$G$86="as generated",'Cash Flow'!J$184,-J$191))</f>
        <v>44259.122882879994</v>
      </c>
      <c r="K77" s="41">
        <f>IF(AND(Inputs!$Q$33="Cost-Based",Inputs!$Q$34="Cash Grant",K$2=1),Inputs!$Q$37,IF(Inputs!$G$86="as generated",'Cash Flow'!K$184,-K$191))</f>
        <v>45144.305340537598</v>
      </c>
      <c r="L77" s="41">
        <f>IF(AND(Inputs!$Q$33="Cost-Based",Inputs!$Q$34="Cash Grant",L$2=1),Inputs!$Q$37,IF(Inputs!$G$86="as generated",'Cash Flow'!L$184,-L$191))</f>
        <v>46047.191447348356</v>
      </c>
      <c r="M77" s="41">
        <f>IF(AND(Inputs!$Q$33="Cost-Based",Inputs!$Q$34="Cash Grant",M$2=1),Inputs!$Q$37,IF(Inputs!$G$86="as generated",'Cash Flow'!M$184,-M$191))</f>
        <v>46968.135276295317</v>
      </c>
      <c r="N77" s="41">
        <f>IF(AND(Inputs!$Q$33="Cost-Based",Inputs!$Q$34="Cash Grant",N$2=1),Inputs!$Q$37,IF(Inputs!$G$86="as generated",'Cash Flow'!N$184,-N$191))</f>
        <v>47907.49798182123</v>
      </c>
      <c r="O77" s="41">
        <f>IF(AND(Inputs!$Q$33="Cost-Based",Inputs!$Q$34="Cash Grant",O$2=1),Inputs!$Q$37,IF(Inputs!$G$86="as generated",'Cash Flow'!O$184,-O$191))</f>
        <v>48865.647941457653</v>
      </c>
      <c r="P77" s="41">
        <f>IF(AND(Inputs!$Q$33="Cost-Based",Inputs!$Q$34="Cash Grant",P$2=1),Inputs!$Q$37,IF(Inputs!$G$86="as generated",'Cash Flow'!P$184,-P$191))</f>
        <v>49842.960900286809</v>
      </c>
      <c r="Q77" s="41">
        <f>IF(AND(Inputs!$Q$33="Cost-Based",Inputs!$Q$34="Cash Grant",Q$2=1),Inputs!$Q$37,IF(Inputs!$G$86="as generated",'Cash Flow'!Q$184,-Q$191))</f>
        <v>0</v>
      </c>
      <c r="R77" s="41">
        <f>IF(AND(Inputs!$Q$33="Cost-Based",Inputs!$Q$34="Cash Grant",R$2=1),Inputs!$Q$37,IF(Inputs!$G$86="as generated",'Cash Flow'!R$184,-R$191))</f>
        <v>0</v>
      </c>
      <c r="S77" s="41">
        <f>IF(AND(Inputs!$Q$33="Cost-Based",Inputs!$Q$34="Cash Grant",S$2=1),Inputs!$Q$37,IF(Inputs!$G$86="as generated",'Cash Flow'!S$184,-S$191))</f>
        <v>0</v>
      </c>
      <c r="T77" s="41">
        <f>IF(AND(Inputs!$Q$33="Cost-Based",Inputs!$Q$34="Cash Grant",T$2=1),Inputs!$Q$37,IF(Inputs!$G$86="as generated",'Cash Flow'!T$184,-T$191))</f>
        <v>0</v>
      </c>
      <c r="U77" s="41">
        <f>IF(AND(Inputs!$Q$33="Cost-Based",Inputs!$Q$34="Cash Grant",U$2=1),Inputs!$Q$37,IF(Inputs!$G$86="as generated",'Cash Flow'!U$184,-U$191))</f>
        <v>0</v>
      </c>
      <c r="V77" s="41">
        <f>IF(AND(Inputs!$Q$33="Cost-Based",Inputs!$Q$34="Cash Grant",V$2=1),Inputs!$Q$37,IF(Inputs!$G$86="as generated",'Cash Flow'!V$184,-V$191))</f>
        <v>0</v>
      </c>
      <c r="W77" s="41">
        <f>IF(AND(Inputs!$Q$33="Cost-Based",Inputs!$Q$34="Cash Grant",W$2=1),Inputs!$Q$37,IF(Inputs!$G$86="as generated",'Cash Flow'!W$184,-W$191))</f>
        <v>0</v>
      </c>
      <c r="X77" s="41">
        <f>IF(AND(Inputs!$Q$33="Cost-Based",Inputs!$Q$34="Cash Grant",X$2=1),Inputs!$Q$37,IF(Inputs!$G$86="as generated",'Cash Flow'!X$184,-X$191))</f>
        <v>0</v>
      </c>
      <c r="Y77" s="41">
        <f>IF(AND(Inputs!$Q$33="Cost-Based",Inputs!$Q$34="Cash Grant",Y$2=1),Inputs!$Q$37,IF(Inputs!$G$86="as generated",'Cash Flow'!Y$184,-Y$191))</f>
        <v>0</v>
      </c>
      <c r="Z77" s="41">
        <f>IF(AND(Inputs!$Q$33="Cost-Based",Inputs!$Q$34="Cash Grant",Z$2=1),Inputs!$Q$37,IF(Inputs!$G$86="as generated",'Cash Flow'!Z$184,-Z$191))</f>
        <v>0</v>
      </c>
      <c r="AA77" s="41">
        <f>IF(AND(Inputs!$Q$33="Cost-Based",Inputs!$Q$34="Cash Grant",AA$2=1),Inputs!$Q$37,IF(Inputs!$G$86="as generated",'Cash Flow'!AA$184,-AA$191))</f>
        <v>0</v>
      </c>
      <c r="AB77" s="41">
        <f>IF(AND(Inputs!$Q$33="Cost-Based",Inputs!$Q$34="Cash Grant",AB$2=1),Inputs!$Q$37,IF(Inputs!$G$86="as generated",'Cash Flow'!AB$184,-AB$191))</f>
        <v>0</v>
      </c>
      <c r="AC77" s="41">
        <f>IF(AND(Inputs!$Q$33="Cost-Based",Inputs!$Q$34="Cash Grant",AC$2=1),Inputs!$Q$37,IF(Inputs!$G$86="as generated",'Cash Flow'!AC$184,-AC$191))</f>
        <v>0</v>
      </c>
      <c r="AD77" s="41">
        <f>IF(AND(Inputs!$Q$33="Cost-Based",Inputs!$Q$34="Cash Grant",AD$2=1),Inputs!$Q$37,IF(Inputs!$G$86="as generated",'Cash Flow'!AD$184,-AD$191))</f>
        <v>0</v>
      </c>
      <c r="AE77" s="41">
        <f>IF(AND(Inputs!$Q$33="Cost-Based",Inputs!$Q$34="Cash Grant",AE$2=1),Inputs!$Q$37,IF(Inputs!$G$86="as generated",'Cash Flow'!AE$184,-AE$191))</f>
        <v>0</v>
      </c>
      <c r="AF77" s="41">
        <f>IF(AND(Inputs!$Q$33="Cost-Based",Inputs!$Q$34="Cash Grant",AF$2=1),Inputs!$Q$37,IF(Inputs!$G$86="as generated",'Cash Flow'!AF$184,-AF$191))</f>
        <v>0</v>
      </c>
      <c r="AG77" s="41">
        <f>IF(AND(Inputs!$Q$33="Cost-Based",Inputs!$Q$34="Cash Grant",AG$2=1),Inputs!$Q$37,IF(Inputs!$G$86="as generated",'Cash Flow'!AG$184,-AG$191))</f>
        <v>0</v>
      </c>
      <c r="AH77" s="41">
        <f>IF(AND(Inputs!$Q$33="Cost-Based",Inputs!$Q$34="Cash Grant",AH$2=1),Inputs!$Q$37,IF(Inputs!$G$86="as generated",'Cash Flow'!AH$184,-AH$191))</f>
        <v>0</v>
      </c>
      <c r="AI77" s="41">
        <f>IF(AND(Inputs!$Q$33="Cost-Based",Inputs!$Q$34="Cash Grant",AI$2=1),Inputs!$Q$37,IF(Inputs!$G$86="as generated",'Cash Flow'!AI$184,-AI$191))</f>
        <v>0</v>
      </c>
      <c r="AJ77" s="41">
        <f>IF(AND(Inputs!$Q$33="Cost-Based",Inputs!$Q$34="Cash Grant",AJ$2=1),Inputs!$Q$37,IF(Inputs!$G$86="as generated",'Cash Flow'!AJ$184,-AJ$191))</f>
        <v>0</v>
      </c>
    </row>
    <row r="78" spans="2:36" s="29" customFormat="1" ht="16">
      <c r="B78" s="39" t="s">
        <v>143</v>
      </c>
      <c r="C78" s="39"/>
      <c r="D78" s="39"/>
      <c r="E78" s="335"/>
      <c r="F78" s="40"/>
      <c r="G78" s="42">
        <f>IF(Inputs!$G$88="as generated",'Cash Flow'!G$198,-G$205)</f>
        <v>0</v>
      </c>
      <c r="H78" s="42">
        <f>IF(Inputs!$G$88="as generated",'Cash Flow'!H$198,-H$205)</f>
        <v>0</v>
      </c>
      <c r="I78" s="42">
        <f>IF(Inputs!$G$88="as generated",'Cash Flow'!I$198,-I$205)</f>
        <v>0</v>
      </c>
      <c r="J78" s="42">
        <f>IF(Inputs!$G$88="as generated",'Cash Flow'!J$198,-J$205)</f>
        <v>0</v>
      </c>
      <c r="K78" s="42">
        <f>IF(Inputs!$G$88="as generated",'Cash Flow'!K$198,-K$205)</f>
        <v>0</v>
      </c>
      <c r="L78" s="42">
        <f>IF(Inputs!$G$88="as generated",'Cash Flow'!L$198,-L$205)</f>
        <v>0</v>
      </c>
      <c r="M78" s="42">
        <f>IF(Inputs!$G$88="as generated",'Cash Flow'!M$198,-M$205)</f>
        <v>0</v>
      </c>
      <c r="N78" s="42">
        <f>IF(Inputs!$G$88="as generated",'Cash Flow'!N$198,-N$205)</f>
        <v>0</v>
      </c>
      <c r="O78" s="42">
        <f>IF(Inputs!$G$88="as generated",'Cash Flow'!O$198,-O$205)</f>
        <v>0</v>
      </c>
      <c r="P78" s="42">
        <f>IF(Inputs!$G$88="as generated",'Cash Flow'!P$198,-P$205)</f>
        <v>0</v>
      </c>
      <c r="Q78" s="42">
        <f>IF(Inputs!$G$88="as generated",'Cash Flow'!Q$198,-Q$205)</f>
        <v>0</v>
      </c>
      <c r="R78" s="42">
        <f>IF(Inputs!$G$88="as generated",'Cash Flow'!R$198,-R$205)</f>
        <v>0</v>
      </c>
      <c r="S78" s="42">
        <f>IF(Inputs!$G$88="as generated",'Cash Flow'!S$198,-S$205)</f>
        <v>0</v>
      </c>
      <c r="T78" s="42">
        <f>IF(Inputs!$G$88="as generated",'Cash Flow'!T$198,-T$205)</f>
        <v>0</v>
      </c>
      <c r="U78" s="42">
        <f>IF(Inputs!$G$88="as generated",'Cash Flow'!U$198,-U$205)</f>
        <v>0</v>
      </c>
      <c r="V78" s="42">
        <f>IF(Inputs!$G$88="as generated",'Cash Flow'!V$198,-V$205)</f>
        <v>0</v>
      </c>
      <c r="W78" s="42">
        <f>IF(Inputs!$G$88="as generated",'Cash Flow'!W$198,-W$205)</f>
        <v>0</v>
      </c>
      <c r="X78" s="42">
        <f>IF(Inputs!$G$88="as generated",'Cash Flow'!X$198,-X$205)</f>
        <v>0</v>
      </c>
      <c r="Y78" s="42">
        <f>IF(Inputs!$G$88="as generated",'Cash Flow'!Y$198,-Y$205)</f>
        <v>0</v>
      </c>
      <c r="Z78" s="42">
        <f>IF(Inputs!$G$88="as generated",'Cash Flow'!Z$198,-Z$205)</f>
        <v>0</v>
      </c>
      <c r="AA78" s="42">
        <f>IF(Inputs!$G$88="as generated",'Cash Flow'!AA$198,-AA$205)</f>
        <v>0</v>
      </c>
      <c r="AB78" s="42">
        <f>IF(Inputs!$G$88="as generated",'Cash Flow'!AB$198,-AB$205)</f>
        <v>0</v>
      </c>
      <c r="AC78" s="42">
        <f>IF(Inputs!$G$88="as generated",'Cash Flow'!AC$198,-AC$205)</f>
        <v>0</v>
      </c>
      <c r="AD78" s="42">
        <f>IF(Inputs!$G$88="as generated",'Cash Flow'!AD$198,-AD$205)</f>
        <v>0</v>
      </c>
      <c r="AE78" s="42">
        <f>IF(Inputs!$G$88="as generated",'Cash Flow'!AE$198,-AE$205)</f>
        <v>0</v>
      </c>
      <c r="AF78" s="42">
        <f>IF(Inputs!$G$88="as generated",'Cash Flow'!AF$198,-AF$205)</f>
        <v>0</v>
      </c>
      <c r="AG78" s="42">
        <f>IF(Inputs!$G$88="as generated",'Cash Flow'!AG$198,-AG$205)</f>
        <v>0</v>
      </c>
      <c r="AH78" s="42">
        <f>IF(Inputs!$G$88="as generated",'Cash Flow'!AH$198,-AH$205)</f>
        <v>0</v>
      </c>
      <c r="AI78" s="42">
        <f>IF(Inputs!$G$88="as generated",'Cash Flow'!AI$198,-AI$205)</f>
        <v>0</v>
      </c>
      <c r="AJ78" s="42">
        <f>IF(Inputs!$G$88="as generated",'Cash Flow'!AJ$198,-AJ$205)</f>
        <v>0</v>
      </c>
    </row>
    <row r="79" spans="2:36" s="29" customFormat="1" ht="16">
      <c r="B79" s="34" t="s">
        <v>142</v>
      </c>
      <c r="C79" s="34"/>
      <c r="D79" s="34"/>
      <c r="E79" s="52"/>
      <c r="F79" s="44">
        <f t="shared" ref="F79:AJ79" si="20">F66+SUM(F75:F78)</f>
        <v>-1687499.9999999998</v>
      </c>
      <c r="G79" s="44">
        <f>G66+SUM(G75:G78)</f>
        <v>394134.81675008096</v>
      </c>
      <c r="H79" s="44">
        <f t="shared" si="20"/>
        <v>561950.99625016376</v>
      </c>
      <c r="I79" s="44">
        <f t="shared" si="20"/>
        <v>373009.81495356484</v>
      </c>
      <c r="J79" s="44">
        <f t="shared" si="20"/>
        <v>256966.04657215168</v>
      </c>
      <c r="K79" s="44">
        <f t="shared" si="20"/>
        <v>250367.67541556217</v>
      </c>
      <c r="L79" s="44">
        <f t="shared" si="20"/>
        <v>161203.78950292087</v>
      </c>
      <c r="M79" s="44">
        <f t="shared" si="20"/>
        <v>71805.419783745994</v>
      </c>
      <c r="N79" s="44">
        <f t="shared" si="20"/>
        <v>64425.610001114619</v>
      </c>
      <c r="O79" s="44">
        <f t="shared" si="20"/>
        <v>56730.119549972907</v>
      </c>
      <c r="P79" s="44">
        <f t="shared" si="20"/>
        <v>48652.025782875062</v>
      </c>
      <c r="Q79" s="44">
        <f t="shared" si="20"/>
        <v>-53775.428088959699</v>
      </c>
      <c r="R79" s="44">
        <f t="shared" si="20"/>
        <v>-64580.230265314924</v>
      </c>
      <c r="S79" s="44">
        <f t="shared" si="20"/>
        <v>-75881.942665787807</v>
      </c>
      <c r="T79" s="44">
        <f t="shared" si="20"/>
        <v>281899.08762158651</v>
      </c>
      <c r="U79" s="44">
        <f t="shared" si="20"/>
        <v>152561.91388210506</v>
      </c>
      <c r="V79" s="44">
        <f t="shared" si="20"/>
        <v>146379.76336553422</v>
      </c>
      <c r="W79" s="44">
        <f t="shared" si="20"/>
        <v>140090.05117175693</v>
      </c>
      <c r="X79" s="44">
        <f t="shared" si="20"/>
        <v>134360.14871035411</v>
      </c>
      <c r="Y79" s="44">
        <f t="shared" si="20"/>
        <v>128515.95517659825</v>
      </c>
      <c r="Z79" s="44">
        <f t="shared" si="20"/>
        <v>334745.21434440988</v>
      </c>
      <c r="AA79" s="44">
        <f t="shared" si="20"/>
        <v>-1.2982127373106776E-13</v>
      </c>
      <c r="AB79" s="44">
        <f t="shared" si="20"/>
        <v>0</v>
      </c>
      <c r="AC79" s="44">
        <f t="shared" si="20"/>
        <v>0</v>
      </c>
      <c r="AD79" s="44">
        <f t="shared" si="20"/>
        <v>0</v>
      </c>
      <c r="AE79" s="44">
        <f t="shared" si="20"/>
        <v>0</v>
      </c>
      <c r="AF79" s="44">
        <f t="shared" si="20"/>
        <v>0</v>
      </c>
      <c r="AG79" s="44">
        <f t="shared" si="20"/>
        <v>0</v>
      </c>
      <c r="AH79" s="44">
        <f t="shared" si="20"/>
        <v>0</v>
      </c>
      <c r="AI79" s="44">
        <f t="shared" si="20"/>
        <v>0</v>
      </c>
      <c r="AJ79" s="44">
        <f t="shared" si="20"/>
        <v>0</v>
      </c>
    </row>
    <row r="80" spans="2:36" s="29" customFormat="1" ht="17">
      <c r="B80" s="54" t="s">
        <v>141</v>
      </c>
      <c r="C80" s="54"/>
      <c r="D80" s="54"/>
      <c r="E80" s="52"/>
      <c r="F80" s="44"/>
      <c r="G80" s="380">
        <f>IF(ISERROR(IRR($F79:G79)),"NA",IRR($F79:G79))</f>
        <v>-0.76643862711106303</v>
      </c>
      <c r="H80" s="380">
        <f>IF(ISERROR(IRR($F79:H79)),"NA",IRR($F79:H79))</f>
        <v>-0.2944530386175761</v>
      </c>
      <c r="I80" s="380">
        <f>IF(ISERROR(IRR($F79:I79)),"NA",IRR($F79:I79))</f>
        <v>-0.11156741288034933</v>
      </c>
      <c r="J80" s="380">
        <f>IF(ISERROR(IRR($F79:J79)),"NA",IRR($F79:J79))</f>
        <v>-2.6316837635725565E-2</v>
      </c>
      <c r="K80" s="380">
        <f>IF(ISERROR(IRR($F79:K79)),"NA",IRR($F79:K79))</f>
        <v>3.2434124637782391E-2</v>
      </c>
      <c r="L80" s="380">
        <f>IF(ISERROR(IRR($F79:L79)),"NA",IRR($F79:L79))</f>
        <v>6.0429195766765087E-2</v>
      </c>
      <c r="M80" s="380">
        <f>IF(ISERROR(IRR($F79:M79)),"NA",IRR($F79:M79))</f>
        <v>7.0623020396582525E-2</v>
      </c>
      <c r="N80" s="380">
        <f>IF(ISERROR(IRR($F79:N79)),"NA",IRR($F79:N79))</f>
        <v>7.8472196121055271E-2</v>
      </c>
      <c r="O80" s="380">
        <f>IF(ISERROR(IRR($F79:O79)),"NA",IRR($F79:O79))</f>
        <v>8.4414089718550356E-2</v>
      </c>
      <c r="P80" s="380">
        <f>IF(ISERROR(IRR($F79:P79)),"NA",IRR($F79:P79))</f>
        <v>8.8818010374481338E-2</v>
      </c>
      <c r="Q80" s="380">
        <f>IF(ISERROR(IRR($F79:Q79)),"NA",IRR($F79:Q79))</f>
        <v>8.4326237962799588E-2</v>
      </c>
      <c r="R80" s="380">
        <f>IF(ISERROR(IRR($F79:R79)),"NA",IRR($F79:R79))</f>
        <v>7.8927770498732563E-2</v>
      </c>
      <c r="S80" s="380">
        <f>IF(ISERROR(IRR($F79:S79)),"NA",IRR($F79:S79))</f>
        <v>7.2343097216246655E-2</v>
      </c>
      <c r="T80" s="380">
        <f>IF(ISERROR(IRR($F79:T79)),"NA",IRR($F79:T79))</f>
        <v>9.1966671569487568E-2</v>
      </c>
      <c r="U80" s="380">
        <f>IF(ISERROR(IRR($F79:U79)),"NA",IRR($F79:U79))</f>
        <v>9.9350674436399E-2</v>
      </c>
      <c r="V80" s="380">
        <f>IF(ISERROR(IRR($F79:V79)),"NA",IRR($F79:V79))</f>
        <v>0.10495214847886247</v>
      </c>
      <c r="W80" s="380">
        <f>IF(ISERROR(IRR($F79:W79)),"NA",IRR($F79:W79))</f>
        <v>0.10928620226272545</v>
      </c>
      <c r="X80" s="380">
        <f>IF(ISERROR(IRR($F79:X79)),"NA",IRR($F79:X79))</f>
        <v>0.1127015966335343</v>
      </c>
      <c r="Y80" s="380">
        <f>IF(ISERROR(IRR($F79:Y79)),"NA",IRR($F79:Y79))</f>
        <v>0.11541896133559271</v>
      </c>
      <c r="Z80" s="380">
        <f>IF(ISERROR(IRR($F79:Z79)),"NA",IRR($F79:Z79))</f>
        <v>0.12108520247293408</v>
      </c>
      <c r="AA80" s="380">
        <f>IF(ISERROR(IRR($F79:AA79)),"NA",IRR($F79:AA79))</f>
        <v>0.12108520247293408</v>
      </c>
      <c r="AB80" s="380">
        <f>IF(ISERROR(IRR($F79:AB79)),"NA",IRR($F79:AB79))</f>
        <v>0.12108520247293408</v>
      </c>
      <c r="AC80" s="380">
        <f>IF(ISERROR(IRR($F79:AC79)),"NA",IRR($F79:AC79))</f>
        <v>0.12108520247293408</v>
      </c>
      <c r="AD80" s="380">
        <f>IF(ISERROR(IRR($F79:AD79)),"NA",IRR($F79:AD79))</f>
        <v>0.12108520247293408</v>
      </c>
      <c r="AE80" s="380">
        <f>IF(ISERROR(IRR($F79:AE79)),"NA",IRR($F79:AE79))</f>
        <v>0.12108520247293408</v>
      </c>
      <c r="AF80" s="380">
        <f>IF(ISERROR(IRR($F79:AF79)),"NA",IRR($F79:AF79))</f>
        <v>0.12108520247293408</v>
      </c>
      <c r="AG80" s="380">
        <f>IF(ISERROR(IRR($F79:AG79)),"NA",IRR($F79:AG79))</f>
        <v>0.12108520247293408</v>
      </c>
      <c r="AH80" s="380">
        <f>IF(ISERROR(IRR($F79:AH79)),"NA",IRR($F79:AH79))</f>
        <v>0.12108520247293408</v>
      </c>
      <c r="AI80" s="380">
        <f>IF(ISERROR(IRR($F79:AI79)),"NA",IRR($F79:AI79))</f>
        <v>0.12108520247293408</v>
      </c>
      <c r="AJ80" s="380">
        <f>IF(ISERROR(IRR($F79:AJ79)),"NA",IRR($F79:AJ79))</f>
        <v>0.12108520247293408</v>
      </c>
    </row>
    <row r="81" spans="2:36" s="29" customFormat="1" ht="17" thickBot="1">
      <c r="B81" s="34"/>
      <c r="C81" s="34"/>
      <c r="D81" s="34"/>
      <c r="E81" s="56"/>
      <c r="F81" s="396"/>
      <c r="G81" s="396"/>
      <c r="H81" s="396"/>
      <c r="I81" s="396"/>
      <c r="J81" s="396"/>
      <c r="K81" s="396"/>
      <c r="L81" s="396"/>
      <c r="M81" s="396"/>
      <c r="N81" s="44"/>
      <c r="O81" s="44"/>
      <c r="P81" s="44"/>
      <c r="Q81" s="44"/>
      <c r="R81" s="44"/>
      <c r="S81" s="44"/>
      <c r="T81" s="44"/>
      <c r="U81" s="44"/>
      <c r="V81" s="44"/>
      <c r="W81" s="44"/>
      <c r="X81" s="44"/>
      <c r="Y81" s="44"/>
      <c r="Z81" s="44"/>
      <c r="AA81" s="44"/>
      <c r="AB81" s="44"/>
      <c r="AC81" s="44"/>
      <c r="AD81" s="44"/>
      <c r="AE81" s="44"/>
      <c r="AF81" s="44"/>
      <c r="AG81" s="44"/>
      <c r="AH81" s="44"/>
      <c r="AI81" s="44"/>
      <c r="AJ81" s="44"/>
    </row>
    <row r="82" spans="2:36" s="29" customFormat="1" ht="17" thickBot="1">
      <c r="B82" s="813" t="s">
        <v>354</v>
      </c>
      <c r="C82" s="814"/>
      <c r="D82" s="509">
        <f>IRR(F66:AJ66)</f>
        <v>7.219534467474964E-2</v>
      </c>
      <c r="F82" s="44"/>
      <c r="G82" s="464" t="s">
        <v>180</v>
      </c>
      <c r="H82" s="473"/>
      <c r="I82" s="473"/>
      <c r="J82" s="474"/>
      <c r="K82" s="473"/>
      <c r="L82" s="44"/>
      <c r="O82" s="44"/>
      <c r="P82" s="44"/>
      <c r="Q82" s="44"/>
      <c r="R82" s="44"/>
      <c r="S82" s="44"/>
      <c r="T82" s="44"/>
      <c r="U82" s="44"/>
      <c r="V82" s="44"/>
      <c r="W82" s="44"/>
      <c r="X82" s="44"/>
      <c r="Y82" s="44"/>
      <c r="Z82" s="44"/>
      <c r="AA82" s="44"/>
      <c r="AB82" s="44"/>
      <c r="AC82" s="44"/>
      <c r="AD82" s="44"/>
      <c r="AE82" s="44"/>
      <c r="AF82" s="44"/>
      <c r="AG82" s="44"/>
      <c r="AH82" s="44"/>
      <c r="AI82" s="44"/>
      <c r="AJ82" s="44"/>
    </row>
    <row r="83" spans="2:36" s="29" customFormat="1" ht="18" thickBot="1">
      <c r="B83" s="511" t="s">
        <v>355</v>
      </c>
      <c r="C83" s="512"/>
      <c r="D83" s="509">
        <f>IRR(F79:AJ79)</f>
        <v>0.12108520247293408</v>
      </c>
      <c r="F83" s="44"/>
      <c r="G83" s="466" t="s">
        <v>270</v>
      </c>
      <c r="H83" s="475"/>
      <c r="I83" s="471"/>
      <c r="J83" s="472"/>
      <c r="K83" s="472"/>
      <c r="L83" s="44"/>
      <c r="O83" s="44"/>
      <c r="P83" s="44"/>
      <c r="Q83" s="44"/>
      <c r="R83" s="44"/>
      <c r="S83" s="44"/>
      <c r="T83" s="44"/>
      <c r="U83" s="44"/>
      <c r="V83" s="44"/>
      <c r="W83" s="44"/>
      <c r="X83" s="44"/>
      <c r="Y83" s="44"/>
      <c r="Z83" s="44"/>
      <c r="AA83" s="44"/>
      <c r="AB83" s="44"/>
      <c r="AC83" s="44"/>
      <c r="AD83" s="44"/>
      <c r="AE83" s="44"/>
      <c r="AF83" s="44"/>
      <c r="AG83" s="44"/>
      <c r="AH83" s="44"/>
      <c r="AI83" s="44"/>
      <c r="AJ83" s="44"/>
    </row>
    <row r="84" spans="2:36" s="29" customFormat="1" ht="17" thickBot="1">
      <c r="B84" s="815">
        <f>Inputs!$G$73</f>
        <v>0.12</v>
      </c>
      <c r="C84" s="816"/>
      <c r="D84" s="510">
        <f>NPV(Inputs!$G$73,'Cash Flow'!F79:AJ79)</f>
        <v>6306.4943027656354</v>
      </c>
      <c r="G84" s="465">
        <f>AVERAGE(R225:S225)</f>
        <v>11.349999999999998</v>
      </c>
      <c r="H84" s="475"/>
      <c r="I84" s="471"/>
      <c r="J84" s="476"/>
      <c r="K84" s="471"/>
    </row>
    <row r="85" spans="2:36" s="29" customFormat="1" ht="17" thickBot="1">
      <c r="B85" s="57"/>
      <c r="C85" s="57"/>
      <c r="D85" s="57"/>
      <c r="E85" s="58"/>
      <c r="F85" s="350"/>
      <c r="G85" s="333"/>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row>
    <row r="86" spans="2:36" s="29" customFormat="1" ht="16">
      <c r="B86" s="59"/>
      <c r="C86" s="59"/>
      <c r="D86" s="59"/>
      <c r="E86" s="60"/>
      <c r="F86" s="60"/>
      <c r="G86" s="61"/>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2:36" s="29" customFormat="1" ht="16">
      <c r="B87" s="62" t="s">
        <v>75</v>
      </c>
      <c r="C87" s="62"/>
      <c r="D87" s="62"/>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2:36" s="29" customFormat="1" ht="17" thickBot="1">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row>
    <row r="89" spans="2:36" s="29" customFormat="1" ht="16">
      <c r="B89" s="259"/>
      <c r="C89" s="259"/>
      <c r="D89" s="259"/>
      <c r="E89" s="259"/>
      <c r="F89" s="274"/>
      <c r="G89" s="284"/>
      <c r="H89" s="285"/>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row>
    <row r="90" spans="2:36" s="29" customFormat="1" ht="16">
      <c r="B90" s="258" t="s">
        <v>83</v>
      </c>
      <c r="C90" s="258"/>
      <c r="D90" s="258"/>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row>
    <row r="91" spans="2:36" s="29" customFormat="1" ht="16">
      <c r="B91" s="286" t="s">
        <v>85</v>
      </c>
      <c r="C91" s="286"/>
      <c r="D91" s="286"/>
      <c r="E91" s="287"/>
      <c r="F91" s="288"/>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row>
    <row r="92" spans="2:36" s="29" customFormat="1" ht="16">
      <c r="B92" s="287" t="s">
        <v>86</v>
      </c>
      <c r="C92" s="287"/>
      <c r="D92" s="287"/>
      <c r="E92" s="287"/>
      <c r="F92" s="288">
        <f>IF(Inputs!$G$21="Simple",Inputs!$G$29-Inputs!$G$80,IF(Inputs!$G$21="Intermediate",SUM(Inputs!G23:G26)-Inputs!G80,'Complex Inputs'!C26+'Complex Inputs'!C51+'Complex Inputs'!C76+'Complex Inputs'!C101))</f>
        <v>3750000</v>
      </c>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row>
    <row r="93" spans="2:36" s="29" customFormat="1" ht="16">
      <c r="B93" s="287" t="s">
        <v>87</v>
      </c>
      <c r="C93" s="287"/>
      <c r="D93" s="287"/>
      <c r="E93" s="287"/>
      <c r="F93" s="290">
        <f>Inputs!$G$62</f>
        <v>0.55000000000000004</v>
      </c>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row>
    <row r="94" spans="2:36" s="29" customFormat="1" ht="16">
      <c r="B94" s="287" t="s">
        <v>84</v>
      </c>
      <c r="C94" s="287"/>
      <c r="D94" s="287"/>
      <c r="E94" s="287"/>
      <c r="F94" s="291">
        <f>F92*F93</f>
        <v>2062500.0000000002</v>
      </c>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row>
    <row r="95" spans="2:36" s="29" customFormat="1" ht="16">
      <c r="B95" s="292"/>
      <c r="C95" s="292"/>
      <c r="D95" s="292"/>
      <c r="E95" s="292"/>
      <c r="F95" s="293"/>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row>
    <row r="96" spans="2:36" s="29" customFormat="1" ht="16">
      <c r="B96" s="286" t="s">
        <v>121</v>
      </c>
      <c r="C96" s="286"/>
      <c r="D96" s="286"/>
      <c r="E96" s="286"/>
      <c r="F96" s="293"/>
      <c r="G96" s="289"/>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row>
    <row r="97" spans="2:36" s="29" customFormat="1" ht="16">
      <c r="B97" s="294" t="s">
        <v>93</v>
      </c>
      <c r="C97" s="294"/>
      <c r="D97" s="294"/>
      <c r="E97" s="294"/>
      <c r="F97" s="295">
        <v>0</v>
      </c>
      <c r="G97" s="296">
        <f>SUM(G98:G99)</f>
        <v>-246779.87428103067</v>
      </c>
      <c r="H97" s="296">
        <f t="shared" ref="H97:AJ97" si="21">SUM(H98:H99)</f>
        <v>-246779.87428103067</v>
      </c>
      <c r="I97" s="296">
        <f t="shared" si="21"/>
        <v>-246779.87428103067</v>
      </c>
      <c r="J97" s="296">
        <f t="shared" si="21"/>
        <v>-246779.87428103067</v>
      </c>
      <c r="K97" s="296">
        <f t="shared" si="21"/>
        <v>-246779.87428103067</v>
      </c>
      <c r="L97" s="296">
        <f t="shared" si="21"/>
        <v>-246779.8742810307</v>
      </c>
      <c r="M97" s="296">
        <f t="shared" si="21"/>
        <v>-246779.87428103067</v>
      </c>
      <c r="N97" s="296">
        <f t="shared" si="21"/>
        <v>-246779.8742810307</v>
      </c>
      <c r="O97" s="296">
        <f t="shared" si="21"/>
        <v>-246779.87428103067</v>
      </c>
      <c r="P97" s="296">
        <f t="shared" si="21"/>
        <v>-246779.87428103067</v>
      </c>
      <c r="Q97" s="296">
        <f t="shared" si="21"/>
        <v>-246779.87428103067</v>
      </c>
      <c r="R97" s="296">
        <f t="shared" si="21"/>
        <v>-246779.87428103067</v>
      </c>
      <c r="S97" s="296">
        <f t="shared" si="21"/>
        <v>-246779.87428103067</v>
      </c>
      <c r="T97" s="296">
        <f t="shared" si="21"/>
        <v>0</v>
      </c>
      <c r="U97" s="296">
        <f t="shared" si="21"/>
        <v>0</v>
      </c>
      <c r="V97" s="296">
        <f t="shared" si="21"/>
        <v>0</v>
      </c>
      <c r="W97" s="296">
        <f t="shared" si="21"/>
        <v>0</v>
      </c>
      <c r="X97" s="296">
        <f t="shared" si="21"/>
        <v>0</v>
      </c>
      <c r="Y97" s="296">
        <f t="shared" si="21"/>
        <v>0</v>
      </c>
      <c r="Z97" s="296">
        <f t="shared" si="21"/>
        <v>0</v>
      </c>
      <c r="AA97" s="296">
        <f t="shared" si="21"/>
        <v>0</v>
      </c>
      <c r="AB97" s="296">
        <f t="shared" si="21"/>
        <v>0</v>
      </c>
      <c r="AC97" s="296">
        <f t="shared" si="21"/>
        <v>0</v>
      </c>
      <c r="AD97" s="296">
        <f t="shared" si="21"/>
        <v>0</v>
      </c>
      <c r="AE97" s="296">
        <f t="shared" si="21"/>
        <v>0</v>
      </c>
      <c r="AF97" s="296">
        <f t="shared" si="21"/>
        <v>0</v>
      </c>
      <c r="AG97" s="296">
        <f t="shared" si="21"/>
        <v>0</v>
      </c>
      <c r="AH97" s="296">
        <f t="shared" si="21"/>
        <v>0</v>
      </c>
      <c r="AI97" s="296">
        <f t="shared" si="21"/>
        <v>0</v>
      </c>
      <c r="AJ97" s="296">
        <f t="shared" si="21"/>
        <v>0</v>
      </c>
    </row>
    <row r="98" spans="2:36" s="38" customFormat="1" ht="16">
      <c r="B98" s="297" t="s">
        <v>91</v>
      </c>
      <c r="C98" s="297"/>
      <c r="D98" s="297"/>
      <c r="E98" s="297"/>
      <c r="F98" s="295">
        <v>0</v>
      </c>
      <c r="G98" s="296">
        <f>IF(G$2&gt;Inputs!$G$63,0,IPMT(Inputs!$G$64,G$2,Inputs!$G$63,$F$94))</f>
        <v>-144375.00000000003</v>
      </c>
      <c r="H98" s="296">
        <f>IF(H$2&gt;Inputs!$G$63,0,IPMT(Inputs!$G$64,H$2,Inputs!$G$63,$F$94))</f>
        <v>-137206.65880032792</v>
      </c>
      <c r="I98" s="296">
        <f>IF(I$2&gt;Inputs!$G$63,0,IPMT(Inputs!$G$64,I$2,Inputs!$G$63,$F$94))</f>
        <v>-129536.53371667869</v>
      </c>
      <c r="J98" s="296">
        <f>IF(J$2&gt;Inputs!$G$63,0,IPMT(Inputs!$G$64,J$2,Inputs!$G$63,$F$94))</f>
        <v>-121329.49987717408</v>
      </c>
      <c r="K98" s="296">
        <f>IF(K$2&gt;Inputs!$G$63,0,IPMT(Inputs!$G$64,K$2,Inputs!$G$63,$F$94))</f>
        <v>-112547.97366890412</v>
      </c>
      <c r="L98" s="296">
        <f>IF(L$2&gt;Inputs!$G$63,0,IPMT(Inputs!$G$64,L$2,Inputs!$G$63,$F$94))</f>
        <v>-103151.74062605525</v>
      </c>
      <c r="M98" s="296">
        <f>IF(M$2&gt;Inputs!$G$63,0,IPMT(Inputs!$G$64,M$2,Inputs!$G$63,$F$94))</f>
        <v>-93097.771270206969</v>
      </c>
      <c r="N98" s="296">
        <f>IF(N$2&gt;Inputs!$G$63,0,IPMT(Inputs!$G$64,N$2,Inputs!$G$63,$F$94))</f>
        <v>-82340.024059449323</v>
      </c>
      <c r="O98" s="296">
        <f>IF(O$2&gt;Inputs!$G$63,0,IPMT(Inputs!$G$64,O$2,Inputs!$G$63,$F$94))</f>
        <v>-70829.234543938612</v>
      </c>
      <c r="P98" s="296">
        <f>IF(P$2&gt;Inputs!$G$63,0,IPMT(Inputs!$G$64,P$2,Inputs!$G$63,$F$94))</f>
        <v>-58512.689762342161</v>
      </c>
      <c r="Q98" s="296">
        <f>IF(Q$2&gt;Inputs!$G$63,0,IPMT(Inputs!$G$64,Q$2,Inputs!$G$63,$F$94))</f>
        <v>-45333.986846033964</v>
      </c>
      <c r="R98" s="296">
        <f>IF(R$2&gt;Inputs!$G$63,0,IPMT(Inputs!$G$64,R$2,Inputs!$G$63,$F$94))</f>
        <v>-31232.774725584197</v>
      </c>
      <c r="S98" s="296">
        <f>IF(S$2&gt;Inputs!$G$63,0,IPMT(Inputs!$G$64,S$2,Inputs!$G$63,$F$94))</f>
        <v>-16144.477756702943</v>
      </c>
      <c r="T98" s="296">
        <f>IF(T$2&gt;Inputs!$G$63,0,IPMT(Inputs!$G$64,T$2,Inputs!$G$63,$F$94))</f>
        <v>0</v>
      </c>
      <c r="U98" s="296">
        <f>IF(U$2&gt;Inputs!$G$63,0,IPMT(Inputs!$G$64,U$2,Inputs!$G$63,$F$94))</f>
        <v>0</v>
      </c>
      <c r="V98" s="296">
        <f>IF(V$2&gt;Inputs!$G$63,0,IPMT(Inputs!$G$64,V$2,Inputs!$G$63,$F$94))</f>
        <v>0</v>
      </c>
      <c r="W98" s="296">
        <f>IF(W$2&gt;Inputs!$G$63,0,IPMT(Inputs!$G$64,W$2,Inputs!$G$63,$F$94))</f>
        <v>0</v>
      </c>
      <c r="X98" s="296">
        <f>IF(X$2&gt;Inputs!$G$63,0,IPMT(Inputs!$G$64,X$2,Inputs!$G$63,$F$94))</f>
        <v>0</v>
      </c>
      <c r="Y98" s="296">
        <f>IF(Y$2&gt;Inputs!$G$63,0,IPMT(Inputs!$G$64,Y$2,Inputs!$G$63,$F$94))</f>
        <v>0</v>
      </c>
      <c r="Z98" s="296">
        <f>IF(Z$2&gt;Inputs!$G$63,0,IPMT(Inputs!$G$64,Z$2,Inputs!$G$63,$F$94))</f>
        <v>0</v>
      </c>
      <c r="AA98" s="296">
        <f>IF(AA$2&gt;Inputs!$G$63,0,IPMT(Inputs!$G$64,AA$2,Inputs!$G$63,$F$94))</f>
        <v>0</v>
      </c>
      <c r="AB98" s="296">
        <f>IF(AB$2&gt;Inputs!$G$63,0,IPMT(Inputs!$G$64,AB$2,Inputs!$G$63,$F$94))</f>
        <v>0</v>
      </c>
      <c r="AC98" s="296">
        <f>IF(AC$2&gt;Inputs!$G$63,0,IPMT(Inputs!$G$64,AC$2,Inputs!$G$63,$F$94))</f>
        <v>0</v>
      </c>
      <c r="AD98" s="296">
        <f>IF(AD$2&gt;Inputs!$G$63,0,IPMT(Inputs!$G$64,AD$2,Inputs!$G$63,$F$94))</f>
        <v>0</v>
      </c>
      <c r="AE98" s="296">
        <f>IF(AE$2&gt;Inputs!$G$63,0,IPMT(Inputs!$G$64,AE$2,Inputs!$G$63,$F$94))</f>
        <v>0</v>
      </c>
      <c r="AF98" s="296">
        <f>IF(AF$2&gt;Inputs!$G$63,0,IPMT(Inputs!$G$64,AF$2,Inputs!$G$63,$F$94))</f>
        <v>0</v>
      </c>
      <c r="AG98" s="296">
        <f>IF(AG$2&gt;Inputs!$G$63,0,IPMT(Inputs!$G$64,AG$2,Inputs!$G$63,$F$94))</f>
        <v>0</v>
      </c>
      <c r="AH98" s="296">
        <f>IF(AH$2&gt;Inputs!$G$63,0,IPMT(Inputs!$G$64,AH$2,Inputs!$G$63,$F$94))</f>
        <v>0</v>
      </c>
      <c r="AI98" s="296">
        <f>IF(AI$2&gt;Inputs!$G$63,0,IPMT(Inputs!$G$64,AI$2,Inputs!$G$63,$F$94))</f>
        <v>0</v>
      </c>
      <c r="AJ98" s="296">
        <f>IF(AJ$2&gt;Inputs!$G$63,0,IPMT(Inputs!$G$64,AJ$2,Inputs!$G$63,$F$94))</f>
        <v>0</v>
      </c>
    </row>
    <row r="99" spans="2:36" s="29" customFormat="1" ht="16">
      <c r="B99" s="294" t="s">
        <v>92</v>
      </c>
      <c r="C99" s="294"/>
      <c r="D99" s="294"/>
      <c r="E99" s="294"/>
      <c r="F99" s="298">
        <f>MIN(MAX(0,F97-F98),F$102)</f>
        <v>0</v>
      </c>
      <c r="G99" s="296">
        <f>IF(G$2&gt;Inputs!$G$63,0,PPMT(Inputs!$G$64,G$2,Inputs!$G$63,$F$94))</f>
        <v>-102404.87428103063</v>
      </c>
      <c r="H99" s="296">
        <f>IF(H$2&gt;Inputs!$G$63,0,PPMT(Inputs!$G$64,H$2,Inputs!$G$63,$F$94))</f>
        <v>-109573.21548070277</v>
      </c>
      <c r="I99" s="296">
        <f>IF(I$2&gt;Inputs!$G$63,0,PPMT(Inputs!$G$64,I$2,Inputs!$G$63,$F$94))</f>
        <v>-117243.34056435198</v>
      </c>
      <c r="J99" s="296">
        <f>IF(J$2&gt;Inputs!$G$63,0,PPMT(Inputs!$G$64,J$2,Inputs!$G$63,$F$94))</f>
        <v>-125450.37440385661</v>
      </c>
      <c r="K99" s="296">
        <f>IF(K$2&gt;Inputs!$G$63,0,PPMT(Inputs!$G$64,K$2,Inputs!$G$63,$F$94))</f>
        <v>-134231.90061212654</v>
      </c>
      <c r="L99" s="296">
        <f>IF(L$2&gt;Inputs!$G$63,0,PPMT(Inputs!$G$64,L$2,Inputs!$G$63,$F$94))</f>
        <v>-143628.13365497545</v>
      </c>
      <c r="M99" s="296">
        <f>IF(M$2&gt;Inputs!$G$63,0,PPMT(Inputs!$G$64,M$2,Inputs!$G$63,$F$94))</f>
        <v>-153682.10301082372</v>
      </c>
      <c r="N99" s="296">
        <f>IF(N$2&gt;Inputs!$G$63,0,PPMT(Inputs!$G$64,N$2,Inputs!$G$63,$F$94))</f>
        <v>-164439.85022158138</v>
      </c>
      <c r="O99" s="296">
        <f>IF(O$2&gt;Inputs!$G$63,0,PPMT(Inputs!$G$64,O$2,Inputs!$G$63,$F$94))</f>
        <v>-175950.63973709205</v>
      </c>
      <c r="P99" s="296">
        <f>IF(P$2&gt;Inputs!$G$63,0,PPMT(Inputs!$G$64,P$2,Inputs!$G$63,$F$94))</f>
        <v>-188267.1845186885</v>
      </c>
      <c r="Q99" s="296">
        <f>IF(Q$2&gt;Inputs!$G$63,0,PPMT(Inputs!$G$64,Q$2,Inputs!$G$63,$F$94))</f>
        <v>-201445.88743499672</v>
      </c>
      <c r="R99" s="296">
        <f>IF(R$2&gt;Inputs!$G$63,0,PPMT(Inputs!$G$64,R$2,Inputs!$G$63,$F$94))</f>
        <v>-215547.09955544648</v>
      </c>
      <c r="S99" s="296">
        <f>IF(S$2&gt;Inputs!$G$63,0,PPMT(Inputs!$G$64,S$2,Inputs!$G$63,$F$94))</f>
        <v>-230635.39652432772</v>
      </c>
      <c r="T99" s="296">
        <f>IF(T$2&gt;Inputs!$G$63,0,PPMT(Inputs!$G$64,T$2,Inputs!$G$63,$F$94))</f>
        <v>0</v>
      </c>
      <c r="U99" s="296">
        <f>IF(U$2&gt;Inputs!$G$63,0,PPMT(Inputs!$G$64,U$2,Inputs!$G$63,$F$94))</f>
        <v>0</v>
      </c>
      <c r="V99" s="296">
        <f>IF(V$2&gt;Inputs!$G$63,0,PPMT(Inputs!$G$64,V$2,Inputs!$G$63,$F$94))</f>
        <v>0</v>
      </c>
      <c r="W99" s="296">
        <f>IF(W$2&gt;Inputs!$G$63,0,PPMT(Inputs!$G$64,W$2,Inputs!$G$63,$F$94))</f>
        <v>0</v>
      </c>
      <c r="X99" s="296">
        <f>IF(X$2&gt;Inputs!$G$63,0,PPMT(Inputs!$G$64,X$2,Inputs!$G$63,$F$94))</f>
        <v>0</v>
      </c>
      <c r="Y99" s="296">
        <f>IF(Y$2&gt;Inputs!$G$63,0,PPMT(Inputs!$G$64,Y$2,Inputs!$G$63,$F$94))</f>
        <v>0</v>
      </c>
      <c r="Z99" s="296">
        <f>IF(Z$2&gt;Inputs!$G$63,0,PPMT(Inputs!$G$64,Z$2,Inputs!$G$63,$F$94))</f>
        <v>0</v>
      </c>
      <c r="AA99" s="296">
        <f>IF(AA$2&gt;Inputs!$G$63,0,PPMT(Inputs!$G$64,AA$2,Inputs!$G$63,$F$94))</f>
        <v>0</v>
      </c>
      <c r="AB99" s="296">
        <f>IF(AB$2&gt;Inputs!$G$63,0,PPMT(Inputs!$G$64,AB$2,Inputs!$G$63,$F$94))</f>
        <v>0</v>
      </c>
      <c r="AC99" s="296">
        <f>IF(AC$2&gt;Inputs!$G$63,0,PPMT(Inputs!$G$64,AC$2,Inputs!$G$63,$F$94))</f>
        <v>0</v>
      </c>
      <c r="AD99" s="296">
        <f>IF(AD$2&gt;Inputs!$G$63,0,PPMT(Inputs!$G$64,AD$2,Inputs!$G$63,$F$94))</f>
        <v>0</v>
      </c>
      <c r="AE99" s="296">
        <f>IF(AE$2&gt;Inputs!$G$63,0,PPMT(Inputs!$G$64,AE$2,Inputs!$G$63,$F$94))</f>
        <v>0</v>
      </c>
      <c r="AF99" s="296">
        <f>IF(AF$2&gt;Inputs!$G$63,0,PPMT(Inputs!$G$64,AF$2,Inputs!$G$63,$F$94))</f>
        <v>0</v>
      </c>
      <c r="AG99" s="296">
        <f>IF(AG$2&gt;Inputs!$G$63,0,PPMT(Inputs!$G$64,AG$2,Inputs!$G$63,$F$94))</f>
        <v>0</v>
      </c>
      <c r="AH99" s="296">
        <f>IF(AH$2&gt;Inputs!$G$63,0,PPMT(Inputs!$G$64,AH$2,Inputs!$G$63,$F$94))</f>
        <v>0</v>
      </c>
      <c r="AI99" s="296">
        <f>IF(AI$2&gt;Inputs!$G$63,0,PPMT(Inputs!$G$64,AI$2,Inputs!$G$63,$F$94))</f>
        <v>0</v>
      </c>
      <c r="AJ99" s="296">
        <f>IF(AJ$2&gt;Inputs!$G$63,0,PPMT(Inputs!$G$64,AJ$2,Inputs!$G$63,$F$94))</f>
        <v>0</v>
      </c>
    </row>
    <row r="100" spans="2:36" s="29" customFormat="1" ht="16">
      <c r="B100" s="286"/>
      <c r="C100" s="286"/>
      <c r="D100" s="286"/>
      <c r="E100" s="286"/>
      <c r="F100" s="293"/>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row>
    <row r="101" spans="2:36" s="29" customFormat="1" ht="16">
      <c r="B101" s="286" t="s">
        <v>120</v>
      </c>
      <c r="C101" s="286"/>
      <c r="D101" s="286"/>
      <c r="E101" s="287"/>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row>
    <row r="102" spans="2:36" s="29" customFormat="1" ht="16">
      <c r="B102" s="294" t="s">
        <v>88</v>
      </c>
      <c r="C102" s="294"/>
      <c r="D102" s="294"/>
      <c r="E102" s="294"/>
      <c r="F102" s="300">
        <v>0</v>
      </c>
      <c r="G102" s="298">
        <f t="shared" ref="G102:AJ102" si="22">F105</f>
        <v>2062500.0000000002</v>
      </c>
      <c r="H102" s="298">
        <f t="shared" si="22"/>
        <v>1960095.1257189696</v>
      </c>
      <c r="I102" s="298">
        <f t="shared" si="22"/>
        <v>1850521.9102382669</v>
      </c>
      <c r="J102" s="298">
        <f t="shared" si="22"/>
        <v>1733278.5696739149</v>
      </c>
      <c r="K102" s="298">
        <f t="shared" si="22"/>
        <v>1607828.1952700582</v>
      </c>
      <c r="L102" s="298">
        <f t="shared" si="22"/>
        <v>1473596.2946579317</v>
      </c>
      <c r="M102" s="298">
        <f t="shared" si="22"/>
        <v>1329968.1610029563</v>
      </c>
      <c r="N102" s="298">
        <f t="shared" si="22"/>
        <v>1176286.0579921326</v>
      </c>
      <c r="O102" s="298">
        <f t="shared" si="22"/>
        <v>1011846.2077705512</v>
      </c>
      <c r="P102" s="298">
        <f t="shared" si="22"/>
        <v>835895.56803345913</v>
      </c>
      <c r="Q102" s="298">
        <f t="shared" si="22"/>
        <v>647628.38351477066</v>
      </c>
      <c r="R102" s="298">
        <f t="shared" si="22"/>
        <v>446182.49607977393</v>
      </c>
      <c r="S102" s="298">
        <f t="shared" si="22"/>
        <v>230635.39652432746</v>
      </c>
      <c r="T102" s="298">
        <f t="shared" si="22"/>
        <v>-2.6193447411060333E-10</v>
      </c>
      <c r="U102" s="298">
        <f t="shared" si="22"/>
        <v>-2.6193447411060333E-10</v>
      </c>
      <c r="V102" s="298">
        <f t="shared" si="22"/>
        <v>-2.6193447411060333E-10</v>
      </c>
      <c r="W102" s="298">
        <f t="shared" si="22"/>
        <v>-2.6193447411060333E-10</v>
      </c>
      <c r="X102" s="298">
        <f t="shared" si="22"/>
        <v>-2.6193447411060333E-10</v>
      </c>
      <c r="Y102" s="298">
        <f t="shared" si="22"/>
        <v>-2.6193447411060333E-10</v>
      </c>
      <c r="Z102" s="298">
        <f t="shared" si="22"/>
        <v>-2.6193447411060333E-10</v>
      </c>
      <c r="AA102" s="298">
        <f t="shared" si="22"/>
        <v>-2.6193447411060333E-10</v>
      </c>
      <c r="AB102" s="298">
        <f t="shared" si="22"/>
        <v>-2.6193447411060333E-10</v>
      </c>
      <c r="AC102" s="298">
        <f t="shared" si="22"/>
        <v>-2.6193447411060333E-10</v>
      </c>
      <c r="AD102" s="298">
        <f t="shared" si="22"/>
        <v>-2.6193447411060333E-10</v>
      </c>
      <c r="AE102" s="298">
        <f t="shared" si="22"/>
        <v>-2.6193447411060333E-10</v>
      </c>
      <c r="AF102" s="298">
        <f t="shared" si="22"/>
        <v>-2.6193447411060333E-10</v>
      </c>
      <c r="AG102" s="298">
        <f t="shared" si="22"/>
        <v>-2.6193447411060333E-10</v>
      </c>
      <c r="AH102" s="298">
        <f t="shared" si="22"/>
        <v>-2.6193447411060333E-10</v>
      </c>
      <c r="AI102" s="298">
        <f t="shared" si="22"/>
        <v>-2.6193447411060333E-10</v>
      </c>
      <c r="AJ102" s="298">
        <f t="shared" si="22"/>
        <v>-2.6193447411060333E-10</v>
      </c>
    </row>
    <row r="103" spans="2:36" s="29" customFormat="1" ht="16">
      <c r="B103" s="294" t="s">
        <v>89</v>
      </c>
      <c r="C103" s="294"/>
      <c r="D103" s="294"/>
      <c r="E103" s="294"/>
      <c r="F103" s="298">
        <f>$F$94</f>
        <v>2062500.0000000002</v>
      </c>
      <c r="G103" s="300">
        <v>0</v>
      </c>
      <c r="H103" s="300">
        <v>0</v>
      </c>
      <c r="I103" s="300">
        <v>0</v>
      </c>
      <c r="J103" s="300">
        <v>0</v>
      </c>
      <c r="K103" s="300">
        <v>0</v>
      </c>
      <c r="L103" s="300">
        <v>0</v>
      </c>
      <c r="M103" s="300">
        <v>0</v>
      </c>
      <c r="N103" s="300">
        <v>0</v>
      </c>
      <c r="O103" s="300">
        <v>0</v>
      </c>
      <c r="P103" s="300">
        <v>0</v>
      </c>
      <c r="Q103" s="300">
        <v>0</v>
      </c>
      <c r="R103" s="300">
        <v>0</v>
      </c>
      <c r="S103" s="300">
        <v>0</v>
      </c>
      <c r="T103" s="300">
        <v>0</v>
      </c>
      <c r="U103" s="300">
        <v>0</v>
      </c>
      <c r="V103" s="300">
        <v>0</v>
      </c>
      <c r="W103" s="300">
        <v>0</v>
      </c>
      <c r="X103" s="300">
        <v>0</v>
      </c>
      <c r="Y103" s="300">
        <v>0</v>
      </c>
      <c r="Z103" s="300">
        <v>0</v>
      </c>
      <c r="AA103" s="300">
        <v>0</v>
      </c>
      <c r="AB103" s="300">
        <v>0</v>
      </c>
      <c r="AC103" s="300">
        <v>0</v>
      </c>
      <c r="AD103" s="300">
        <v>0</v>
      </c>
      <c r="AE103" s="300">
        <v>0</v>
      </c>
      <c r="AF103" s="300">
        <v>0</v>
      </c>
      <c r="AG103" s="300">
        <v>0</v>
      </c>
      <c r="AH103" s="300">
        <v>0</v>
      </c>
      <c r="AI103" s="300">
        <v>0</v>
      </c>
      <c r="AJ103" s="300">
        <v>0</v>
      </c>
    </row>
    <row r="104" spans="2:36" s="29" customFormat="1" ht="16">
      <c r="B104" s="294" t="s">
        <v>119</v>
      </c>
      <c r="C104" s="294"/>
      <c r="D104" s="294"/>
      <c r="E104" s="294"/>
      <c r="F104" s="301">
        <v>0</v>
      </c>
      <c r="G104" s="302">
        <f t="shared" ref="G104:AJ104" si="23">G99</f>
        <v>-102404.87428103063</v>
      </c>
      <c r="H104" s="302">
        <f t="shared" si="23"/>
        <v>-109573.21548070277</v>
      </c>
      <c r="I104" s="302">
        <f t="shared" si="23"/>
        <v>-117243.34056435198</v>
      </c>
      <c r="J104" s="302">
        <f t="shared" si="23"/>
        <v>-125450.37440385661</v>
      </c>
      <c r="K104" s="302">
        <f t="shared" si="23"/>
        <v>-134231.90061212654</v>
      </c>
      <c r="L104" s="302">
        <f t="shared" si="23"/>
        <v>-143628.13365497545</v>
      </c>
      <c r="M104" s="302">
        <f t="shared" si="23"/>
        <v>-153682.10301082372</v>
      </c>
      <c r="N104" s="302">
        <f t="shared" si="23"/>
        <v>-164439.85022158138</v>
      </c>
      <c r="O104" s="302">
        <f t="shared" si="23"/>
        <v>-175950.63973709205</v>
      </c>
      <c r="P104" s="302">
        <f t="shared" si="23"/>
        <v>-188267.1845186885</v>
      </c>
      <c r="Q104" s="302">
        <f t="shared" si="23"/>
        <v>-201445.88743499672</v>
      </c>
      <c r="R104" s="302">
        <f t="shared" si="23"/>
        <v>-215547.09955544648</v>
      </c>
      <c r="S104" s="302">
        <f t="shared" si="23"/>
        <v>-230635.39652432772</v>
      </c>
      <c r="T104" s="302">
        <f t="shared" si="23"/>
        <v>0</v>
      </c>
      <c r="U104" s="302">
        <f t="shared" si="23"/>
        <v>0</v>
      </c>
      <c r="V104" s="302">
        <f t="shared" si="23"/>
        <v>0</v>
      </c>
      <c r="W104" s="302">
        <f t="shared" si="23"/>
        <v>0</v>
      </c>
      <c r="X104" s="302">
        <f t="shared" si="23"/>
        <v>0</v>
      </c>
      <c r="Y104" s="302">
        <f t="shared" si="23"/>
        <v>0</v>
      </c>
      <c r="Z104" s="302">
        <f t="shared" si="23"/>
        <v>0</v>
      </c>
      <c r="AA104" s="302">
        <f t="shared" si="23"/>
        <v>0</v>
      </c>
      <c r="AB104" s="302">
        <f t="shared" si="23"/>
        <v>0</v>
      </c>
      <c r="AC104" s="302">
        <f t="shared" si="23"/>
        <v>0</v>
      </c>
      <c r="AD104" s="302">
        <f t="shared" si="23"/>
        <v>0</v>
      </c>
      <c r="AE104" s="302">
        <f t="shared" si="23"/>
        <v>0</v>
      </c>
      <c r="AF104" s="302">
        <f t="shared" si="23"/>
        <v>0</v>
      </c>
      <c r="AG104" s="302">
        <f t="shared" si="23"/>
        <v>0</v>
      </c>
      <c r="AH104" s="302">
        <f t="shared" si="23"/>
        <v>0</v>
      </c>
      <c r="AI104" s="302">
        <f t="shared" si="23"/>
        <v>0</v>
      </c>
      <c r="AJ104" s="302">
        <f t="shared" si="23"/>
        <v>0</v>
      </c>
    </row>
    <row r="105" spans="2:36" s="29" customFormat="1" ht="16">
      <c r="B105" s="294" t="s">
        <v>90</v>
      </c>
      <c r="C105" s="294"/>
      <c r="D105" s="294"/>
      <c r="E105" s="294"/>
      <c r="F105" s="298">
        <f t="shared" ref="F105:AJ105" si="24">SUM(F102:F104)</f>
        <v>2062500.0000000002</v>
      </c>
      <c r="G105" s="298">
        <f t="shared" si="24"/>
        <v>1960095.1257189696</v>
      </c>
      <c r="H105" s="298">
        <f t="shared" si="24"/>
        <v>1850521.9102382669</v>
      </c>
      <c r="I105" s="298">
        <f t="shared" si="24"/>
        <v>1733278.5696739149</v>
      </c>
      <c r="J105" s="298">
        <f t="shared" si="24"/>
        <v>1607828.1952700582</v>
      </c>
      <c r="K105" s="298">
        <f t="shared" si="24"/>
        <v>1473596.2946579317</v>
      </c>
      <c r="L105" s="298">
        <f t="shared" si="24"/>
        <v>1329968.1610029563</v>
      </c>
      <c r="M105" s="298">
        <f t="shared" si="24"/>
        <v>1176286.0579921326</v>
      </c>
      <c r="N105" s="298">
        <f t="shared" si="24"/>
        <v>1011846.2077705512</v>
      </c>
      <c r="O105" s="298">
        <f t="shared" si="24"/>
        <v>835895.56803345913</v>
      </c>
      <c r="P105" s="298">
        <f t="shared" si="24"/>
        <v>647628.38351477066</v>
      </c>
      <c r="Q105" s="298">
        <f t="shared" si="24"/>
        <v>446182.49607977393</v>
      </c>
      <c r="R105" s="298">
        <f t="shared" si="24"/>
        <v>230635.39652432746</v>
      </c>
      <c r="S105" s="298">
        <f t="shared" si="24"/>
        <v>-2.6193447411060333E-10</v>
      </c>
      <c r="T105" s="298">
        <f t="shared" si="24"/>
        <v>-2.6193447411060333E-10</v>
      </c>
      <c r="U105" s="298">
        <f t="shared" si="24"/>
        <v>-2.6193447411060333E-10</v>
      </c>
      <c r="V105" s="298">
        <f t="shared" si="24"/>
        <v>-2.6193447411060333E-10</v>
      </c>
      <c r="W105" s="298">
        <f t="shared" si="24"/>
        <v>-2.6193447411060333E-10</v>
      </c>
      <c r="X105" s="298">
        <f t="shared" si="24"/>
        <v>-2.6193447411060333E-10</v>
      </c>
      <c r="Y105" s="298">
        <f t="shared" si="24"/>
        <v>-2.6193447411060333E-10</v>
      </c>
      <c r="Z105" s="298">
        <f t="shared" si="24"/>
        <v>-2.6193447411060333E-10</v>
      </c>
      <c r="AA105" s="298">
        <f t="shared" si="24"/>
        <v>-2.6193447411060333E-10</v>
      </c>
      <c r="AB105" s="298">
        <f t="shared" si="24"/>
        <v>-2.6193447411060333E-10</v>
      </c>
      <c r="AC105" s="298">
        <f t="shared" si="24"/>
        <v>-2.6193447411060333E-10</v>
      </c>
      <c r="AD105" s="298">
        <f t="shared" si="24"/>
        <v>-2.6193447411060333E-10</v>
      </c>
      <c r="AE105" s="298">
        <f t="shared" si="24"/>
        <v>-2.6193447411060333E-10</v>
      </c>
      <c r="AF105" s="298">
        <f t="shared" si="24"/>
        <v>-2.6193447411060333E-10</v>
      </c>
      <c r="AG105" s="298">
        <f t="shared" si="24"/>
        <v>-2.6193447411060333E-10</v>
      </c>
      <c r="AH105" s="298">
        <f t="shared" si="24"/>
        <v>-2.6193447411060333E-10</v>
      </c>
      <c r="AI105" s="298">
        <f t="shared" si="24"/>
        <v>-2.6193447411060333E-10</v>
      </c>
      <c r="AJ105" s="298">
        <f t="shared" si="24"/>
        <v>-2.6193447411060333E-10</v>
      </c>
    </row>
    <row r="106" spans="2:36" s="29" customFormat="1" ht="17" thickBot="1">
      <c r="B106" s="281"/>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row>
    <row r="107" spans="2:36">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303"/>
      <c r="AG107" s="303"/>
      <c r="AH107" s="303"/>
      <c r="AI107" s="303"/>
      <c r="AJ107" s="303"/>
    </row>
    <row r="108" spans="2:36" s="29" customFormat="1" ht="16">
      <c r="B108" s="258" t="s">
        <v>150</v>
      </c>
      <c r="C108" s="812" t="s">
        <v>334</v>
      </c>
      <c r="D108" s="812"/>
      <c r="E108" s="812"/>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row>
    <row r="109" spans="2:36" s="29" customFormat="1" ht="16">
      <c r="B109" s="259" t="s">
        <v>125</v>
      </c>
      <c r="C109" s="260" t="s">
        <v>335</v>
      </c>
      <c r="D109" s="260" t="s">
        <v>336</v>
      </c>
      <c r="E109" s="260" t="s">
        <v>337</v>
      </c>
      <c r="F109" s="260">
        <v>0</v>
      </c>
      <c r="G109" s="260">
        <v>1</v>
      </c>
      <c r="H109" s="260">
        <v>2</v>
      </c>
      <c r="I109" s="260">
        <v>3</v>
      </c>
      <c r="J109" s="260">
        <v>4</v>
      </c>
      <c r="K109" s="260">
        <v>5</v>
      </c>
      <c r="L109" s="260">
        <v>6</v>
      </c>
      <c r="M109" s="260">
        <v>7</v>
      </c>
      <c r="N109" s="260">
        <v>8</v>
      </c>
      <c r="O109" s="260">
        <v>9</v>
      </c>
      <c r="P109" s="260">
        <v>10</v>
      </c>
      <c r="Q109" s="260">
        <v>11</v>
      </c>
      <c r="R109" s="260">
        <v>12</v>
      </c>
      <c r="S109" s="260">
        <v>13</v>
      </c>
      <c r="T109" s="260">
        <v>14</v>
      </c>
      <c r="U109" s="260">
        <v>15</v>
      </c>
      <c r="V109" s="260">
        <v>16</v>
      </c>
      <c r="W109" s="260">
        <v>17</v>
      </c>
      <c r="X109" s="260">
        <v>18</v>
      </c>
      <c r="Y109" s="260">
        <v>19</v>
      </c>
      <c r="Z109" s="260">
        <v>20</v>
      </c>
      <c r="AA109" s="260">
        <v>21</v>
      </c>
      <c r="AB109" s="260">
        <v>22</v>
      </c>
      <c r="AC109" s="260">
        <v>23</v>
      </c>
      <c r="AD109" s="260">
        <v>24</v>
      </c>
      <c r="AE109" s="260">
        <v>25</v>
      </c>
      <c r="AF109" s="260">
        <v>26</v>
      </c>
      <c r="AG109" s="260">
        <v>27</v>
      </c>
      <c r="AH109" s="260">
        <v>28</v>
      </c>
      <c r="AI109" s="260">
        <v>29</v>
      </c>
      <c r="AJ109" s="260">
        <v>30</v>
      </c>
    </row>
    <row r="110" spans="2:36" s="29" customFormat="1" ht="16">
      <c r="B110" s="261" t="s">
        <v>126</v>
      </c>
      <c r="C110" s="262" t="s">
        <v>338</v>
      </c>
      <c r="D110" s="262" t="s">
        <v>134</v>
      </c>
      <c r="E110" s="262" t="s">
        <v>338</v>
      </c>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row>
    <row r="111" spans="2:36" s="29" customFormat="1" ht="16">
      <c r="B111" s="259" t="s">
        <v>76</v>
      </c>
      <c r="C111" s="263">
        <f>IF(Inputs!$G$21="Simple",Inputs!$G$29*Inputs!$P$92,IF(Inputs!$G$21="Intermediate",SUMPRODUCT(Inputs!$G$23:$G$27,Inputs!$P$93:$P$97),'Complex Inputs'!$F$121))</f>
        <v>3525000</v>
      </c>
      <c r="D111" s="514">
        <f t="shared" ref="D111:D118" si="25">C111/$C$122</f>
        <v>0.94</v>
      </c>
      <c r="E111" s="263">
        <f>($C$122-$C$124)*IF(Inputs!$P$88="No",1,(1-Inputs!$P$89))*D111</f>
        <v>3525000</v>
      </c>
      <c r="F111" s="264"/>
      <c r="G111" s="265">
        <v>0.2</v>
      </c>
      <c r="H111" s="265">
        <v>0.32</v>
      </c>
      <c r="I111" s="265">
        <v>0.192</v>
      </c>
      <c r="J111" s="265">
        <v>0.1152</v>
      </c>
      <c r="K111" s="265">
        <v>0.1152</v>
      </c>
      <c r="L111" s="265">
        <v>5.7599999999999998E-2</v>
      </c>
      <c r="M111" s="265">
        <v>0</v>
      </c>
      <c r="N111" s="265">
        <v>0</v>
      </c>
      <c r="O111" s="265">
        <v>0</v>
      </c>
      <c r="P111" s="265">
        <v>0</v>
      </c>
      <c r="Q111" s="265">
        <v>0</v>
      </c>
      <c r="R111" s="265">
        <v>0</v>
      </c>
      <c r="S111" s="265">
        <v>0</v>
      </c>
      <c r="T111" s="265">
        <v>0</v>
      </c>
      <c r="U111" s="265">
        <v>0</v>
      </c>
      <c r="V111" s="265">
        <v>0</v>
      </c>
      <c r="W111" s="265">
        <v>0</v>
      </c>
      <c r="X111" s="265">
        <v>0</v>
      </c>
      <c r="Y111" s="265">
        <v>0</v>
      </c>
      <c r="Z111" s="265">
        <v>0</v>
      </c>
      <c r="AA111" s="265">
        <v>0</v>
      </c>
      <c r="AB111" s="265">
        <v>0</v>
      </c>
      <c r="AC111" s="265">
        <v>0</v>
      </c>
      <c r="AD111" s="265">
        <v>0</v>
      </c>
      <c r="AE111" s="265">
        <v>0</v>
      </c>
      <c r="AF111" s="265">
        <v>0</v>
      </c>
      <c r="AG111" s="265">
        <v>0</v>
      </c>
      <c r="AH111" s="265">
        <v>0</v>
      </c>
      <c r="AI111" s="265">
        <v>0</v>
      </c>
      <c r="AJ111" s="265">
        <v>0</v>
      </c>
    </row>
    <row r="112" spans="2:36" s="29" customFormat="1" ht="16">
      <c r="B112" s="259" t="s">
        <v>127</v>
      </c>
      <c r="C112" s="263">
        <f>IF(Inputs!$G$21="Simple",Inputs!$G$29*Inputs!$Q$92,IF(Inputs!$G$21="Intermediate",SUMPRODUCT(Inputs!$G$23:$G$27,Inputs!$Q$93:$Q$97),'Complex Inputs'!$G$121))</f>
        <v>0</v>
      </c>
      <c r="D112" s="514">
        <f t="shared" si="25"/>
        <v>0</v>
      </c>
      <c r="E112" s="263">
        <f>($C$122-$C$124)*IF(Inputs!$P$88="No",1,(1-Inputs!$P$89))*D112</f>
        <v>0</v>
      </c>
      <c r="F112" s="259"/>
      <c r="G112" s="265">
        <v>0.1429</v>
      </c>
      <c r="H112" s="265">
        <v>0.24490000000000001</v>
      </c>
      <c r="I112" s="265">
        <v>0.1749</v>
      </c>
      <c r="J112" s="265">
        <v>0.1249</v>
      </c>
      <c r="K112" s="265">
        <v>8.9300000000000004E-2</v>
      </c>
      <c r="L112" s="265">
        <v>8.9200000000000002E-2</v>
      </c>
      <c r="M112" s="265">
        <v>8.9300000000000004E-2</v>
      </c>
      <c r="N112" s="265">
        <v>4.4600000000000001E-2</v>
      </c>
      <c r="O112" s="265">
        <v>0</v>
      </c>
      <c r="P112" s="265">
        <v>0</v>
      </c>
      <c r="Q112" s="265">
        <v>0</v>
      </c>
      <c r="R112" s="265">
        <v>0</v>
      </c>
      <c r="S112" s="265">
        <v>0</v>
      </c>
      <c r="T112" s="265">
        <v>0</v>
      </c>
      <c r="U112" s="265">
        <v>0</v>
      </c>
      <c r="V112" s="265">
        <v>0</v>
      </c>
      <c r="W112" s="265">
        <v>0</v>
      </c>
      <c r="X112" s="265">
        <v>0</v>
      </c>
      <c r="Y112" s="265">
        <v>0</v>
      </c>
      <c r="Z112" s="265">
        <v>0</v>
      </c>
      <c r="AA112" s="265">
        <v>0</v>
      </c>
      <c r="AB112" s="265">
        <v>0</v>
      </c>
      <c r="AC112" s="265">
        <v>0</v>
      </c>
      <c r="AD112" s="265">
        <v>0</v>
      </c>
      <c r="AE112" s="265">
        <v>0</v>
      </c>
      <c r="AF112" s="265">
        <v>0</v>
      </c>
      <c r="AG112" s="265">
        <v>0</v>
      </c>
      <c r="AH112" s="265">
        <v>0</v>
      </c>
      <c r="AI112" s="265">
        <v>0</v>
      </c>
      <c r="AJ112" s="265">
        <v>0</v>
      </c>
    </row>
    <row r="113" spans="2:36" s="29" customFormat="1" ht="16">
      <c r="B113" s="259" t="s">
        <v>77</v>
      </c>
      <c r="C113" s="263">
        <f>IF(Inputs!$G$21="Simple",Inputs!$G$29*Inputs!$R$92,IF(Inputs!$G$21="Intermediate",SUMPRODUCT(Inputs!$G$23:$G$27,Inputs!$R$93:$R$97),'Complex Inputs'!$H$121))</f>
        <v>56250</v>
      </c>
      <c r="D113" s="514">
        <f t="shared" si="25"/>
        <v>1.4999999999999999E-2</v>
      </c>
      <c r="E113" s="263">
        <f>($C$122-$C$124)*IF(Inputs!$P$88="No",1,(1-Inputs!$P$89))*D113</f>
        <v>56250</v>
      </c>
      <c r="F113" s="259"/>
      <c r="G113" s="265">
        <v>0.05</v>
      </c>
      <c r="H113" s="265">
        <v>9.5000000000000001E-2</v>
      </c>
      <c r="I113" s="265">
        <v>8.5500000000000007E-2</v>
      </c>
      <c r="J113" s="265">
        <v>7.6999999999999999E-2</v>
      </c>
      <c r="K113" s="265">
        <v>6.93E-2</v>
      </c>
      <c r="L113" s="265">
        <v>6.2300000000000001E-2</v>
      </c>
      <c r="M113" s="265">
        <v>5.8999999999999997E-2</v>
      </c>
      <c r="N113" s="265">
        <v>5.8999999999999997E-2</v>
      </c>
      <c r="O113" s="265">
        <v>5.91E-2</v>
      </c>
      <c r="P113" s="265">
        <v>5.8999999999999997E-2</v>
      </c>
      <c r="Q113" s="265">
        <v>5.91E-2</v>
      </c>
      <c r="R113" s="265">
        <v>5.8999999999999997E-2</v>
      </c>
      <c r="S113" s="265">
        <v>5.91E-2</v>
      </c>
      <c r="T113" s="265">
        <v>5.8999999999999997E-2</v>
      </c>
      <c r="U113" s="265">
        <v>5.91E-2</v>
      </c>
      <c r="V113" s="265">
        <v>2.9499999999999998E-2</v>
      </c>
      <c r="W113" s="265">
        <v>0</v>
      </c>
      <c r="X113" s="265">
        <v>0</v>
      </c>
      <c r="Y113" s="265">
        <v>0</v>
      </c>
      <c r="Z113" s="265">
        <v>0</v>
      </c>
      <c r="AA113" s="265">
        <v>0</v>
      </c>
      <c r="AB113" s="265">
        <v>0</v>
      </c>
      <c r="AC113" s="265">
        <v>0</v>
      </c>
      <c r="AD113" s="265">
        <v>0</v>
      </c>
      <c r="AE113" s="265">
        <v>0</v>
      </c>
      <c r="AF113" s="265">
        <v>0</v>
      </c>
      <c r="AG113" s="265">
        <v>0</v>
      </c>
      <c r="AH113" s="265">
        <v>0</v>
      </c>
      <c r="AI113" s="265">
        <v>0</v>
      </c>
      <c r="AJ113" s="265">
        <v>0</v>
      </c>
    </row>
    <row r="114" spans="2:36" s="29" customFormat="1" ht="16">
      <c r="B114" s="259" t="s">
        <v>78</v>
      </c>
      <c r="C114" s="263">
        <f>IF(Inputs!$G$21="Simple",Inputs!$G$29*Inputs!$U$92,IF(Inputs!$G$21="Intermediate",SUMPRODUCT(Inputs!$G$23:$G$27,Inputs!$U$93:$U$97),'Complex Inputs'!$I$121))</f>
        <v>37500</v>
      </c>
      <c r="D114" s="514">
        <f t="shared" si="25"/>
        <v>0.01</v>
      </c>
      <c r="E114" s="263">
        <f>($C$122-$C$124)*IF(Inputs!$P$88="No",1,(1-Inputs!$P$89))*D114</f>
        <v>37500</v>
      </c>
      <c r="F114" s="259"/>
      <c r="G114" s="265">
        <v>3.7499999999999999E-2</v>
      </c>
      <c r="H114" s="265">
        <v>7.2190000000000004E-2</v>
      </c>
      <c r="I114" s="265">
        <v>6.6769999999999996E-2</v>
      </c>
      <c r="J114" s="265">
        <v>6.1769999999999999E-2</v>
      </c>
      <c r="K114" s="265">
        <v>5.713E-2</v>
      </c>
      <c r="L114" s="265">
        <v>5.2850000000000001E-2</v>
      </c>
      <c r="M114" s="265">
        <v>4.888E-2</v>
      </c>
      <c r="N114" s="265">
        <v>4.5220000000000003E-2</v>
      </c>
      <c r="O114" s="265">
        <v>4.462E-2</v>
      </c>
      <c r="P114" s="265">
        <v>4.4609999999999997E-2</v>
      </c>
      <c r="Q114" s="265">
        <v>4.462E-2</v>
      </c>
      <c r="R114" s="265">
        <v>4.4609999999999997E-2</v>
      </c>
      <c r="S114" s="265">
        <v>4.462E-2</v>
      </c>
      <c r="T114" s="265">
        <v>4.4609999999999997E-2</v>
      </c>
      <c r="U114" s="265">
        <v>4.462E-2</v>
      </c>
      <c r="V114" s="265">
        <v>4.4609999999999997E-2</v>
      </c>
      <c r="W114" s="265">
        <v>4.462E-2</v>
      </c>
      <c r="X114" s="265">
        <v>4.4609999999999997E-2</v>
      </c>
      <c r="Y114" s="265">
        <v>4.462E-2</v>
      </c>
      <c r="Z114" s="265">
        <v>4.4609999999999997E-2</v>
      </c>
      <c r="AA114" s="265">
        <v>2.231E-2</v>
      </c>
      <c r="AB114" s="265">
        <v>0</v>
      </c>
      <c r="AC114" s="265">
        <v>0</v>
      </c>
      <c r="AD114" s="265">
        <v>0</v>
      </c>
      <c r="AE114" s="265">
        <v>0</v>
      </c>
      <c r="AF114" s="265">
        <v>0</v>
      </c>
      <c r="AG114" s="265">
        <v>0</v>
      </c>
      <c r="AH114" s="265">
        <v>0</v>
      </c>
      <c r="AI114" s="265">
        <v>0</v>
      </c>
      <c r="AJ114" s="265">
        <v>0</v>
      </c>
    </row>
    <row r="115" spans="2:36" s="29" customFormat="1" ht="16">
      <c r="B115" s="259" t="s">
        <v>128</v>
      </c>
      <c r="C115" s="263">
        <f>IF(Inputs!$G$21="Simple",Inputs!$G$29*Inputs!$V$92,IF(Inputs!$G$21="Intermediate",SUMPRODUCT(Inputs!$G$23:$G$27,Inputs!$V$93:$V$97),'Complex Inputs'!$J$121))</f>
        <v>0</v>
      </c>
      <c r="D115" s="514">
        <f t="shared" si="25"/>
        <v>0</v>
      </c>
      <c r="E115" s="263">
        <f>($C$122-$C$124)*IF(Inputs!$P$88="No",1,(1-Inputs!$P$89))*D115</f>
        <v>0</v>
      </c>
      <c r="F115" s="259"/>
      <c r="G115" s="265">
        <v>0.1</v>
      </c>
      <c r="H115" s="265">
        <v>0.2</v>
      </c>
      <c r="I115" s="265">
        <v>0.2</v>
      </c>
      <c r="J115" s="265">
        <v>0.2</v>
      </c>
      <c r="K115" s="265">
        <v>0.2</v>
      </c>
      <c r="L115" s="265">
        <v>0.1</v>
      </c>
      <c r="M115" s="265">
        <f t="shared" ref="M115:AJ115" si="26">IF(M$109&lt;=5, 1/5,0)</f>
        <v>0</v>
      </c>
      <c r="N115" s="265">
        <f t="shared" si="26"/>
        <v>0</v>
      </c>
      <c r="O115" s="265">
        <f t="shared" si="26"/>
        <v>0</v>
      </c>
      <c r="P115" s="265">
        <f t="shared" si="26"/>
        <v>0</v>
      </c>
      <c r="Q115" s="265">
        <f t="shared" si="26"/>
        <v>0</v>
      </c>
      <c r="R115" s="265">
        <f t="shared" si="26"/>
        <v>0</v>
      </c>
      <c r="S115" s="265">
        <f t="shared" si="26"/>
        <v>0</v>
      </c>
      <c r="T115" s="265">
        <f t="shared" si="26"/>
        <v>0</v>
      </c>
      <c r="U115" s="265">
        <f t="shared" si="26"/>
        <v>0</v>
      </c>
      <c r="V115" s="265">
        <f t="shared" si="26"/>
        <v>0</v>
      </c>
      <c r="W115" s="265">
        <f t="shared" si="26"/>
        <v>0</v>
      </c>
      <c r="X115" s="265">
        <f t="shared" si="26"/>
        <v>0</v>
      </c>
      <c r="Y115" s="265">
        <f t="shared" si="26"/>
        <v>0</v>
      </c>
      <c r="Z115" s="265">
        <f t="shared" si="26"/>
        <v>0</v>
      </c>
      <c r="AA115" s="265">
        <f t="shared" si="26"/>
        <v>0</v>
      </c>
      <c r="AB115" s="265">
        <f t="shared" si="26"/>
        <v>0</v>
      </c>
      <c r="AC115" s="265">
        <f t="shared" si="26"/>
        <v>0</v>
      </c>
      <c r="AD115" s="265">
        <f t="shared" si="26"/>
        <v>0</v>
      </c>
      <c r="AE115" s="265">
        <f t="shared" si="26"/>
        <v>0</v>
      </c>
      <c r="AF115" s="265">
        <f t="shared" si="26"/>
        <v>0</v>
      </c>
      <c r="AG115" s="265">
        <f t="shared" si="26"/>
        <v>0</v>
      </c>
      <c r="AH115" s="265">
        <f t="shared" si="26"/>
        <v>0</v>
      </c>
      <c r="AI115" s="265">
        <f t="shared" si="26"/>
        <v>0</v>
      </c>
      <c r="AJ115" s="265">
        <f t="shared" si="26"/>
        <v>0</v>
      </c>
    </row>
    <row r="116" spans="2:36" s="29" customFormat="1" ht="16">
      <c r="B116" s="259" t="s">
        <v>129</v>
      </c>
      <c r="C116" s="263">
        <f>IF(Inputs!$G$21="Simple",Inputs!$G$29*Inputs!$W$92,IF(Inputs!$G$21="Intermediate",SUMPRODUCT(Inputs!$G$23:$G$27,Inputs!$W$93:$W$97),'Complex Inputs'!$K$121))</f>
        <v>0</v>
      </c>
      <c r="D116" s="514">
        <f t="shared" si="25"/>
        <v>0</v>
      </c>
      <c r="E116" s="263">
        <f>($C$122-$C$124)*IF(Inputs!$P$88="No",1,(1-Inputs!$P$89))*D116</f>
        <v>0</v>
      </c>
      <c r="F116" s="259"/>
      <c r="G116" s="265">
        <v>3.3300000000000003E-2</v>
      </c>
      <c r="H116" s="265">
        <v>6.6699999999999995E-2</v>
      </c>
      <c r="I116" s="265">
        <v>6.6699999999999995E-2</v>
      </c>
      <c r="J116" s="265">
        <v>6.6699999999999995E-2</v>
      </c>
      <c r="K116" s="265">
        <v>6.6699999999999995E-2</v>
      </c>
      <c r="L116" s="265">
        <v>6.6699999999999995E-2</v>
      </c>
      <c r="M116" s="265">
        <v>6.6699999999999995E-2</v>
      </c>
      <c r="N116" s="265">
        <v>6.6699999999999995E-2</v>
      </c>
      <c r="O116" s="265">
        <v>6.6699999999999995E-2</v>
      </c>
      <c r="P116" s="265">
        <v>6.6699999999999995E-2</v>
      </c>
      <c r="Q116" s="265">
        <v>6.6699999999999995E-2</v>
      </c>
      <c r="R116" s="265">
        <v>6.6600000000000006E-2</v>
      </c>
      <c r="S116" s="265">
        <v>6.6600000000000006E-2</v>
      </c>
      <c r="T116" s="265">
        <v>6.6600000000000006E-2</v>
      </c>
      <c r="U116" s="265">
        <v>6.6600000000000006E-2</v>
      </c>
      <c r="V116" s="265">
        <v>3.3300000000000003E-2</v>
      </c>
      <c r="W116" s="265">
        <f t="shared" ref="W116:AJ116" si="27">IF(W$109&lt;=15, 1/15,0)</f>
        <v>0</v>
      </c>
      <c r="X116" s="265">
        <f t="shared" si="27"/>
        <v>0</v>
      </c>
      <c r="Y116" s="265">
        <f t="shared" si="27"/>
        <v>0</v>
      </c>
      <c r="Z116" s="265">
        <f t="shared" si="27"/>
        <v>0</v>
      </c>
      <c r="AA116" s="265">
        <f t="shared" si="27"/>
        <v>0</v>
      </c>
      <c r="AB116" s="265">
        <f t="shared" si="27"/>
        <v>0</v>
      </c>
      <c r="AC116" s="265">
        <f t="shared" si="27"/>
        <v>0</v>
      </c>
      <c r="AD116" s="265">
        <f t="shared" si="27"/>
        <v>0</v>
      </c>
      <c r="AE116" s="265">
        <f t="shared" si="27"/>
        <v>0</v>
      </c>
      <c r="AF116" s="265">
        <f t="shared" si="27"/>
        <v>0</v>
      </c>
      <c r="AG116" s="265">
        <f t="shared" si="27"/>
        <v>0</v>
      </c>
      <c r="AH116" s="265">
        <f t="shared" si="27"/>
        <v>0</v>
      </c>
      <c r="AI116" s="265">
        <f t="shared" si="27"/>
        <v>0</v>
      </c>
      <c r="AJ116" s="265">
        <f t="shared" si="27"/>
        <v>0</v>
      </c>
    </row>
    <row r="117" spans="2:36" s="29" customFormat="1" ht="16">
      <c r="B117" s="259" t="s">
        <v>79</v>
      </c>
      <c r="C117" s="263">
        <f>IF(Inputs!$G$21="Simple",Inputs!$G$29*Inputs!$X$92,IF(Inputs!$G$21="Intermediate",SUMPRODUCT(Inputs!$G$23:$G$27,Inputs!$X$93:$X$97),'Complex Inputs'!$L$121))</f>
        <v>37500</v>
      </c>
      <c r="D117" s="514">
        <f t="shared" si="25"/>
        <v>0.01</v>
      </c>
      <c r="E117" s="263">
        <f>($C$122-$C$124)*IF(Inputs!$P$88="No",1,(1-Inputs!$P$89))*D117</f>
        <v>37500</v>
      </c>
      <c r="F117" s="259"/>
      <c r="G117" s="265">
        <v>2.5000000000000001E-2</v>
      </c>
      <c r="H117" s="265">
        <v>0.05</v>
      </c>
      <c r="I117" s="265">
        <v>0.05</v>
      </c>
      <c r="J117" s="265">
        <v>0.05</v>
      </c>
      <c r="K117" s="265">
        <v>0.05</v>
      </c>
      <c r="L117" s="265">
        <v>0.05</v>
      </c>
      <c r="M117" s="265">
        <v>0.05</v>
      </c>
      <c r="N117" s="265">
        <v>0.05</v>
      </c>
      <c r="O117" s="265">
        <v>0.05</v>
      </c>
      <c r="P117" s="265">
        <v>0.05</v>
      </c>
      <c r="Q117" s="265">
        <v>0.05</v>
      </c>
      <c r="R117" s="265">
        <v>0.05</v>
      </c>
      <c r="S117" s="265">
        <v>0.05</v>
      </c>
      <c r="T117" s="265">
        <v>0.05</v>
      </c>
      <c r="U117" s="265">
        <v>0.05</v>
      </c>
      <c r="V117" s="265">
        <v>0.05</v>
      </c>
      <c r="W117" s="265">
        <v>0.05</v>
      </c>
      <c r="X117" s="265">
        <v>0.05</v>
      </c>
      <c r="Y117" s="265">
        <v>0.05</v>
      </c>
      <c r="Z117" s="265">
        <v>0.05</v>
      </c>
      <c r="AA117" s="265">
        <v>2.5000000000000001E-2</v>
      </c>
      <c r="AB117" s="265">
        <f t="shared" ref="AB117:AJ117" si="28">IF(AB$109&lt;=20, 1/20,0)</f>
        <v>0</v>
      </c>
      <c r="AC117" s="265">
        <f t="shared" si="28"/>
        <v>0</v>
      </c>
      <c r="AD117" s="265">
        <f t="shared" si="28"/>
        <v>0</v>
      </c>
      <c r="AE117" s="265">
        <f t="shared" si="28"/>
        <v>0</v>
      </c>
      <c r="AF117" s="265">
        <f t="shared" si="28"/>
        <v>0</v>
      </c>
      <c r="AG117" s="265">
        <f t="shared" si="28"/>
        <v>0</v>
      </c>
      <c r="AH117" s="265">
        <f t="shared" si="28"/>
        <v>0</v>
      </c>
      <c r="AI117" s="265">
        <f t="shared" si="28"/>
        <v>0</v>
      </c>
      <c r="AJ117" s="265">
        <f t="shared" si="28"/>
        <v>0</v>
      </c>
    </row>
    <row r="118" spans="2:36" s="29" customFormat="1" ht="16">
      <c r="B118" s="259" t="s">
        <v>80</v>
      </c>
      <c r="C118" s="263">
        <f>IF(Inputs!$G$21="Simple",Inputs!$G$29*Inputs!$Y$92,IF(Inputs!$G$21="Intermediate",SUMPRODUCT(Inputs!$G$23:$G$27,Inputs!$Y$93:$Y$97),'Complex Inputs'!$M$121))</f>
        <v>0</v>
      </c>
      <c r="D118" s="514">
        <f t="shared" si="25"/>
        <v>0</v>
      </c>
      <c r="E118" s="263">
        <f>($C$122-$C$124)*IF(Inputs!$P$88="No",1,(1-Inputs!$P$89))*D118</f>
        <v>0</v>
      </c>
      <c r="F118" s="259"/>
      <c r="G118" s="265">
        <v>1.2800000000000001E-2</v>
      </c>
      <c r="H118" s="265">
        <v>2.5600000000000001E-2</v>
      </c>
      <c r="I118" s="265">
        <v>2.5600000000000001E-2</v>
      </c>
      <c r="J118" s="265">
        <v>2.5600000000000001E-2</v>
      </c>
      <c r="K118" s="265">
        <v>2.5600000000000001E-2</v>
      </c>
      <c r="L118" s="265">
        <v>2.5600000000000001E-2</v>
      </c>
      <c r="M118" s="265">
        <v>2.5600000000000001E-2</v>
      </c>
      <c r="N118" s="265">
        <v>2.5600000000000001E-2</v>
      </c>
      <c r="O118" s="265">
        <v>2.5600000000000001E-2</v>
      </c>
      <c r="P118" s="265">
        <v>2.5600000000000001E-2</v>
      </c>
      <c r="Q118" s="265">
        <v>2.5600000000000001E-2</v>
      </c>
      <c r="R118" s="265">
        <v>2.5600000000000001E-2</v>
      </c>
      <c r="S118" s="265">
        <v>2.5600000000000001E-2</v>
      </c>
      <c r="T118" s="265">
        <v>2.5600000000000001E-2</v>
      </c>
      <c r="U118" s="265">
        <v>2.5600000000000001E-2</v>
      </c>
      <c r="V118" s="265">
        <v>2.5600000000000001E-2</v>
      </c>
      <c r="W118" s="265">
        <v>2.5600000000000001E-2</v>
      </c>
      <c r="X118" s="265">
        <v>2.5600000000000001E-2</v>
      </c>
      <c r="Y118" s="265">
        <v>2.5600000000000001E-2</v>
      </c>
      <c r="Z118" s="265">
        <v>2.5600000000000001E-2</v>
      </c>
      <c r="AA118" s="265">
        <v>2.5600000000000001E-2</v>
      </c>
      <c r="AB118" s="265">
        <v>2.5600000000000001E-2</v>
      </c>
      <c r="AC118" s="265">
        <v>2.5600000000000001E-2</v>
      </c>
      <c r="AD118" s="265">
        <v>2.5600000000000001E-2</v>
      </c>
      <c r="AE118" s="265">
        <v>2.5600000000000001E-2</v>
      </c>
      <c r="AF118" s="265">
        <v>2.5600000000000001E-2</v>
      </c>
      <c r="AG118" s="265">
        <v>2.5600000000000001E-2</v>
      </c>
      <c r="AH118" s="265">
        <v>2.5600000000000001E-2</v>
      </c>
      <c r="AI118" s="265">
        <v>2.5600000000000001E-2</v>
      </c>
      <c r="AJ118" s="265">
        <v>2.5600000000000001E-2</v>
      </c>
    </row>
    <row r="119" spans="2:36" s="29" customFormat="1" ht="16">
      <c r="B119" s="259" t="s">
        <v>331</v>
      </c>
      <c r="C119" s="263"/>
      <c r="D119" s="514"/>
      <c r="E119" s="263">
        <f>($C$122-$C$124)*IF(Inputs!$P$88="No",0,Inputs!$P$89)</f>
        <v>0</v>
      </c>
      <c r="F119" s="259"/>
      <c r="G119" s="265">
        <v>1</v>
      </c>
      <c r="H119" s="265">
        <v>0</v>
      </c>
      <c r="I119" s="265">
        <v>0</v>
      </c>
      <c r="J119" s="265">
        <v>0</v>
      </c>
      <c r="K119" s="265">
        <v>0</v>
      </c>
      <c r="L119" s="265">
        <v>0</v>
      </c>
      <c r="M119" s="265">
        <v>0</v>
      </c>
      <c r="N119" s="265">
        <v>0</v>
      </c>
      <c r="O119" s="265">
        <v>0</v>
      </c>
      <c r="P119" s="265">
        <v>0</v>
      </c>
      <c r="Q119" s="265">
        <v>0</v>
      </c>
      <c r="R119" s="265">
        <v>0</v>
      </c>
      <c r="S119" s="265">
        <v>0</v>
      </c>
      <c r="T119" s="265">
        <v>0</v>
      </c>
      <c r="U119" s="265">
        <v>0</v>
      </c>
      <c r="V119" s="265">
        <v>0</v>
      </c>
      <c r="W119" s="265">
        <v>0</v>
      </c>
      <c r="X119" s="265">
        <v>0</v>
      </c>
      <c r="Y119" s="265">
        <v>0</v>
      </c>
      <c r="Z119" s="265">
        <v>0</v>
      </c>
      <c r="AA119" s="265">
        <v>0</v>
      </c>
      <c r="AB119" s="265">
        <v>0</v>
      </c>
      <c r="AC119" s="265">
        <v>0</v>
      </c>
      <c r="AD119" s="265">
        <v>0</v>
      </c>
      <c r="AE119" s="265">
        <v>0</v>
      </c>
      <c r="AF119" s="265">
        <v>0</v>
      </c>
      <c r="AG119" s="265">
        <v>0</v>
      </c>
      <c r="AH119" s="265">
        <v>0</v>
      </c>
      <c r="AI119" s="265">
        <v>0</v>
      </c>
      <c r="AJ119" s="265">
        <v>0</v>
      </c>
    </row>
    <row r="120" spans="2:36" s="29" customFormat="1" ht="16">
      <c r="B120" s="272" t="s">
        <v>23</v>
      </c>
      <c r="C120" s="516">
        <f>IF(Inputs!$G$21="Simple",Inputs!$G$29*Inputs!$Z$92,IF(Inputs!$G$21="Intermediate",SUMPRODUCT(Inputs!$G$23:$G$27,Inputs!$Z$93:$Z$97),'Complex Inputs'!$N$121))</f>
        <v>93750</v>
      </c>
      <c r="D120" s="517">
        <f>C120/$C$122</f>
        <v>2.5000000000000001E-2</v>
      </c>
      <c r="E120" s="516">
        <f>($C$122-$C$124)*IF(Inputs!$P$88="No",1,(1-Inputs!$P$89))*D120</f>
        <v>93750</v>
      </c>
      <c r="F120" s="259"/>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row>
    <row r="121" spans="2:36" s="29" customFormat="1" ht="16">
      <c r="B121" s="346"/>
      <c r="C121" s="513" t="s">
        <v>339</v>
      </c>
      <c r="D121" s="513"/>
      <c r="E121" s="513" t="s">
        <v>340</v>
      </c>
      <c r="F121" s="259"/>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row>
    <row r="122" spans="2:36" s="29" customFormat="1" ht="16">
      <c r="B122" s="258" t="s">
        <v>341</v>
      </c>
      <c r="C122" s="268">
        <f>SUM(C111:C120)</f>
        <v>3750000</v>
      </c>
      <c r="D122" s="514">
        <f>SUM(D111:D120)</f>
        <v>1</v>
      </c>
      <c r="E122" s="268">
        <f>SUM(E111:E120)</f>
        <v>3750000</v>
      </c>
      <c r="F122" s="259"/>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row>
    <row r="123" spans="2:36" s="29" customFormat="1" ht="16">
      <c r="B123" s="346"/>
      <c r="C123" s="515" t="str">
        <f>IF(C122=Inputs!$G$29,"OK","error")</f>
        <v>OK</v>
      </c>
      <c r="D123" s="515" t="str">
        <f>IF(D122=100%,"OK","error")</f>
        <v>OK</v>
      </c>
      <c r="E123" s="515" t="str">
        <f>IF(E122=(C122-C124),"OK","error")</f>
        <v>OK</v>
      </c>
      <c r="F123" s="259"/>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row>
    <row r="124" spans="2:36" s="29" customFormat="1" ht="16">
      <c r="B124" s="259" t="s">
        <v>330</v>
      </c>
      <c r="C124" s="263">
        <f>IF(OR(Inputs!$Q$33="Performance-Based",Inputs!$Q$33="Neither"),0,50%*Inputs!$Q$37)+IF(Inputs!$Q$44="Yes",0,Inputs!$Q$43)+IF(Inputs!$Q$61="Yes",0,IF(Inputs!$Q$60=0,Inputs!$Q$59*Inputs!$G$7,MIN(Inputs!$Q$60,Inputs!$Q$59*Inputs!$G$7)))</f>
        <v>0</v>
      </c>
      <c r="D124" s="259"/>
      <c r="E124" s="263"/>
      <c r="F124" s="259"/>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row>
    <row r="125" spans="2:36" s="29" customFormat="1" ht="16">
      <c r="B125" s="259"/>
      <c r="C125" s="259"/>
      <c r="D125" s="259"/>
      <c r="E125" s="263"/>
      <c r="F125" s="259"/>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row>
    <row r="126" spans="2:36" s="29" customFormat="1" ht="16">
      <c r="B126" s="261" t="s">
        <v>151</v>
      </c>
      <c r="C126" s="261"/>
      <c r="D126" s="261"/>
      <c r="E126" s="259"/>
      <c r="F126" s="259"/>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row>
    <row r="127" spans="2:36" s="29" customFormat="1" ht="16">
      <c r="B127" s="259" t="s">
        <v>81</v>
      </c>
      <c r="C127" s="259"/>
      <c r="D127" s="259"/>
      <c r="E127" s="267" t="s">
        <v>136</v>
      </c>
      <c r="F127" s="268"/>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row>
    <row r="128" spans="2:36" s="29" customFormat="1" ht="16">
      <c r="B128" s="259" t="s">
        <v>76</v>
      </c>
      <c r="C128" s="259"/>
      <c r="D128" s="259"/>
      <c r="E128" s="269">
        <f>SUM(G128:AJ128)</f>
        <v>3525000</v>
      </c>
      <c r="F128" s="268"/>
      <c r="G128" s="270">
        <f>$E111*G111</f>
        <v>705000</v>
      </c>
      <c r="H128" s="270">
        <f t="shared" ref="H128:AJ128" si="29">$E111*H111</f>
        <v>1128000</v>
      </c>
      <c r="I128" s="270">
        <f t="shared" si="29"/>
        <v>676800</v>
      </c>
      <c r="J128" s="270">
        <f t="shared" si="29"/>
        <v>406080</v>
      </c>
      <c r="K128" s="270">
        <f t="shared" si="29"/>
        <v>406080</v>
      </c>
      <c r="L128" s="270">
        <f t="shared" si="29"/>
        <v>203040</v>
      </c>
      <c r="M128" s="270">
        <f t="shared" si="29"/>
        <v>0</v>
      </c>
      <c r="N128" s="270">
        <f t="shared" si="29"/>
        <v>0</v>
      </c>
      <c r="O128" s="270">
        <f t="shared" si="29"/>
        <v>0</v>
      </c>
      <c r="P128" s="270">
        <f t="shared" si="29"/>
        <v>0</v>
      </c>
      <c r="Q128" s="270">
        <f t="shared" si="29"/>
        <v>0</v>
      </c>
      <c r="R128" s="270">
        <f t="shared" si="29"/>
        <v>0</v>
      </c>
      <c r="S128" s="270">
        <f t="shared" si="29"/>
        <v>0</v>
      </c>
      <c r="T128" s="270">
        <f t="shared" si="29"/>
        <v>0</v>
      </c>
      <c r="U128" s="270">
        <f t="shared" si="29"/>
        <v>0</v>
      </c>
      <c r="V128" s="270">
        <f t="shared" si="29"/>
        <v>0</v>
      </c>
      <c r="W128" s="270">
        <f t="shared" si="29"/>
        <v>0</v>
      </c>
      <c r="X128" s="270">
        <f t="shared" si="29"/>
        <v>0</v>
      </c>
      <c r="Y128" s="270">
        <f t="shared" si="29"/>
        <v>0</v>
      </c>
      <c r="Z128" s="270">
        <f t="shared" si="29"/>
        <v>0</v>
      </c>
      <c r="AA128" s="270">
        <f t="shared" si="29"/>
        <v>0</v>
      </c>
      <c r="AB128" s="270">
        <f t="shared" si="29"/>
        <v>0</v>
      </c>
      <c r="AC128" s="270">
        <f t="shared" si="29"/>
        <v>0</v>
      </c>
      <c r="AD128" s="270">
        <f t="shared" si="29"/>
        <v>0</v>
      </c>
      <c r="AE128" s="270">
        <f t="shared" si="29"/>
        <v>0</v>
      </c>
      <c r="AF128" s="270">
        <f t="shared" si="29"/>
        <v>0</v>
      </c>
      <c r="AG128" s="270">
        <f t="shared" si="29"/>
        <v>0</v>
      </c>
      <c r="AH128" s="270">
        <f t="shared" si="29"/>
        <v>0</v>
      </c>
      <c r="AI128" s="270">
        <f t="shared" si="29"/>
        <v>0</v>
      </c>
      <c r="AJ128" s="270">
        <f t="shared" si="29"/>
        <v>0</v>
      </c>
    </row>
    <row r="129" spans="2:36" s="29" customFormat="1" ht="16">
      <c r="B129" s="259" t="s">
        <v>127</v>
      </c>
      <c r="C129" s="259"/>
      <c r="D129" s="259"/>
      <c r="E129" s="269">
        <f t="shared" ref="E129:E136" si="30">SUM(G129:AJ129)</f>
        <v>0</v>
      </c>
      <c r="F129" s="268"/>
      <c r="G129" s="270">
        <f t="shared" ref="G129:AJ129" si="31">$E112*G112</f>
        <v>0</v>
      </c>
      <c r="H129" s="270">
        <f t="shared" si="31"/>
        <v>0</v>
      </c>
      <c r="I129" s="270">
        <f t="shared" si="31"/>
        <v>0</v>
      </c>
      <c r="J129" s="270">
        <f t="shared" si="31"/>
        <v>0</v>
      </c>
      <c r="K129" s="270">
        <f t="shared" si="31"/>
        <v>0</v>
      </c>
      <c r="L129" s="270">
        <f t="shared" si="31"/>
        <v>0</v>
      </c>
      <c r="M129" s="270">
        <f t="shared" si="31"/>
        <v>0</v>
      </c>
      <c r="N129" s="270">
        <f t="shared" si="31"/>
        <v>0</v>
      </c>
      <c r="O129" s="270">
        <f t="shared" si="31"/>
        <v>0</v>
      </c>
      <c r="P129" s="270">
        <f t="shared" si="31"/>
        <v>0</v>
      </c>
      <c r="Q129" s="270">
        <f t="shared" si="31"/>
        <v>0</v>
      </c>
      <c r="R129" s="270">
        <f t="shared" si="31"/>
        <v>0</v>
      </c>
      <c r="S129" s="270">
        <f t="shared" si="31"/>
        <v>0</v>
      </c>
      <c r="T129" s="270">
        <f t="shared" si="31"/>
        <v>0</v>
      </c>
      <c r="U129" s="270">
        <f t="shared" si="31"/>
        <v>0</v>
      </c>
      <c r="V129" s="270">
        <f t="shared" si="31"/>
        <v>0</v>
      </c>
      <c r="W129" s="270">
        <f t="shared" si="31"/>
        <v>0</v>
      </c>
      <c r="X129" s="270">
        <f t="shared" si="31"/>
        <v>0</v>
      </c>
      <c r="Y129" s="270">
        <f t="shared" si="31"/>
        <v>0</v>
      </c>
      <c r="Z129" s="270">
        <f t="shared" si="31"/>
        <v>0</v>
      </c>
      <c r="AA129" s="270">
        <f t="shared" si="31"/>
        <v>0</v>
      </c>
      <c r="AB129" s="270">
        <f t="shared" si="31"/>
        <v>0</v>
      </c>
      <c r="AC129" s="270">
        <f t="shared" si="31"/>
        <v>0</v>
      </c>
      <c r="AD129" s="270">
        <f t="shared" si="31"/>
        <v>0</v>
      </c>
      <c r="AE129" s="270">
        <f t="shared" si="31"/>
        <v>0</v>
      </c>
      <c r="AF129" s="270">
        <f t="shared" si="31"/>
        <v>0</v>
      </c>
      <c r="AG129" s="270">
        <f t="shared" si="31"/>
        <v>0</v>
      </c>
      <c r="AH129" s="270">
        <f t="shared" si="31"/>
        <v>0</v>
      </c>
      <c r="AI129" s="270">
        <f t="shared" si="31"/>
        <v>0</v>
      </c>
      <c r="AJ129" s="270">
        <f t="shared" si="31"/>
        <v>0</v>
      </c>
    </row>
    <row r="130" spans="2:36" s="29" customFormat="1" ht="16">
      <c r="B130" s="259" t="s">
        <v>77</v>
      </c>
      <c r="C130" s="259"/>
      <c r="D130" s="259"/>
      <c r="E130" s="269">
        <f t="shared" si="30"/>
        <v>56250</v>
      </c>
      <c r="F130" s="268"/>
      <c r="G130" s="270">
        <f t="shared" ref="G130:AJ130" si="32">$E113*G113</f>
        <v>2812.5</v>
      </c>
      <c r="H130" s="270">
        <f t="shared" si="32"/>
        <v>5343.75</v>
      </c>
      <c r="I130" s="270">
        <f t="shared" si="32"/>
        <v>4809.375</v>
      </c>
      <c r="J130" s="270">
        <f t="shared" si="32"/>
        <v>4331.25</v>
      </c>
      <c r="K130" s="270">
        <f t="shared" si="32"/>
        <v>3898.125</v>
      </c>
      <c r="L130" s="270">
        <f t="shared" si="32"/>
        <v>3504.375</v>
      </c>
      <c r="M130" s="270">
        <f t="shared" si="32"/>
        <v>3318.75</v>
      </c>
      <c r="N130" s="270">
        <f t="shared" si="32"/>
        <v>3318.75</v>
      </c>
      <c r="O130" s="270">
        <f t="shared" si="32"/>
        <v>3324.375</v>
      </c>
      <c r="P130" s="270">
        <f t="shared" si="32"/>
        <v>3318.75</v>
      </c>
      <c r="Q130" s="270">
        <f t="shared" si="32"/>
        <v>3324.375</v>
      </c>
      <c r="R130" s="270">
        <f t="shared" si="32"/>
        <v>3318.75</v>
      </c>
      <c r="S130" s="270">
        <f t="shared" si="32"/>
        <v>3324.375</v>
      </c>
      <c r="T130" s="270">
        <f t="shared" si="32"/>
        <v>3318.75</v>
      </c>
      <c r="U130" s="270">
        <f t="shared" si="32"/>
        <v>3324.375</v>
      </c>
      <c r="V130" s="270">
        <f t="shared" si="32"/>
        <v>1659.375</v>
      </c>
      <c r="W130" s="270">
        <f t="shared" si="32"/>
        <v>0</v>
      </c>
      <c r="X130" s="270">
        <f t="shared" si="32"/>
        <v>0</v>
      </c>
      <c r="Y130" s="270">
        <f t="shared" si="32"/>
        <v>0</v>
      </c>
      <c r="Z130" s="270">
        <f t="shared" si="32"/>
        <v>0</v>
      </c>
      <c r="AA130" s="270">
        <f t="shared" si="32"/>
        <v>0</v>
      </c>
      <c r="AB130" s="270">
        <f t="shared" si="32"/>
        <v>0</v>
      </c>
      <c r="AC130" s="270">
        <f t="shared" si="32"/>
        <v>0</v>
      </c>
      <c r="AD130" s="270">
        <f t="shared" si="32"/>
        <v>0</v>
      </c>
      <c r="AE130" s="270">
        <f t="shared" si="32"/>
        <v>0</v>
      </c>
      <c r="AF130" s="270">
        <f t="shared" si="32"/>
        <v>0</v>
      </c>
      <c r="AG130" s="270">
        <f t="shared" si="32"/>
        <v>0</v>
      </c>
      <c r="AH130" s="270">
        <f t="shared" si="32"/>
        <v>0</v>
      </c>
      <c r="AI130" s="270">
        <f t="shared" si="32"/>
        <v>0</v>
      </c>
      <c r="AJ130" s="270">
        <f t="shared" si="32"/>
        <v>0</v>
      </c>
    </row>
    <row r="131" spans="2:36" s="29" customFormat="1" ht="16">
      <c r="B131" s="259" t="s">
        <v>78</v>
      </c>
      <c r="C131" s="259"/>
      <c r="D131" s="259"/>
      <c r="E131" s="269">
        <f t="shared" si="30"/>
        <v>37500</v>
      </c>
      <c r="F131" s="268"/>
      <c r="G131" s="270">
        <f t="shared" ref="G131:AJ131" si="33">$E114*G114</f>
        <v>1406.25</v>
      </c>
      <c r="H131" s="270">
        <f t="shared" si="33"/>
        <v>2707.125</v>
      </c>
      <c r="I131" s="270">
        <f t="shared" si="33"/>
        <v>2503.875</v>
      </c>
      <c r="J131" s="270">
        <f t="shared" si="33"/>
        <v>2316.375</v>
      </c>
      <c r="K131" s="270">
        <f t="shared" si="33"/>
        <v>2142.375</v>
      </c>
      <c r="L131" s="270">
        <f t="shared" si="33"/>
        <v>1981.875</v>
      </c>
      <c r="M131" s="270">
        <f t="shared" si="33"/>
        <v>1833</v>
      </c>
      <c r="N131" s="270">
        <f t="shared" si="33"/>
        <v>1695.7500000000002</v>
      </c>
      <c r="O131" s="270">
        <f t="shared" si="33"/>
        <v>1673.25</v>
      </c>
      <c r="P131" s="270">
        <f t="shared" si="33"/>
        <v>1672.8749999999998</v>
      </c>
      <c r="Q131" s="270">
        <f t="shared" si="33"/>
        <v>1673.25</v>
      </c>
      <c r="R131" s="270">
        <f t="shared" si="33"/>
        <v>1672.8749999999998</v>
      </c>
      <c r="S131" s="270">
        <f t="shared" si="33"/>
        <v>1673.25</v>
      </c>
      <c r="T131" s="270">
        <f t="shared" si="33"/>
        <v>1672.8749999999998</v>
      </c>
      <c r="U131" s="270">
        <f t="shared" si="33"/>
        <v>1673.25</v>
      </c>
      <c r="V131" s="270">
        <f t="shared" si="33"/>
        <v>1672.8749999999998</v>
      </c>
      <c r="W131" s="270">
        <f t="shared" si="33"/>
        <v>1673.25</v>
      </c>
      <c r="X131" s="270">
        <f t="shared" si="33"/>
        <v>1672.8749999999998</v>
      </c>
      <c r="Y131" s="270">
        <f t="shared" si="33"/>
        <v>1673.25</v>
      </c>
      <c r="Z131" s="270">
        <f t="shared" si="33"/>
        <v>1672.8749999999998</v>
      </c>
      <c r="AA131" s="270">
        <f t="shared" si="33"/>
        <v>836.625</v>
      </c>
      <c r="AB131" s="270">
        <f t="shared" si="33"/>
        <v>0</v>
      </c>
      <c r="AC131" s="270">
        <f t="shared" si="33"/>
        <v>0</v>
      </c>
      <c r="AD131" s="270">
        <f t="shared" si="33"/>
        <v>0</v>
      </c>
      <c r="AE131" s="270">
        <f t="shared" si="33"/>
        <v>0</v>
      </c>
      <c r="AF131" s="270">
        <f t="shared" si="33"/>
        <v>0</v>
      </c>
      <c r="AG131" s="270">
        <f t="shared" si="33"/>
        <v>0</v>
      </c>
      <c r="AH131" s="270">
        <f t="shared" si="33"/>
        <v>0</v>
      </c>
      <c r="AI131" s="270">
        <f t="shared" si="33"/>
        <v>0</v>
      </c>
      <c r="AJ131" s="270">
        <f t="shared" si="33"/>
        <v>0</v>
      </c>
    </row>
    <row r="132" spans="2:36" s="29" customFormat="1" ht="16">
      <c r="B132" s="259" t="s">
        <v>128</v>
      </c>
      <c r="C132" s="259"/>
      <c r="D132" s="259"/>
      <c r="E132" s="269">
        <f t="shared" si="30"/>
        <v>0</v>
      </c>
      <c r="F132" s="268"/>
      <c r="G132" s="270">
        <f t="shared" ref="G132:AJ132" si="34">$E115*G115</f>
        <v>0</v>
      </c>
      <c r="H132" s="270">
        <f t="shared" si="34"/>
        <v>0</v>
      </c>
      <c r="I132" s="270">
        <f t="shared" si="34"/>
        <v>0</v>
      </c>
      <c r="J132" s="270">
        <f t="shared" si="34"/>
        <v>0</v>
      </c>
      <c r="K132" s="270">
        <f t="shared" si="34"/>
        <v>0</v>
      </c>
      <c r="L132" s="270">
        <f t="shared" si="34"/>
        <v>0</v>
      </c>
      <c r="M132" s="270">
        <f t="shared" si="34"/>
        <v>0</v>
      </c>
      <c r="N132" s="270">
        <f t="shared" si="34"/>
        <v>0</v>
      </c>
      <c r="O132" s="270">
        <f t="shared" si="34"/>
        <v>0</v>
      </c>
      <c r="P132" s="270">
        <f t="shared" si="34"/>
        <v>0</v>
      </c>
      <c r="Q132" s="270">
        <f t="shared" si="34"/>
        <v>0</v>
      </c>
      <c r="R132" s="270">
        <f t="shared" si="34"/>
        <v>0</v>
      </c>
      <c r="S132" s="270">
        <f t="shared" si="34"/>
        <v>0</v>
      </c>
      <c r="T132" s="270">
        <f t="shared" si="34"/>
        <v>0</v>
      </c>
      <c r="U132" s="270">
        <f t="shared" si="34"/>
        <v>0</v>
      </c>
      <c r="V132" s="270">
        <f t="shared" si="34"/>
        <v>0</v>
      </c>
      <c r="W132" s="270">
        <f t="shared" si="34"/>
        <v>0</v>
      </c>
      <c r="X132" s="270">
        <f t="shared" si="34"/>
        <v>0</v>
      </c>
      <c r="Y132" s="270">
        <f t="shared" si="34"/>
        <v>0</v>
      </c>
      <c r="Z132" s="270">
        <f t="shared" si="34"/>
        <v>0</v>
      </c>
      <c r="AA132" s="270">
        <f t="shared" si="34"/>
        <v>0</v>
      </c>
      <c r="AB132" s="270">
        <f t="shared" si="34"/>
        <v>0</v>
      </c>
      <c r="AC132" s="270">
        <f t="shared" si="34"/>
        <v>0</v>
      </c>
      <c r="AD132" s="270">
        <f t="shared" si="34"/>
        <v>0</v>
      </c>
      <c r="AE132" s="270">
        <f t="shared" si="34"/>
        <v>0</v>
      </c>
      <c r="AF132" s="270">
        <f t="shared" si="34"/>
        <v>0</v>
      </c>
      <c r="AG132" s="270">
        <f t="shared" si="34"/>
        <v>0</v>
      </c>
      <c r="AH132" s="270">
        <f t="shared" si="34"/>
        <v>0</v>
      </c>
      <c r="AI132" s="270">
        <f t="shared" si="34"/>
        <v>0</v>
      </c>
      <c r="AJ132" s="270">
        <f t="shared" si="34"/>
        <v>0</v>
      </c>
    </row>
    <row r="133" spans="2:36" s="29" customFormat="1" ht="16">
      <c r="B133" s="259" t="s">
        <v>129</v>
      </c>
      <c r="C133" s="259"/>
      <c r="D133" s="259"/>
      <c r="E133" s="269">
        <f t="shared" si="30"/>
        <v>0</v>
      </c>
      <c r="F133" s="268"/>
      <c r="G133" s="270">
        <f t="shared" ref="G133:AJ133" si="35">$E116*G116</f>
        <v>0</v>
      </c>
      <c r="H133" s="270">
        <f t="shared" si="35"/>
        <v>0</v>
      </c>
      <c r="I133" s="270">
        <f t="shared" si="35"/>
        <v>0</v>
      </c>
      <c r="J133" s="270">
        <f t="shared" si="35"/>
        <v>0</v>
      </c>
      <c r="K133" s="270">
        <f t="shared" si="35"/>
        <v>0</v>
      </c>
      <c r="L133" s="270">
        <f t="shared" si="35"/>
        <v>0</v>
      </c>
      <c r="M133" s="270">
        <f t="shared" si="35"/>
        <v>0</v>
      </c>
      <c r="N133" s="270">
        <f t="shared" si="35"/>
        <v>0</v>
      </c>
      <c r="O133" s="270">
        <f t="shared" si="35"/>
        <v>0</v>
      </c>
      <c r="P133" s="270">
        <f t="shared" si="35"/>
        <v>0</v>
      </c>
      <c r="Q133" s="270">
        <f t="shared" si="35"/>
        <v>0</v>
      </c>
      <c r="R133" s="270">
        <f t="shared" si="35"/>
        <v>0</v>
      </c>
      <c r="S133" s="270">
        <f t="shared" si="35"/>
        <v>0</v>
      </c>
      <c r="T133" s="270">
        <f t="shared" si="35"/>
        <v>0</v>
      </c>
      <c r="U133" s="270">
        <f t="shared" si="35"/>
        <v>0</v>
      </c>
      <c r="V133" s="270">
        <f t="shared" si="35"/>
        <v>0</v>
      </c>
      <c r="W133" s="270">
        <f t="shared" si="35"/>
        <v>0</v>
      </c>
      <c r="X133" s="270">
        <f t="shared" si="35"/>
        <v>0</v>
      </c>
      <c r="Y133" s="270">
        <f t="shared" si="35"/>
        <v>0</v>
      </c>
      <c r="Z133" s="270">
        <f t="shared" si="35"/>
        <v>0</v>
      </c>
      <c r="AA133" s="270">
        <f t="shared" si="35"/>
        <v>0</v>
      </c>
      <c r="AB133" s="270">
        <f t="shared" si="35"/>
        <v>0</v>
      </c>
      <c r="AC133" s="270">
        <f t="shared" si="35"/>
        <v>0</v>
      </c>
      <c r="AD133" s="270">
        <f t="shared" si="35"/>
        <v>0</v>
      </c>
      <c r="AE133" s="270">
        <f t="shared" si="35"/>
        <v>0</v>
      </c>
      <c r="AF133" s="270">
        <f t="shared" si="35"/>
        <v>0</v>
      </c>
      <c r="AG133" s="270">
        <f t="shared" si="35"/>
        <v>0</v>
      </c>
      <c r="AH133" s="270">
        <f t="shared" si="35"/>
        <v>0</v>
      </c>
      <c r="AI133" s="270">
        <f t="shared" si="35"/>
        <v>0</v>
      </c>
      <c r="AJ133" s="270">
        <f t="shared" si="35"/>
        <v>0</v>
      </c>
    </row>
    <row r="134" spans="2:36" s="29" customFormat="1" ht="16">
      <c r="B134" s="259" t="s">
        <v>79</v>
      </c>
      <c r="C134" s="259"/>
      <c r="D134" s="259"/>
      <c r="E134" s="269">
        <f t="shared" si="30"/>
        <v>37500</v>
      </c>
      <c r="F134" s="268"/>
      <c r="G134" s="270">
        <f t="shared" ref="G134:AJ134" si="36">$E117*G117</f>
        <v>937.5</v>
      </c>
      <c r="H134" s="270">
        <f t="shared" si="36"/>
        <v>1875</v>
      </c>
      <c r="I134" s="270">
        <f t="shared" si="36"/>
        <v>1875</v>
      </c>
      <c r="J134" s="270">
        <f t="shared" si="36"/>
        <v>1875</v>
      </c>
      <c r="K134" s="270">
        <f t="shared" si="36"/>
        <v>1875</v>
      </c>
      <c r="L134" s="270">
        <f t="shared" si="36"/>
        <v>1875</v>
      </c>
      <c r="M134" s="270">
        <f t="shared" si="36"/>
        <v>1875</v>
      </c>
      <c r="N134" s="270">
        <f t="shared" si="36"/>
        <v>1875</v>
      </c>
      <c r="O134" s="270">
        <f t="shared" si="36"/>
        <v>1875</v>
      </c>
      <c r="P134" s="270">
        <f t="shared" si="36"/>
        <v>1875</v>
      </c>
      <c r="Q134" s="270">
        <f t="shared" si="36"/>
        <v>1875</v>
      </c>
      <c r="R134" s="270">
        <f t="shared" si="36"/>
        <v>1875</v>
      </c>
      <c r="S134" s="270">
        <f t="shared" si="36"/>
        <v>1875</v>
      </c>
      <c r="T134" s="270">
        <f t="shared" si="36"/>
        <v>1875</v>
      </c>
      <c r="U134" s="270">
        <f t="shared" si="36"/>
        <v>1875</v>
      </c>
      <c r="V134" s="270">
        <f t="shared" si="36"/>
        <v>1875</v>
      </c>
      <c r="W134" s="270">
        <f t="shared" si="36"/>
        <v>1875</v>
      </c>
      <c r="X134" s="270">
        <f t="shared" si="36"/>
        <v>1875</v>
      </c>
      <c r="Y134" s="270">
        <f t="shared" si="36"/>
        <v>1875</v>
      </c>
      <c r="Z134" s="270">
        <f t="shared" si="36"/>
        <v>1875</v>
      </c>
      <c r="AA134" s="270">
        <f t="shared" si="36"/>
        <v>937.5</v>
      </c>
      <c r="AB134" s="270">
        <f t="shared" si="36"/>
        <v>0</v>
      </c>
      <c r="AC134" s="270">
        <f t="shared" si="36"/>
        <v>0</v>
      </c>
      <c r="AD134" s="270">
        <f t="shared" si="36"/>
        <v>0</v>
      </c>
      <c r="AE134" s="270">
        <f t="shared" si="36"/>
        <v>0</v>
      </c>
      <c r="AF134" s="270">
        <f t="shared" si="36"/>
        <v>0</v>
      </c>
      <c r="AG134" s="270">
        <f t="shared" si="36"/>
        <v>0</v>
      </c>
      <c r="AH134" s="270">
        <f t="shared" si="36"/>
        <v>0</v>
      </c>
      <c r="AI134" s="270">
        <f t="shared" si="36"/>
        <v>0</v>
      </c>
      <c r="AJ134" s="270">
        <f t="shared" si="36"/>
        <v>0</v>
      </c>
    </row>
    <row r="135" spans="2:36" s="29" customFormat="1" ht="16">
      <c r="B135" s="259" t="s">
        <v>80</v>
      </c>
      <c r="C135" s="259"/>
      <c r="D135" s="259"/>
      <c r="E135" s="269">
        <f t="shared" si="30"/>
        <v>0</v>
      </c>
      <c r="F135" s="269"/>
      <c r="G135" s="270">
        <f t="shared" ref="G135:AJ135" si="37">$E118*G118</f>
        <v>0</v>
      </c>
      <c r="H135" s="270">
        <f t="shared" si="37"/>
        <v>0</v>
      </c>
      <c r="I135" s="270">
        <f t="shared" si="37"/>
        <v>0</v>
      </c>
      <c r="J135" s="270">
        <f t="shared" si="37"/>
        <v>0</v>
      </c>
      <c r="K135" s="270">
        <f t="shared" si="37"/>
        <v>0</v>
      </c>
      <c r="L135" s="270">
        <f t="shared" si="37"/>
        <v>0</v>
      </c>
      <c r="M135" s="270">
        <f t="shared" si="37"/>
        <v>0</v>
      </c>
      <c r="N135" s="270">
        <f t="shared" si="37"/>
        <v>0</v>
      </c>
      <c r="O135" s="270">
        <f t="shared" si="37"/>
        <v>0</v>
      </c>
      <c r="P135" s="270">
        <f t="shared" si="37"/>
        <v>0</v>
      </c>
      <c r="Q135" s="270">
        <f t="shared" si="37"/>
        <v>0</v>
      </c>
      <c r="R135" s="270">
        <f t="shared" si="37"/>
        <v>0</v>
      </c>
      <c r="S135" s="270">
        <f t="shared" si="37"/>
        <v>0</v>
      </c>
      <c r="T135" s="270">
        <f t="shared" si="37"/>
        <v>0</v>
      </c>
      <c r="U135" s="270">
        <f t="shared" si="37"/>
        <v>0</v>
      </c>
      <c r="V135" s="270">
        <f t="shared" si="37"/>
        <v>0</v>
      </c>
      <c r="W135" s="270">
        <f t="shared" si="37"/>
        <v>0</v>
      </c>
      <c r="X135" s="270">
        <f t="shared" si="37"/>
        <v>0</v>
      </c>
      <c r="Y135" s="270">
        <f t="shared" si="37"/>
        <v>0</v>
      </c>
      <c r="Z135" s="270">
        <f t="shared" si="37"/>
        <v>0</v>
      </c>
      <c r="AA135" s="270">
        <f t="shared" si="37"/>
        <v>0</v>
      </c>
      <c r="AB135" s="270">
        <f t="shared" si="37"/>
        <v>0</v>
      </c>
      <c r="AC135" s="270">
        <f t="shared" si="37"/>
        <v>0</v>
      </c>
      <c r="AD135" s="270">
        <f t="shared" si="37"/>
        <v>0</v>
      </c>
      <c r="AE135" s="270">
        <f t="shared" si="37"/>
        <v>0</v>
      </c>
      <c r="AF135" s="270">
        <f t="shared" si="37"/>
        <v>0</v>
      </c>
      <c r="AG135" s="270">
        <f t="shared" si="37"/>
        <v>0</v>
      </c>
      <c r="AH135" s="270">
        <f t="shared" si="37"/>
        <v>0</v>
      </c>
      <c r="AI135" s="270">
        <f t="shared" si="37"/>
        <v>0</v>
      </c>
      <c r="AJ135" s="270">
        <f t="shared" si="37"/>
        <v>0</v>
      </c>
    </row>
    <row r="136" spans="2:36" s="29" customFormat="1" ht="16">
      <c r="B136" s="259" t="s">
        <v>331</v>
      </c>
      <c r="C136" s="259"/>
      <c r="D136" s="259"/>
      <c r="E136" s="269">
        <f t="shared" si="30"/>
        <v>0</v>
      </c>
      <c r="F136" s="269"/>
      <c r="G136" s="270">
        <f t="shared" ref="G136:AJ136" si="38">$E119*G119</f>
        <v>0</v>
      </c>
      <c r="H136" s="270">
        <f t="shared" si="38"/>
        <v>0</v>
      </c>
      <c r="I136" s="270">
        <f t="shared" si="38"/>
        <v>0</v>
      </c>
      <c r="J136" s="270">
        <f t="shared" si="38"/>
        <v>0</v>
      </c>
      <c r="K136" s="270">
        <f t="shared" si="38"/>
        <v>0</v>
      </c>
      <c r="L136" s="270">
        <f t="shared" si="38"/>
        <v>0</v>
      </c>
      <c r="M136" s="270">
        <f t="shared" si="38"/>
        <v>0</v>
      </c>
      <c r="N136" s="270">
        <f t="shared" si="38"/>
        <v>0</v>
      </c>
      <c r="O136" s="270">
        <f t="shared" si="38"/>
        <v>0</v>
      </c>
      <c r="P136" s="270">
        <f t="shared" si="38"/>
        <v>0</v>
      </c>
      <c r="Q136" s="270">
        <f t="shared" si="38"/>
        <v>0</v>
      </c>
      <c r="R136" s="270">
        <f t="shared" si="38"/>
        <v>0</v>
      </c>
      <c r="S136" s="270">
        <f t="shared" si="38"/>
        <v>0</v>
      </c>
      <c r="T136" s="270">
        <f t="shared" si="38"/>
        <v>0</v>
      </c>
      <c r="U136" s="270">
        <f t="shared" si="38"/>
        <v>0</v>
      </c>
      <c r="V136" s="270">
        <f t="shared" si="38"/>
        <v>0</v>
      </c>
      <c r="W136" s="270">
        <f t="shared" si="38"/>
        <v>0</v>
      </c>
      <c r="X136" s="270">
        <f t="shared" si="38"/>
        <v>0</v>
      </c>
      <c r="Y136" s="270">
        <f t="shared" si="38"/>
        <v>0</v>
      </c>
      <c r="Z136" s="270">
        <f t="shared" si="38"/>
        <v>0</v>
      </c>
      <c r="AA136" s="270">
        <f t="shared" si="38"/>
        <v>0</v>
      </c>
      <c r="AB136" s="270">
        <f t="shared" si="38"/>
        <v>0</v>
      </c>
      <c r="AC136" s="270">
        <f t="shared" si="38"/>
        <v>0</v>
      </c>
      <c r="AD136" s="270">
        <f t="shared" si="38"/>
        <v>0</v>
      </c>
      <c r="AE136" s="270">
        <f t="shared" si="38"/>
        <v>0</v>
      </c>
      <c r="AF136" s="270">
        <f t="shared" si="38"/>
        <v>0</v>
      </c>
      <c r="AG136" s="270">
        <f t="shared" si="38"/>
        <v>0</v>
      </c>
      <c r="AH136" s="270">
        <f t="shared" si="38"/>
        <v>0</v>
      </c>
      <c r="AI136" s="270">
        <f t="shared" si="38"/>
        <v>0</v>
      </c>
      <c r="AJ136" s="270">
        <f t="shared" si="38"/>
        <v>0</v>
      </c>
    </row>
    <row r="137" spans="2:36" s="29" customFormat="1" ht="16">
      <c r="B137" s="272" t="s">
        <v>23</v>
      </c>
      <c r="C137" s="272"/>
      <c r="D137" s="272"/>
      <c r="E137" s="273">
        <f>E120</f>
        <v>93750</v>
      </c>
      <c r="F137" s="269"/>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row>
    <row r="138" spans="2:36" s="29" customFormat="1" ht="16">
      <c r="B138" s="274" t="s">
        <v>82</v>
      </c>
      <c r="C138" s="274"/>
      <c r="D138" s="274"/>
      <c r="E138" s="269">
        <f>SUM(E128:E137)</f>
        <v>3750000</v>
      </c>
      <c r="F138" s="275" t="str">
        <f>IF(ROUND(E138,0)=ROUND(E122,0),"OK","error")</f>
        <v>OK</v>
      </c>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row>
    <row r="139" spans="2:36" s="29" customFormat="1" ht="16">
      <c r="B139" s="274"/>
      <c r="C139" s="274"/>
      <c r="D139" s="274"/>
      <c r="E139" s="269"/>
      <c r="F139" s="275"/>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row>
    <row r="140" spans="2:36" s="29" customFormat="1" ht="16">
      <c r="B140" s="261" t="s">
        <v>152</v>
      </c>
      <c r="C140" s="261"/>
      <c r="D140" s="261"/>
      <c r="E140" s="269"/>
      <c r="F140" s="275"/>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row>
    <row r="141" spans="2:36" s="29" customFormat="1" ht="16">
      <c r="B141" s="259" t="s">
        <v>153</v>
      </c>
      <c r="C141" s="259"/>
      <c r="D141" s="259"/>
      <c r="E141" s="269">
        <f>Inputs!$Q$65*Inputs!$G$7</f>
        <v>0</v>
      </c>
      <c r="F141" s="275"/>
      <c r="G141" s="271">
        <f>IF(G$2=Inputs!$Q$64,'Cash Flow'!$E$141,0)</f>
        <v>0</v>
      </c>
      <c r="H141" s="271">
        <f>IF(H$2=Inputs!$Q$64,'Cash Flow'!$E$141,0)</f>
        <v>0</v>
      </c>
      <c r="I141" s="271">
        <f>IF(I$2=Inputs!$Q$64,'Cash Flow'!$E$141,0)</f>
        <v>0</v>
      </c>
      <c r="J141" s="271">
        <f>IF(J$2=Inputs!$Q$64,'Cash Flow'!$E$141,0)</f>
        <v>0</v>
      </c>
      <c r="K141" s="271">
        <f>IF(K$2=Inputs!$Q$64,'Cash Flow'!$E$141,0)</f>
        <v>0</v>
      </c>
      <c r="L141" s="271">
        <f>IF(L$2=Inputs!$Q$64,'Cash Flow'!$E$141,0)</f>
        <v>0</v>
      </c>
      <c r="M141" s="271">
        <f>IF(M$2=Inputs!$Q$64,'Cash Flow'!$E$141,0)</f>
        <v>0</v>
      </c>
      <c r="N141" s="271">
        <f>IF(N$2=Inputs!$Q$64,'Cash Flow'!$E$141,0)</f>
        <v>0</v>
      </c>
      <c r="O141" s="271">
        <f>IF(O$2=Inputs!$Q$64,'Cash Flow'!$E$141,0)</f>
        <v>0</v>
      </c>
      <c r="P141" s="271">
        <f>IF(P$2=Inputs!$Q$64,'Cash Flow'!$E$141,0)</f>
        <v>0</v>
      </c>
      <c r="Q141" s="271">
        <f>IF(Q$2=Inputs!$Q$64,'Cash Flow'!$E$141,0)</f>
        <v>0</v>
      </c>
      <c r="R141" s="271">
        <f>IF(R$2=Inputs!$Q$64,'Cash Flow'!$E$141,0)</f>
        <v>0</v>
      </c>
      <c r="S141" s="271">
        <f>IF(S$2=Inputs!$Q$64,'Cash Flow'!$E$141,0)</f>
        <v>0</v>
      </c>
      <c r="T141" s="271">
        <f>IF(T$2=Inputs!$Q$64,'Cash Flow'!$E$141,0)</f>
        <v>0</v>
      </c>
      <c r="U141" s="271">
        <f>IF(U$2=Inputs!$Q$64,'Cash Flow'!$E$141,0)</f>
        <v>0</v>
      </c>
      <c r="V141" s="271">
        <f>IF(V$2=Inputs!$Q$64,'Cash Flow'!$E$141,0)</f>
        <v>0</v>
      </c>
      <c r="W141" s="271">
        <f>IF(W$2=Inputs!$Q$64,'Cash Flow'!$E$141,0)</f>
        <v>0</v>
      </c>
      <c r="X141" s="271">
        <f>IF(X$2=Inputs!$Q$64,'Cash Flow'!$E$141,0)</f>
        <v>0</v>
      </c>
      <c r="Y141" s="271">
        <f>IF(Y$2=Inputs!$Q$64,'Cash Flow'!$E$141,0)</f>
        <v>0</v>
      </c>
      <c r="Z141" s="271">
        <f>IF(Z$2=Inputs!$Q$64,'Cash Flow'!$E$141,0)</f>
        <v>0</v>
      </c>
      <c r="AA141" s="271">
        <f>IF(AA$2=Inputs!$Q$64,'Cash Flow'!$E$141,0)</f>
        <v>0</v>
      </c>
      <c r="AB141" s="271">
        <f>IF(AB$2=Inputs!$Q$64,'Cash Flow'!$E$141,0)</f>
        <v>0</v>
      </c>
      <c r="AC141" s="271">
        <f>IF(AC$2=Inputs!$Q$64,'Cash Flow'!$E$141,0)</f>
        <v>0</v>
      </c>
      <c r="AD141" s="271">
        <f>IF(AD$2=Inputs!$Q$64,'Cash Flow'!$E$141,0)</f>
        <v>0</v>
      </c>
      <c r="AE141" s="271">
        <f>IF(AE$2=Inputs!$Q$64,'Cash Flow'!$E$141,0)</f>
        <v>0</v>
      </c>
      <c r="AF141" s="271">
        <f>IF(AF$2=Inputs!$Q$64,'Cash Flow'!$E$141,0)</f>
        <v>0</v>
      </c>
      <c r="AG141" s="271">
        <f>IF(AG$2=Inputs!$Q$64,'Cash Flow'!$E$141,0)</f>
        <v>0</v>
      </c>
      <c r="AH141" s="271">
        <f>IF(AH$2=Inputs!$Q$64,'Cash Flow'!$E$141,0)</f>
        <v>0</v>
      </c>
      <c r="AI141" s="271">
        <f>IF(AI$2=Inputs!$Q$64,'Cash Flow'!$E$141,0)</f>
        <v>0</v>
      </c>
      <c r="AJ141" s="271">
        <f>IF(AJ$2=Inputs!$Q$64,'Cash Flow'!$E$141,0)</f>
        <v>0</v>
      </c>
    </row>
    <row r="142" spans="2:36" s="29" customFormat="1" ht="16">
      <c r="B142" s="259" t="s">
        <v>155</v>
      </c>
      <c r="C142" s="259"/>
      <c r="D142" s="259"/>
      <c r="E142" s="269"/>
      <c r="F142" s="275"/>
      <c r="G142" s="276">
        <f>IF(G141&gt;0,1,IF(F142&gt;0,F142+1,0))</f>
        <v>0</v>
      </c>
      <c r="H142" s="276">
        <f t="shared" ref="H142:AJ142" si="39">IF(H141&gt;0,1,IF(G142&gt;0,G142+1,0))</f>
        <v>0</v>
      </c>
      <c r="I142" s="276">
        <f t="shared" si="39"/>
        <v>0</v>
      </c>
      <c r="J142" s="276">
        <f t="shared" si="39"/>
        <v>0</v>
      </c>
      <c r="K142" s="276">
        <f t="shared" si="39"/>
        <v>0</v>
      </c>
      <c r="L142" s="276">
        <f t="shared" si="39"/>
        <v>0</v>
      </c>
      <c r="M142" s="276">
        <f t="shared" si="39"/>
        <v>0</v>
      </c>
      <c r="N142" s="276">
        <f t="shared" si="39"/>
        <v>0</v>
      </c>
      <c r="O142" s="276">
        <f t="shared" si="39"/>
        <v>0</v>
      </c>
      <c r="P142" s="276">
        <f t="shared" si="39"/>
        <v>0</v>
      </c>
      <c r="Q142" s="276">
        <f t="shared" si="39"/>
        <v>0</v>
      </c>
      <c r="R142" s="276">
        <f t="shared" si="39"/>
        <v>0</v>
      </c>
      <c r="S142" s="276">
        <f t="shared" si="39"/>
        <v>0</v>
      </c>
      <c r="T142" s="276">
        <f t="shared" si="39"/>
        <v>0</v>
      </c>
      <c r="U142" s="276">
        <f t="shared" si="39"/>
        <v>0</v>
      </c>
      <c r="V142" s="276">
        <f t="shared" si="39"/>
        <v>0</v>
      </c>
      <c r="W142" s="276">
        <f t="shared" si="39"/>
        <v>0</v>
      </c>
      <c r="X142" s="276">
        <f t="shared" si="39"/>
        <v>0</v>
      </c>
      <c r="Y142" s="276">
        <f t="shared" si="39"/>
        <v>0</v>
      </c>
      <c r="Z142" s="276">
        <f t="shared" si="39"/>
        <v>0</v>
      </c>
      <c r="AA142" s="276">
        <f t="shared" si="39"/>
        <v>0</v>
      </c>
      <c r="AB142" s="276">
        <f t="shared" si="39"/>
        <v>0</v>
      </c>
      <c r="AC142" s="276">
        <f t="shared" si="39"/>
        <v>0</v>
      </c>
      <c r="AD142" s="276">
        <f t="shared" si="39"/>
        <v>0</v>
      </c>
      <c r="AE142" s="276">
        <f t="shared" si="39"/>
        <v>0</v>
      </c>
      <c r="AF142" s="276">
        <f t="shared" si="39"/>
        <v>0</v>
      </c>
      <c r="AG142" s="276">
        <f t="shared" si="39"/>
        <v>0</v>
      </c>
      <c r="AH142" s="276">
        <f t="shared" si="39"/>
        <v>0</v>
      </c>
      <c r="AI142" s="276">
        <f t="shared" si="39"/>
        <v>0</v>
      </c>
      <c r="AJ142" s="276">
        <f t="shared" si="39"/>
        <v>0</v>
      </c>
    </row>
    <row r="143" spans="2:36" s="29" customFormat="1" ht="16">
      <c r="B143" s="272" t="s">
        <v>156</v>
      </c>
      <c r="C143" s="272"/>
      <c r="D143" s="272"/>
      <c r="E143" s="273"/>
      <c r="F143" s="275"/>
      <c r="G143" s="271">
        <f t="shared" ref="G143:AJ143" si="40">IF(G142=0,0,$E$141*LOOKUP(G142,$G$109:$AJ$109,$G$111:$AJ$111))</f>
        <v>0</v>
      </c>
      <c r="H143" s="271">
        <f t="shared" si="40"/>
        <v>0</v>
      </c>
      <c r="I143" s="271">
        <f t="shared" si="40"/>
        <v>0</v>
      </c>
      <c r="J143" s="271">
        <f t="shared" si="40"/>
        <v>0</v>
      </c>
      <c r="K143" s="271">
        <f t="shared" si="40"/>
        <v>0</v>
      </c>
      <c r="L143" s="271">
        <f t="shared" si="40"/>
        <v>0</v>
      </c>
      <c r="M143" s="271">
        <f t="shared" si="40"/>
        <v>0</v>
      </c>
      <c r="N143" s="271">
        <f t="shared" si="40"/>
        <v>0</v>
      </c>
      <c r="O143" s="271">
        <f t="shared" si="40"/>
        <v>0</v>
      </c>
      <c r="P143" s="271">
        <f t="shared" si="40"/>
        <v>0</v>
      </c>
      <c r="Q143" s="271">
        <f t="shared" si="40"/>
        <v>0</v>
      </c>
      <c r="R143" s="271">
        <f t="shared" si="40"/>
        <v>0</v>
      </c>
      <c r="S143" s="271">
        <f t="shared" si="40"/>
        <v>0</v>
      </c>
      <c r="T143" s="271">
        <f t="shared" si="40"/>
        <v>0</v>
      </c>
      <c r="U143" s="271">
        <f t="shared" si="40"/>
        <v>0</v>
      </c>
      <c r="V143" s="271">
        <f t="shared" si="40"/>
        <v>0</v>
      </c>
      <c r="W143" s="271">
        <f t="shared" si="40"/>
        <v>0</v>
      </c>
      <c r="X143" s="271">
        <f t="shared" si="40"/>
        <v>0</v>
      </c>
      <c r="Y143" s="271">
        <f t="shared" si="40"/>
        <v>0</v>
      </c>
      <c r="Z143" s="271">
        <f t="shared" si="40"/>
        <v>0</v>
      </c>
      <c r="AA143" s="271">
        <f t="shared" si="40"/>
        <v>0</v>
      </c>
      <c r="AB143" s="271">
        <f t="shared" si="40"/>
        <v>0</v>
      </c>
      <c r="AC143" s="271">
        <f t="shared" si="40"/>
        <v>0</v>
      </c>
      <c r="AD143" s="271">
        <f t="shared" si="40"/>
        <v>0</v>
      </c>
      <c r="AE143" s="271">
        <f t="shared" si="40"/>
        <v>0</v>
      </c>
      <c r="AF143" s="271">
        <f t="shared" si="40"/>
        <v>0</v>
      </c>
      <c r="AG143" s="271">
        <f t="shared" si="40"/>
        <v>0</v>
      </c>
      <c r="AH143" s="271">
        <f t="shared" si="40"/>
        <v>0</v>
      </c>
      <c r="AI143" s="271">
        <f t="shared" si="40"/>
        <v>0</v>
      </c>
      <c r="AJ143" s="271">
        <f t="shared" si="40"/>
        <v>0</v>
      </c>
    </row>
    <row r="144" spans="2:36" s="29" customFormat="1" ht="16">
      <c r="B144" s="259" t="s">
        <v>154</v>
      </c>
      <c r="C144" s="259"/>
      <c r="D144" s="259"/>
      <c r="E144" s="269">
        <f>Inputs!$Q$67*Inputs!$G$7</f>
        <v>0</v>
      </c>
      <c r="F144" s="275"/>
      <c r="G144" s="271">
        <f>IF(G$2=Inputs!$Q$66,'Cash Flow'!$E$144,0)</f>
        <v>0</v>
      </c>
      <c r="H144" s="271">
        <f>IF(H$2=Inputs!$Q$66,'Cash Flow'!$E$144,0)</f>
        <v>0</v>
      </c>
      <c r="I144" s="271">
        <f>IF(I$2=Inputs!$Q$66,'Cash Flow'!$E$144,0)</f>
        <v>0</v>
      </c>
      <c r="J144" s="271">
        <f>IF(J$2=Inputs!$Q$66,'Cash Flow'!$E$144,0)</f>
        <v>0</v>
      </c>
      <c r="K144" s="271">
        <f>IF(K$2=Inputs!$Q$66,'Cash Flow'!$E$144,0)</f>
        <v>0</v>
      </c>
      <c r="L144" s="271">
        <f>IF(L$2=Inputs!$Q$66,'Cash Flow'!$E$144,0)</f>
        <v>0</v>
      </c>
      <c r="M144" s="271">
        <f>IF(M$2=Inputs!$Q$66,'Cash Flow'!$E$144,0)</f>
        <v>0</v>
      </c>
      <c r="N144" s="271">
        <f>IF(N$2=Inputs!$Q$66,'Cash Flow'!$E$144,0)</f>
        <v>0</v>
      </c>
      <c r="O144" s="271">
        <f>IF(O$2=Inputs!$Q$66,'Cash Flow'!$E$144,0)</f>
        <v>0</v>
      </c>
      <c r="P144" s="271">
        <f>IF(P$2=Inputs!$Q$66,'Cash Flow'!$E$144,0)</f>
        <v>0</v>
      </c>
      <c r="Q144" s="271">
        <f>IF(Q$2=Inputs!$Q$66,'Cash Flow'!$E$144,0)</f>
        <v>0</v>
      </c>
      <c r="R144" s="271">
        <f>IF(R$2=Inputs!$Q$66,'Cash Flow'!$E$144,0)</f>
        <v>0</v>
      </c>
      <c r="S144" s="271">
        <f>IF(S$2=Inputs!$Q$66,'Cash Flow'!$E$144,0)</f>
        <v>0</v>
      </c>
      <c r="T144" s="271">
        <f>IF(T$2=Inputs!$Q$66,'Cash Flow'!$E$144,0)</f>
        <v>0</v>
      </c>
      <c r="U144" s="271">
        <f>IF(U$2=Inputs!$Q$66,'Cash Flow'!$E$144,0)</f>
        <v>0</v>
      </c>
      <c r="V144" s="271">
        <f>IF(V$2=Inputs!$Q$66,'Cash Flow'!$E$144,0)</f>
        <v>0</v>
      </c>
      <c r="W144" s="271">
        <f>IF(W$2=Inputs!$Q$66,'Cash Flow'!$E$144,0)</f>
        <v>0</v>
      </c>
      <c r="X144" s="271">
        <f>IF(X$2=Inputs!$Q$66,'Cash Flow'!$E$144,0)</f>
        <v>0</v>
      </c>
      <c r="Y144" s="271">
        <f>IF(Y$2=Inputs!$Q$66,'Cash Flow'!$E$144,0)</f>
        <v>0</v>
      </c>
      <c r="Z144" s="271">
        <f>IF(Z$2=Inputs!$Q$66,'Cash Flow'!$E$144,0)</f>
        <v>0</v>
      </c>
      <c r="AA144" s="271">
        <f>IF(AA$2=Inputs!$Q$66,'Cash Flow'!$E$144,0)</f>
        <v>0</v>
      </c>
      <c r="AB144" s="271">
        <f>IF(AB$2=Inputs!$Q$66,'Cash Flow'!$E$144,0)</f>
        <v>0</v>
      </c>
      <c r="AC144" s="271">
        <f>IF(AC$2=Inputs!$Q$66,'Cash Flow'!$E$144,0)</f>
        <v>0</v>
      </c>
      <c r="AD144" s="271">
        <f>IF(AD$2=Inputs!$Q$66,'Cash Flow'!$E$144,0)</f>
        <v>0</v>
      </c>
      <c r="AE144" s="271">
        <f>IF(AE$2=Inputs!$Q$66,'Cash Flow'!$E$144,0)</f>
        <v>0</v>
      </c>
      <c r="AF144" s="271">
        <f>IF(AF$2=Inputs!$Q$66,'Cash Flow'!$E$144,0)</f>
        <v>0</v>
      </c>
      <c r="AG144" s="271">
        <f>IF(AG$2=Inputs!$Q$66,'Cash Flow'!$E$144,0)</f>
        <v>0</v>
      </c>
      <c r="AH144" s="271">
        <f>IF(AH$2=Inputs!$Q$66,'Cash Flow'!$E$144,0)</f>
        <v>0</v>
      </c>
      <c r="AI144" s="271">
        <f>IF(AI$2=Inputs!$Q$66,'Cash Flow'!$E$144,0)</f>
        <v>0</v>
      </c>
      <c r="AJ144" s="271">
        <f>IF(AJ$2=Inputs!$Q$66,'Cash Flow'!$E$144,0)</f>
        <v>0</v>
      </c>
    </row>
    <row r="145" spans="2:36" s="29" customFormat="1" ht="16">
      <c r="B145" s="259" t="s">
        <v>155</v>
      </c>
      <c r="C145" s="259"/>
      <c r="D145" s="259"/>
      <c r="E145" s="269"/>
      <c r="F145" s="275"/>
      <c r="G145" s="276">
        <f t="shared" ref="G145:AJ145" si="41">IF(G144&gt;0,1,IF(F145&gt;0,F145+1,0))</f>
        <v>0</v>
      </c>
      <c r="H145" s="276">
        <f t="shared" si="41"/>
        <v>0</v>
      </c>
      <c r="I145" s="276">
        <f t="shared" si="41"/>
        <v>0</v>
      </c>
      <c r="J145" s="276">
        <f t="shared" si="41"/>
        <v>0</v>
      </c>
      <c r="K145" s="276">
        <f t="shared" si="41"/>
        <v>0</v>
      </c>
      <c r="L145" s="276">
        <f t="shared" si="41"/>
        <v>0</v>
      </c>
      <c r="M145" s="276">
        <f t="shared" si="41"/>
        <v>0</v>
      </c>
      <c r="N145" s="276">
        <f t="shared" si="41"/>
        <v>0</v>
      </c>
      <c r="O145" s="276">
        <f t="shared" si="41"/>
        <v>0</v>
      </c>
      <c r="P145" s="276">
        <f t="shared" si="41"/>
        <v>0</v>
      </c>
      <c r="Q145" s="276">
        <f t="shared" si="41"/>
        <v>0</v>
      </c>
      <c r="R145" s="276">
        <f t="shared" si="41"/>
        <v>0</v>
      </c>
      <c r="S145" s="276">
        <f t="shared" si="41"/>
        <v>0</v>
      </c>
      <c r="T145" s="276">
        <f t="shared" si="41"/>
        <v>0</v>
      </c>
      <c r="U145" s="276">
        <f t="shared" si="41"/>
        <v>0</v>
      </c>
      <c r="V145" s="276">
        <f t="shared" si="41"/>
        <v>0</v>
      </c>
      <c r="W145" s="276">
        <f t="shared" si="41"/>
        <v>0</v>
      </c>
      <c r="X145" s="276">
        <f t="shared" si="41"/>
        <v>0</v>
      </c>
      <c r="Y145" s="276">
        <f t="shared" si="41"/>
        <v>0</v>
      </c>
      <c r="Z145" s="276">
        <f t="shared" si="41"/>
        <v>0</v>
      </c>
      <c r="AA145" s="276">
        <f t="shared" si="41"/>
        <v>0</v>
      </c>
      <c r="AB145" s="276">
        <f t="shared" si="41"/>
        <v>0</v>
      </c>
      <c r="AC145" s="276">
        <f t="shared" si="41"/>
        <v>0</v>
      </c>
      <c r="AD145" s="276">
        <f t="shared" si="41"/>
        <v>0</v>
      </c>
      <c r="AE145" s="276">
        <f t="shared" si="41"/>
        <v>0</v>
      </c>
      <c r="AF145" s="276">
        <f t="shared" si="41"/>
        <v>0</v>
      </c>
      <c r="AG145" s="276">
        <f t="shared" si="41"/>
        <v>0</v>
      </c>
      <c r="AH145" s="276">
        <f t="shared" si="41"/>
        <v>0</v>
      </c>
      <c r="AI145" s="276">
        <f t="shared" si="41"/>
        <v>0</v>
      </c>
      <c r="AJ145" s="276">
        <f t="shared" si="41"/>
        <v>0</v>
      </c>
    </row>
    <row r="146" spans="2:36" s="29" customFormat="1" ht="16">
      <c r="B146" s="272" t="s">
        <v>156</v>
      </c>
      <c r="C146" s="272"/>
      <c r="D146" s="272"/>
      <c r="E146" s="273"/>
      <c r="F146" s="275"/>
      <c r="G146" s="271">
        <f t="shared" ref="G146:AJ146" si="42">IF(G145=0,0,$E$144*LOOKUP(G145,$G$109:$AJ$109,$G$111:$AJ$111))</f>
        <v>0</v>
      </c>
      <c r="H146" s="271">
        <f t="shared" si="42"/>
        <v>0</v>
      </c>
      <c r="I146" s="271">
        <f t="shared" si="42"/>
        <v>0</v>
      </c>
      <c r="J146" s="271">
        <f t="shared" si="42"/>
        <v>0</v>
      </c>
      <c r="K146" s="271">
        <f t="shared" si="42"/>
        <v>0</v>
      </c>
      <c r="L146" s="271">
        <f t="shared" si="42"/>
        <v>0</v>
      </c>
      <c r="M146" s="271">
        <f t="shared" si="42"/>
        <v>0</v>
      </c>
      <c r="N146" s="271">
        <f t="shared" si="42"/>
        <v>0</v>
      </c>
      <c r="O146" s="271">
        <f t="shared" si="42"/>
        <v>0</v>
      </c>
      <c r="P146" s="271">
        <f t="shared" si="42"/>
        <v>0</v>
      </c>
      <c r="Q146" s="271">
        <f t="shared" si="42"/>
        <v>0</v>
      </c>
      <c r="R146" s="271">
        <f t="shared" si="42"/>
        <v>0</v>
      </c>
      <c r="S146" s="271">
        <f t="shared" si="42"/>
        <v>0</v>
      </c>
      <c r="T146" s="271">
        <f t="shared" si="42"/>
        <v>0</v>
      </c>
      <c r="U146" s="271">
        <f t="shared" si="42"/>
        <v>0</v>
      </c>
      <c r="V146" s="271">
        <f t="shared" si="42"/>
        <v>0</v>
      </c>
      <c r="W146" s="271">
        <f t="shared" si="42"/>
        <v>0</v>
      </c>
      <c r="X146" s="271">
        <f t="shared" si="42"/>
        <v>0</v>
      </c>
      <c r="Y146" s="271">
        <f t="shared" si="42"/>
        <v>0</v>
      </c>
      <c r="Z146" s="271">
        <f t="shared" si="42"/>
        <v>0</v>
      </c>
      <c r="AA146" s="271">
        <f t="shared" si="42"/>
        <v>0</v>
      </c>
      <c r="AB146" s="271">
        <f t="shared" si="42"/>
        <v>0</v>
      </c>
      <c r="AC146" s="271">
        <f t="shared" si="42"/>
        <v>0</v>
      </c>
      <c r="AD146" s="271">
        <f t="shared" si="42"/>
        <v>0</v>
      </c>
      <c r="AE146" s="271">
        <f t="shared" si="42"/>
        <v>0</v>
      </c>
      <c r="AF146" s="271">
        <f t="shared" si="42"/>
        <v>0</v>
      </c>
      <c r="AG146" s="271">
        <f t="shared" si="42"/>
        <v>0</v>
      </c>
      <c r="AH146" s="271">
        <f t="shared" si="42"/>
        <v>0</v>
      </c>
      <c r="AI146" s="271">
        <f t="shared" si="42"/>
        <v>0</v>
      </c>
      <c r="AJ146" s="271">
        <f t="shared" si="42"/>
        <v>0</v>
      </c>
    </row>
    <row r="147" spans="2:36" s="29" customFormat="1" ht="16">
      <c r="B147" s="259" t="s">
        <v>361</v>
      </c>
      <c r="C147" s="259"/>
      <c r="D147" s="259"/>
      <c r="E147" s="269">
        <f>Inputs!$Q$69*Inputs!$G$7</f>
        <v>0</v>
      </c>
      <c r="F147" s="275"/>
      <c r="G147" s="271">
        <f>IF(G$2=Inputs!$Q$68,'Cash Flow'!$E$147,0)</f>
        <v>0</v>
      </c>
      <c r="H147" s="271">
        <f>IF(H$2=Inputs!$Q$68,'Cash Flow'!$E$147,0)</f>
        <v>0</v>
      </c>
      <c r="I147" s="271">
        <f>IF(I$2=Inputs!$Q$68,'Cash Flow'!$E$147,0)</f>
        <v>0</v>
      </c>
      <c r="J147" s="271">
        <f>IF(J$2=Inputs!$Q$68,'Cash Flow'!$E$147,0)</f>
        <v>0</v>
      </c>
      <c r="K147" s="271">
        <f>IF(K$2=Inputs!$Q$68,'Cash Flow'!$E$147,0)</f>
        <v>0</v>
      </c>
      <c r="L147" s="271">
        <f>IF(L$2=Inputs!$Q$68,'Cash Flow'!$E$147,0)</f>
        <v>0</v>
      </c>
      <c r="M147" s="271">
        <f>IF(M$2=Inputs!$Q$68,'Cash Flow'!$E$147,0)</f>
        <v>0</v>
      </c>
      <c r="N147" s="271">
        <f>IF(N$2=Inputs!$Q$68,'Cash Flow'!$E$147,0)</f>
        <v>0</v>
      </c>
      <c r="O147" s="271">
        <f>IF(O$2=Inputs!$Q$68,'Cash Flow'!$E$147,0)</f>
        <v>0</v>
      </c>
      <c r="P147" s="271">
        <f>IF(P$2=Inputs!$Q$68,'Cash Flow'!$E$147,0)</f>
        <v>0</v>
      </c>
      <c r="Q147" s="271">
        <f>IF(Q$2=Inputs!$Q$68,'Cash Flow'!$E$147,0)</f>
        <v>0</v>
      </c>
      <c r="R147" s="271">
        <f>IF(R$2=Inputs!$Q$68,'Cash Flow'!$E$147,0)</f>
        <v>0</v>
      </c>
      <c r="S147" s="271">
        <f>IF(S$2=Inputs!$Q$68,'Cash Flow'!$E$147,0)</f>
        <v>0</v>
      </c>
      <c r="T147" s="271">
        <f>IF(T$2=Inputs!$Q$68,'Cash Flow'!$E$147,0)</f>
        <v>0</v>
      </c>
      <c r="U147" s="271">
        <f>IF(U$2=Inputs!$Q$68,'Cash Flow'!$E$147,0)</f>
        <v>0</v>
      </c>
      <c r="V147" s="271">
        <f>IF(V$2=Inputs!$Q$68,'Cash Flow'!$E$147,0)</f>
        <v>0</v>
      </c>
      <c r="W147" s="271">
        <f>IF(W$2=Inputs!$Q$68,'Cash Flow'!$E$147,0)</f>
        <v>0</v>
      </c>
      <c r="X147" s="271">
        <f>IF(X$2=Inputs!$Q$68,'Cash Flow'!$E$147,0)</f>
        <v>0</v>
      </c>
      <c r="Y147" s="271">
        <f>IF(Y$2=Inputs!$Q$68,'Cash Flow'!$E$147,0)</f>
        <v>0</v>
      </c>
      <c r="Z147" s="271">
        <f>IF(Z$2=Inputs!$Q$68,'Cash Flow'!$E$147,0)</f>
        <v>0</v>
      </c>
      <c r="AA147" s="271">
        <f>IF(AA$2=Inputs!$Q$68,'Cash Flow'!$E$147,0)</f>
        <v>0</v>
      </c>
      <c r="AB147" s="271">
        <f>IF(AB$2=Inputs!$Q$68,'Cash Flow'!$E$147,0)</f>
        <v>0</v>
      </c>
      <c r="AC147" s="271">
        <f>IF(AC$2=Inputs!$Q$68,'Cash Flow'!$E$147,0)</f>
        <v>0</v>
      </c>
      <c r="AD147" s="271">
        <f>IF(AD$2=Inputs!$Q$68,'Cash Flow'!$E$147,0)</f>
        <v>0</v>
      </c>
      <c r="AE147" s="271">
        <f>IF(AE$2=Inputs!$Q$68,'Cash Flow'!$E$147,0)</f>
        <v>0</v>
      </c>
      <c r="AF147" s="271">
        <f>IF(AF$2=Inputs!$Q$68,'Cash Flow'!$E$147,0)</f>
        <v>0</v>
      </c>
      <c r="AG147" s="271">
        <f>IF(AG$2=Inputs!$Q$68,'Cash Flow'!$E$147,0)</f>
        <v>0</v>
      </c>
      <c r="AH147" s="271">
        <f>IF(AH$2=Inputs!$Q$68,'Cash Flow'!$E$147,0)</f>
        <v>0</v>
      </c>
      <c r="AI147" s="271">
        <f>IF(AI$2=Inputs!$Q$68,'Cash Flow'!$E$147,0)</f>
        <v>0</v>
      </c>
      <c r="AJ147" s="271">
        <f>IF(AJ$2=Inputs!$Q$68,'Cash Flow'!$E$147,0)</f>
        <v>0</v>
      </c>
    </row>
    <row r="148" spans="2:36" s="29" customFormat="1" ht="16">
      <c r="B148" s="259" t="s">
        <v>155</v>
      </c>
      <c r="C148" s="259"/>
      <c r="D148" s="259"/>
      <c r="E148" s="269"/>
      <c r="F148" s="275"/>
      <c r="G148" s="276">
        <f>IF(G147&gt;0,1,IF(F148&gt;0,F148+1,0))</f>
        <v>0</v>
      </c>
      <c r="H148" s="276">
        <f t="shared" ref="H148:AJ148" si="43">IF(H147&gt;0,1,IF(G148&gt;0,G148+1,0))</f>
        <v>0</v>
      </c>
      <c r="I148" s="276">
        <f t="shared" si="43"/>
        <v>0</v>
      </c>
      <c r="J148" s="276">
        <f t="shared" si="43"/>
        <v>0</v>
      </c>
      <c r="K148" s="276">
        <f t="shared" si="43"/>
        <v>0</v>
      </c>
      <c r="L148" s="276">
        <f t="shared" si="43"/>
        <v>0</v>
      </c>
      <c r="M148" s="276">
        <f t="shared" si="43"/>
        <v>0</v>
      </c>
      <c r="N148" s="276">
        <f t="shared" si="43"/>
        <v>0</v>
      </c>
      <c r="O148" s="276">
        <f t="shared" si="43"/>
        <v>0</v>
      </c>
      <c r="P148" s="276">
        <f t="shared" si="43"/>
        <v>0</v>
      </c>
      <c r="Q148" s="276">
        <f t="shared" si="43"/>
        <v>0</v>
      </c>
      <c r="R148" s="276">
        <f t="shared" si="43"/>
        <v>0</v>
      </c>
      <c r="S148" s="276">
        <f t="shared" si="43"/>
        <v>0</v>
      </c>
      <c r="T148" s="276">
        <f t="shared" si="43"/>
        <v>0</v>
      </c>
      <c r="U148" s="276">
        <f t="shared" si="43"/>
        <v>0</v>
      </c>
      <c r="V148" s="276">
        <f t="shared" si="43"/>
        <v>0</v>
      </c>
      <c r="W148" s="276">
        <f t="shared" si="43"/>
        <v>0</v>
      </c>
      <c r="X148" s="276">
        <f t="shared" si="43"/>
        <v>0</v>
      </c>
      <c r="Y148" s="276">
        <f t="shared" si="43"/>
        <v>0</v>
      </c>
      <c r="Z148" s="276">
        <f t="shared" si="43"/>
        <v>0</v>
      </c>
      <c r="AA148" s="276">
        <f t="shared" si="43"/>
        <v>0</v>
      </c>
      <c r="AB148" s="276">
        <f t="shared" si="43"/>
        <v>0</v>
      </c>
      <c r="AC148" s="276">
        <f t="shared" si="43"/>
        <v>0</v>
      </c>
      <c r="AD148" s="276">
        <f t="shared" si="43"/>
        <v>0</v>
      </c>
      <c r="AE148" s="276">
        <f t="shared" si="43"/>
        <v>0</v>
      </c>
      <c r="AF148" s="276">
        <f t="shared" si="43"/>
        <v>0</v>
      </c>
      <c r="AG148" s="276">
        <f t="shared" si="43"/>
        <v>0</v>
      </c>
      <c r="AH148" s="276">
        <f t="shared" si="43"/>
        <v>0</v>
      </c>
      <c r="AI148" s="276">
        <f t="shared" si="43"/>
        <v>0</v>
      </c>
      <c r="AJ148" s="276">
        <f t="shared" si="43"/>
        <v>0</v>
      </c>
    </row>
    <row r="149" spans="2:36" s="29" customFormat="1" ht="16">
      <c r="B149" s="272" t="s">
        <v>156</v>
      </c>
      <c r="C149" s="272"/>
      <c r="D149" s="272"/>
      <c r="E149" s="273"/>
      <c r="F149" s="275"/>
      <c r="G149" s="271">
        <f>IF(G148=0,0,$E$147*LOOKUP(G148,$G$109:$AJ$109,$G$111:$AJ$111))</f>
        <v>0</v>
      </c>
      <c r="H149" s="271">
        <f t="shared" ref="H149:AJ149" si="44">IF(H148=0,0,$E$147*LOOKUP(H148,$G$109:$AJ$109,$G$111:$AJ$111))</f>
        <v>0</v>
      </c>
      <c r="I149" s="271">
        <f t="shared" si="44"/>
        <v>0</v>
      </c>
      <c r="J149" s="271">
        <f t="shared" si="44"/>
        <v>0</v>
      </c>
      <c r="K149" s="271">
        <f t="shared" si="44"/>
        <v>0</v>
      </c>
      <c r="L149" s="271">
        <f t="shared" si="44"/>
        <v>0</v>
      </c>
      <c r="M149" s="271">
        <f t="shared" si="44"/>
        <v>0</v>
      </c>
      <c r="N149" s="271">
        <f t="shared" si="44"/>
        <v>0</v>
      </c>
      <c r="O149" s="271">
        <f t="shared" si="44"/>
        <v>0</v>
      </c>
      <c r="P149" s="271">
        <f t="shared" si="44"/>
        <v>0</v>
      </c>
      <c r="Q149" s="271">
        <f t="shared" si="44"/>
        <v>0</v>
      </c>
      <c r="R149" s="271">
        <f t="shared" si="44"/>
        <v>0</v>
      </c>
      <c r="S149" s="271">
        <f t="shared" si="44"/>
        <v>0</v>
      </c>
      <c r="T149" s="271">
        <f t="shared" si="44"/>
        <v>0</v>
      </c>
      <c r="U149" s="271">
        <f t="shared" si="44"/>
        <v>0</v>
      </c>
      <c r="V149" s="271">
        <f t="shared" si="44"/>
        <v>0</v>
      </c>
      <c r="W149" s="271">
        <f t="shared" si="44"/>
        <v>0</v>
      </c>
      <c r="X149" s="271">
        <f t="shared" si="44"/>
        <v>0</v>
      </c>
      <c r="Y149" s="271">
        <f t="shared" si="44"/>
        <v>0</v>
      </c>
      <c r="Z149" s="271">
        <f t="shared" si="44"/>
        <v>0</v>
      </c>
      <c r="AA149" s="271">
        <f t="shared" si="44"/>
        <v>0</v>
      </c>
      <c r="AB149" s="271">
        <f t="shared" si="44"/>
        <v>0</v>
      </c>
      <c r="AC149" s="271">
        <f t="shared" si="44"/>
        <v>0</v>
      </c>
      <c r="AD149" s="271">
        <f t="shared" si="44"/>
        <v>0</v>
      </c>
      <c r="AE149" s="271">
        <f t="shared" si="44"/>
        <v>0</v>
      </c>
      <c r="AF149" s="271">
        <f t="shared" si="44"/>
        <v>0</v>
      </c>
      <c r="AG149" s="271">
        <f t="shared" si="44"/>
        <v>0</v>
      </c>
      <c r="AH149" s="271">
        <f t="shared" si="44"/>
        <v>0</v>
      </c>
      <c r="AI149" s="271">
        <f t="shared" si="44"/>
        <v>0</v>
      </c>
      <c r="AJ149" s="271">
        <f t="shared" si="44"/>
        <v>0</v>
      </c>
    </row>
    <row r="150" spans="2:36" s="29" customFormat="1" ht="16">
      <c r="B150" s="259" t="s">
        <v>362</v>
      </c>
      <c r="C150" s="259"/>
      <c r="D150" s="259"/>
      <c r="E150" s="269">
        <f>Inputs!$Q$71*Inputs!$G$7</f>
        <v>0</v>
      </c>
      <c r="F150" s="275"/>
      <c r="G150" s="271">
        <f>IF(G$2=Inputs!$Q$70,'Cash Flow'!$E$150,0)</f>
        <v>0</v>
      </c>
      <c r="H150" s="271">
        <f>IF(H$2=Inputs!$Q$70,'Cash Flow'!$E$150,0)</f>
        <v>0</v>
      </c>
      <c r="I150" s="271">
        <f>IF(I$2=Inputs!$Q$70,'Cash Flow'!$E$150,0)</f>
        <v>0</v>
      </c>
      <c r="J150" s="271">
        <f>IF(J$2=Inputs!$Q$70,'Cash Flow'!$E$150,0)</f>
        <v>0</v>
      </c>
      <c r="K150" s="271">
        <f>IF(K$2=Inputs!$Q$70,'Cash Flow'!$E$150,0)</f>
        <v>0</v>
      </c>
      <c r="L150" s="271">
        <f>IF(L$2=Inputs!$Q$70,'Cash Flow'!$E$150,0)</f>
        <v>0</v>
      </c>
      <c r="M150" s="271">
        <f>IF(M$2=Inputs!$Q$70,'Cash Flow'!$E$150,0)</f>
        <v>0</v>
      </c>
      <c r="N150" s="271">
        <f>IF(N$2=Inputs!$Q$70,'Cash Flow'!$E$150,0)</f>
        <v>0</v>
      </c>
      <c r="O150" s="271">
        <f>IF(O$2=Inputs!$Q$70,'Cash Flow'!$E$150,0)</f>
        <v>0</v>
      </c>
      <c r="P150" s="271">
        <f>IF(P$2=Inputs!$Q$70,'Cash Flow'!$E$150,0)</f>
        <v>0</v>
      </c>
      <c r="Q150" s="271">
        <f>IF(Q$2=Inputs!$Q$70,'Cash Flow'!$E$150,0)</f>
        <v>0</v>
      </c>
      <c r="R150" s="271">
        <f>IF(R$2=Inputs!$Q$70,'Cash Flow'!$E$150,0)</f>
        <v>0</v>
      </c>
      <c r="S150" s="271">
        <f>IF(S$2=Inputs!$Q$70,'Cash Flow'!$E$150,0)</f>
        <v>0</v>
      </c>
      <c r="T150" s="271">
        <f>IF(T$2=Inputs!$Q$70,'Cash Flow'!$E$150,0)</f>
        <v>0</v>
      </c>
      <c r="U150" s="271">
        <f>IF(U$2=Inputs!$Q$70,'Cash Flow'!$E$150,0)</f>
        <v>0</v>
      </c>
      <c r="V150" s="271">
        <f>IF(V$2=Inputs!$Q$70,'Cash Flow'!$E$150,0)</f>
        <v>0</v>
      </c>
      <c r="W150" s="271">
        <f>IF(W$2=Inputs!$Q$70,'Cash Flow'!$E$150,0)</f>
        <v>0</v>
      </c>
      <c r="X150" s="271">
        <f>IF(X$2=Inputs!$Q$70,'Cash Flow'!$E$150,0)</f>
        <v>0</v>
      </c>
      <c r="Y150" s="271">
        <f>IF(Y$2=Inputs!$Q$70,'Cash Flow'!$E$150,0)</f>
        <v>0</v>
      </c>
      <c r="Z150" s="271">
        <f>IF(Z$2=Inputs!$Q$70,'Cash Flow'!$E$150,0)</f>
        <v>0</v>
      </c>
      <c r="AA150" s="271">
        <f>IF(AA$2=Inputs!$Q$70,'Cash Flow'!$E$150,0)</f>
        <v>0</v>
      </c>
      <c r="AB150" s="271">
        <f>IF(AB$2=Inputs!$Q$70,'Cash Flow'!$E$150,0)</f>
        <v>0</v>
      </c>
      <c r="AC150" s="271">
        <f>IF(AC$2=Inputs!$Q$70,'Cash Flow'!$E$150,0)</f>
        <v>0</v>
      </c>
      <c r="AD150" s="271">
        <f>IF(AD$2=Inputs!$Q$70,'Cash Flow'!$E$150,0)</f>
        <v>0</v>
      </c>
      <c r="AE150" s="271">
        <f>IF(AE$2=Inputs!$Q$70,'Cash Flow'!$E$150,0)</f>
        <v>0</v>
      </c>
      <c r="AF150" s="271">
        <f>IF(AF$2=Inputs!$Q$70,'Cash Flow'!$E$150,0)</f>
        <v>0</v>
      </c>
      <c r="AG150" s="271">
        <f>IF(AG$2=Inputs!$Q$70,'Cash Flow'!$E$150,0)</f>
        <v>0</v>
      </c>
      <c r="AH150" s="271">
        <f>IF(AH$2=Inputs!$Q$70,'Cash Flow'!$E$150,0)</f>
        <v>0</v>
      </c>
      <c r="AI150" s="271">
        <f>IF(AI$2=Inputs!$Q$70,'Cash Flow'!$E$150,0)</f>
        <v>0</v>
      </c>
      <c r="AJ150" s="271">
        <f>IF(AJ$2=Inputs!$Q$70,'Cash Flow'!$E$150,0)</f>
        <v>0</v>
      </c>
    </row>
    <row r="151" spans="2:36" s="29" customFormat="1" ht="16">
      <c r="B151" s="259" t="s">
        <v>155</v>
      </c>
      <c r="C151" s="259"/>
      <c r="D151" s="259"/>
      <c r="E151" s="269"/>
      <c r="F151" s="275"/>
      <c r="G151" s="276">
        <f>IF(G150&gt;0,1,IF(F151&gt;0,F151+1,0))</f>
        <v>0</v>
      </c>
      <c r="H151" s="276">
        <f t="shared" ref="H151:AJ151" si="45">IF(H150&gt;0,1,IF(G151&gt;0,G151+1,0))</f>
        <v>0</v>
      </c>
      <c r="I151" s="276">
        <f t="shared" si="45"/>
        <v>0</v>
      </c>
      <c r="J151" s="276">
        <f t="shared" si="45"/>
        <v>0</v>
      </c>
      <c r="K151" s="276">
        <f t="shared" si="45"/>
        <v>0</v>
      </c>
      <c r="L151" s="276">
        <f t="shared" si="45"/>
        <v>0</v>
      </c>
      <c r="M151" s="276">
        <f t="shared" si="45"/>
        <v>0</v>
      </c>
      <c r="N151" s="276">
        <f t="shared" si="45"/>
        <v>0</v>
      </c>
      <c r="O151" s="276">
        <f t="shared" si="45"/>
        <v>0</v>
      </c>
      <c r="P151" s="276">
        <f t="shared" si="45"/>
        <v>0</v>
      </c>
      <c r="Q151" s="276">
        <f t="shared" si="45"/>
        <v>0</v>
      </c>
      <c r="R151" s="276">
        <f t="shared" si="45"/>
        <v>0</v>
      </c>
      <c r="S151" s="276">
        <f t="shared" si="45"/>
        <v>0</v>
      </c>
      <c r="T151" s="276">
        <f t="shared" si="45"/>
        <v>0</v>
      </c>
      <c r="U151" s="276">
        <f t="shared" si="45"/>
        <v>0</v>
      </c>
      <c r="V151" s="276">
        <f t="shared" si="45"/>
        <v>0</v>
      </c>
      <c r="W151" s="276">
        <f t="shared" si="45"/>
        <v>0</v>
      </c>
      <c r="X151" s="276">
        <f t="shared" si="45"/>
        <v>0</v>
      </c>
      <c r="Y151" s="276">
        <f t="shared" si="45"/>
        <v>0</v>
      </c>
      <c r="Z151" s="276">
        <f t="shared" si="45"/>
        <v>0</v>
      </c>
      <c r="AA151" s="276">
        <f t="shared" si="45"/>
        <v>0</v>
      </c>
      <c r="AB151" s="276">
        <f t="shared" si="45"/>
        <v>0</v>
      </c>
      <c r="AC151" s="276">
        <f t="shared" si="45"/>
        <v>0</v>
      </c>
      <c r="AD151" s="276">
        <f t="shared" si="45"/>
        <v>0</v>
      </c>
      <c r="AE151" s="276">
        <f t="shared" si="45"/>
        <v>0</v>
      </c>
      <c r="AF151" s="276">
        <f t="shared" si="45"/>
        <v>0</v>
      </c>
      <c r="AG151" s="276">
        <f t="shared" si="45"/>
        <v>0</v>
      </c>
      <c r="AH151" s="276">
        <f t="shared" si="45"/>
        <v>0</v>
      </c>
      <c r="AI151" s="276">
        <f t="shared" si="45"/>
        <v>0</v>
      </c>
      <c r="AJ151" s="276">
        <f t="shared" si="45"/>
        <v>0</v>
      </c>
    </row>
    <row r="152" spans="2:36" s="29" customFormat="1" ht="16">
      <c r="B152" s="272" t="s">
        <v>156</v>
      </c>
      <c r="C152" s="272"/>
      <c r="D152" s="272"/>
      <c r="E152" s="273"/>
      <c r="F152" s="275"/>
      <c r="G152" s="271">
        <f>IF(G151=0,0,$E$150*LOOKUP(G151,$G$109:$AJ$109,$G$111:$AJ$111))</f>
        <v>0</v>
      </c>
      <c r="H152" s="271">
        <f t="shared" ref="H152:AJ152" si="46">IF(H151=0,0,$E$150*LOOKUP(H151,$G$109:$AJ$109,$G$111:$AJ$111))</f>
        <v>0</v>
      </c>
      <c r="I152" s="271">
        <f t="shared" si="46"/>
        <v>0</v>
      </c>
      <c r="J152" s="271">
        <f t="shared" si="46"/>
        <v>0</v>
      </c>
      <c r="K152" s="271">
        <f t="shared" si="46"/>
        <v>0</v>
      </c>
      <c r="L152" s="271">
        <f t="shared" si="46"/>
        <v>0</v>
      </c>
      <c r="M152" s="271">
        <f t="shared" si="46"/>
        <v>0</v>
      </c>
      <c r="N152" s="271">
        <f t="shared" si="46"/>
        <v>0</v>
      </c>
      <c r="O152" s="271">
        <f t="shared" si="46"/>
        <v>0</v>
      </c>
      <c r="P152" s="271">
        <f t="shared" si="46"/>
        <v>0</v>
      </c>
      <c r="Q152" s="271">
        <f t="shared" si="46"/>
        <v>0</v>
      </c>
      <c r="R152" s="271">
        <f t="shared" si="46"/>
        <v>0</v>
      </c>
      <c r="S152" s="271">
        <f t="shared" si="46"/>
        <v>0</v>
      </c>
      <c r="T152" s="271">
        <f t="shared" si="46"/>
        <v>0</v>
      </c>
      <c r="U152" s="271">
        <f t="shared" si="46"/>
        <v>0</v>
      </c>
      <c r="V152" s="271">
        <f t="shared" si="46"/>
        <v>0</v>
      </c>
      <c r="W152" s="271">
        <f t="shared" si="46"/>
        <v>0</v>
      </c>
      <c r="X152" s="271">
        <f t="shared" si="46"/>
        <v>0</v>
      </c>
      <c r="Y152" s="271">
        <f t="shared" si="46"/>
        <v>0</v>
      </c>
      <c r="Z152" s="271">
        <f t="shared" si="46"/>
        <v>0</v>
      </c>
      <c r="AA152" s="271">
        <f t="shared" si="46"/>
        <v>0</v>
      </c>
      <c r="AB152" s="271">
        <f t="shared" si="46"/>
        <v>0</v>
      </c>
      <c r="AC152" s="271">
        <f t="shared" si="46"/>
        <v>0</v>
      </c>
      <c r="AD152" s="271">
        <f t="shared" si="46"/>
        <v>0</v>
      </c>
      <c r="AE152" s="271">
        <f t="shared" si="46"/>
        <v>0</v>
      </c>
      <c r="AF152" s="271">
        <f t="shared" si="46"/>
        <v>0</v>
      </c>
      <c r="AG152" s="271">
        <f t="shared" si="46"/>
        <v>0</v>
      </c>
      <c r="AH152" s="271">
        <f t="shared" si="46"/>
        <v>0</v>
      </c>
      <c r="AI152" s="271">
        <f t="shared" si="46"/>
        <v>0</v>
      </c>
      <c r="AJ152" s="271">
        <f t="shared" si="46"/>
        <v>0</v>
      </c>
    </row>
    <row r="153" spans="2:36" s="29" customFormat="1" ht="16">
      <c r="B153" s="259"/>
      <c r="C153" s="274"/>
      <c r="D153" s="274"/>
      <c r="E153" s="269"/>
      <c r="F153" s="275"/>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row>
    <row r="154" spans="2:36" s="29" customFormat="1" ht="16">
      <c r="B154" s="259" t="s">
        <v>233</v>
      </c>
      <c r="C154" s="259"/>
      <c r="D154" s="259"/>
      <c r="E154" s="268"/>
      <c r="F154" s="307"/>
      <c r="G154" s="277">
        <f>IF(AND(Inputs!$G$84="Yes",G$2&lt;=Inputs!$G$18),SUM('Cash Flow'!G128:G136)+G143+G146+G149+G152,0)</f>
        <v>710156.25</v>
      </c>
      <c r="H154" s="277">
        <f>IF(AND(Inputs!$G$84="Yes",H$2&lt;=Inputs!$G$18),SUM('Cash Flow'!H128:H136)+H143+H146+H149+H152,0)</f>
        <v>1137925.875</v>
      </c>
      <c r="I154" s="277">
        <f>IF(AND(Inputs!$G$84="Yes",I$2&lt;=Inputs!$G$18),SUM('Cash Flow'!I128:I136)+I143+I146+I149+I152,0)</f>
        <v>685988.25</v>
      </c>
      <c r="J154" s="277">
        <f>IF(AND(Inputs!$G$84="Yes",J$2&lt;=Inputs!$G$18),SUM('Cash Flow'!J128:J136)+J143+J146+J149+J152,0)</f>
        <v>414602.625</v>
      </c>
      <c r="K154" s="277">
        <f>IF(AND(Inputs!$G$84="Yes",K$2&lt;=Inputs!$G$18),SUM('Cash Flow'!K128:K136)+K143+K146+K149+K152,0)</f>
        <v>413995.5</v>
      </c>
      <c r="L154" s="277">
        <f>IF(AND(Inputs!$G$84="Yes",L$2&lt;=Inputs!$G$18),SUM('Cash Flow'!L128:L136)+L143+L146+L149+L152,0)</f>
        <v>210401.25</v>
      </c>
      <c r="M154" s="277">
        <f>IF(AND(Inputs!$G$84="Yes",M$2&lt;=Inputs!$G$18),SUM('Cash Flow'!M128:M136)+M143+M146+M149+M152,0)</f>
        <v>7026.75</v>
      </c>
      <c r="N154" s="277">
        <f>IF(AND(Inputs!$G$84="Yes",N$2&lt;=Inputs!$G$18),SUM('Cash Flow'!N128:N136)+N143+N146+N149+N152,0)</f>
        <v>6889.5</v>
      </c>
      <c r="O154" s="277">
        <f>IF(AND(Inputs!$G$84="Yes",O$2&lt;=Inputs!$G$18),SUM('Cash Flow'!O128:O136)+O143+O146+O149+O152,0)</f>
        <v>6872.625</v>
      </c>
      <c r="P154" s="277">
        <f>IF(AND(Inputs!$G$84="Yes",P$2&lt;=Inputs!$G$18),SUM('Cash Flow'!P128:P136)+P143+P146+P149+P152,0)</f>
        <v>6866.625</v>
      </c>
      <c r="Q154" s="277">
        <f>IF(AND(Inputs!$G$84="Yes",Q$2&lt;=Inputs!$G$18),SUM('Cash Flow'!Q128:Q136)+Q143+Q146+Q149+Q152,0)</f>
        <v>6872.625</v>
      </c>
      <c r="R154" s="277">
        <f>IF(AND(Inputs!$G$84="Yes",R$2&lt;=Inputs!$G$18),SUM('Cash Flow'!R128:R136)+R143+R146+R149+R152,0)</f>
        <v>6866.625</v>
      </c>
      <c r="S154" s="277">
        <f>IF(AND(Inputs!$G$84="Yes",S$2&lt;=Inputs!$G$18),SUM('Cash Flow'!S128:S136)+S143+S146+S149+S152,0)</f>
        <v>6872.625</v>
      </c>
      <c r="T154" s="277">
        <f>IF(AND(Inputs!$G$84="Yes",T$2&lt;=Inputs!$G$18),SUM('Cash Flow'!T128:T136)+T143+T146+T149+T152,0)</f>
        <v>6866.625</v>
      </c>
      <c r="U154" s="277">
        <f>IF(AND(Inputs!$G$84="Yes",U$2&lt;=Inputs!$G$18),SUM('Cash Flow'!U128:U136)+U143+U146+U149+U152,0)</f>
        <v>6872.625</v>
      </c>
      <c r="V154" s="277">
        <f>IF(AND(Inputs!$G$84="Yes",V$2&lt;=Inputs!$G$18),SUM('Cash Flow'!V128:V136)+V143+V146+V149+V152,0)</f>
        <v>5207.25</v>
      </c>
      <c r="W154" s="277">
        <f>IF(AND(Inputs!$G$84="Yes",W$2&lt;=Inputs!$G$18),SUM('Cash Flow'!W128:W136)+W143+W146+W149+W152,0)</f>
        <v>3548.25</v>
      </c>
      <c r="X154" s="277">
        <f>IF(AND(Inputs!$G$84="Yes",X$2&lt;=Inputs!$G$18),SUM('Cash Flow'!X128:X136)+X143+X146+X149+X152,0)</f>
        <v>3547.875</v>
      </c>
      <c r="Y154" s="277">
        <f>IF(AND(Inputs!$G$84="Yes",Y$2&lt;=Inputs!$G$18),SUM('Cash Flow'!Y128:Y136)+Y143+Y146+Y149+Y152,0)</f>
        <v>3548.25</v>
      </c>
      <c r="Z154" s="277">
        <f>IF(AND(Inputs!$G$84="Yes",Z$2&lt;=Inputs!$G$18),SUM('Cash Flow'!Z128:Z136)+Z143+Z146+Z149+Z152,0)</f>
        <v>3547.875</v>
      </c>
      <c r="AA154" s="277">
        <f>IF(AND(Inputs!$G$84="Yes",AA$2&lt;=Inputs!$G$18),SUM('Cash Flow'!AA128:AA136)+AA143+AA146+AA149+AA152,0)</f>
        <v>0</v>
      </c>
      <c r="AB154" s="277">
        <f>IF(AND(Inputs!$G$84="Yes",AB$2&lt;=Inputs!$G$18),SUM('Cash Flow'!AB128:AB136)+AB143+AB146+AB149+AB152,0)</f>
        <v>0</v>
      </c>
      <c r="AC154" s="277">
        <f>IF(AND(Inputs!$G$84="Yes",AC$2&lt;=Inputs!$G$18),SUM('Cash Flow'!AC128:AC136)+AC143+AC146+AC149+AC152,0)</f>
        <v>0</v>
      </c>
      <c r="AD154" s="277">
        <f>IF(AND(Inputs!$G$84="Yes",AD$2&lt;=Inputs!$G$18),SUM('Cash Flow'!AD128:AD136)+AD143+AD146+AD149+AD152,0)</f>
        <v>0</v>
      </c>
      <c r="AE154" s="277">
        <f>IF(AND(Inputs!$G$84="Yes",AE$2&lt;=Inputs!$G$18),SUM('Cash Flow'!AE128:AE136)+AE143+AE146+AE149+AE152,0)</f>
        <v>0</v>
      </c>
      <c r="AF154" s="277">
        <f>IF(AND(Inputs!$G$84="Yes",AF$2&lt;=Inputs!$G$18),SUM('Cash Flow'!AF128:AF136)+AF143+AF146+AF149+AF152,0)</f>
        <v>0</v>
      </c>
      <c r="AG154" s="277">
        <f>IF(AND(Inputs!$G$84="Yes",AG$2&lt;=Inputs!$G$18),SUM('Cash Flow'!AG128:AG136)+AG143+AG146+AG149+AG152,0)</f>
        <v>0</v>
      </c>
      <c r="AH154" s="277">
        <f>IF(AND(Inputs!$G$84="Yes",AH$2&lt;=Inputs!$G$18),SUM('Cash Flow'!AH128:AH136)+AH143+AH146+AH149+AH152,0)</f>
        <v>0</v>
      </c>
      <c r="AI154" s="277">
        <f>IF(AND(Inputs!$G$84="Yes",AI$2&lt;=Inputs!$G$18),SUM('Cash Flow'!AI128:AI136)+AI143+AI146+AI149+AI152,0)</f>
        <v>0</v>
      </c>
      <c r="AJ154" s="277">
        <f>IF(AND(Inputs!$G$84="Yes",AJ$2&lt;=Inputs!$G$18),SUM('Cash Flow'!AJ128:AJ136)+AJ143+AJ146+AJ149+AJ152,0)</f>
        <v>0</v>
      </c>
    </row>
    <row r="155" spans="2:36" s="29" customFormat="1" ht="16">
      <c r="B155" s="259"/>
      <c r="C155" s="259"/>
      <c r="D155" s="259"/>
      <c r="E155" s="268"/>
      <c r="F155" s="307"/>
      <c r="G155" s="277"/>
      <c r="H155" s="277"/>
      <c r="I155" s="277"/>
      <c r="J155" s="277"/>
      <c r="K155" s="277"/>
      <c r="L155" s="277"/>
      <c r="M155" s="277"/>
      <c r="N155" s="277"/>
      <c r="O155" s="277"/>
      <c r="P155" s="277"/>
      <c r="Q155" s="277"/>
      <c r="R155" s="277"/>
      <c r="S155" s="277"/>
      <c r="T155" s="277"/>
      <c r="U155" s="277"/>
      <c r="V155" s="277"/>
      <c r="W155" s="277"/>
      <c r="X155" s="277"/>
      <c r="Y155" s="277"/>
      <c r="Z155" s="277"/>
      <c r="AA155" s="277"/>
      <c r="AB155" s="277"/>
      <c r="AC155" s="277"/>
      <c r="AD155" s="277"/>
      <c r="AE155" s="277"/>
      <c r="AF155" s="277"/>
      <c r="AG155" s="277"/>
      <c r="AH155" s="277"/>
      <c r="AI155" s="277"/>
      <c r="AJ155" s="277"/>
    </row>
    <row r="156" spans="2:36" s="29" customFormat="1" ht="16">
      <c r="B156" s="259" t="s">
        <v>187</v>
      </c>
      <c r="C156" s="259"/>
      <c r="D156" s="259"/>
      <c r="E156" s="268"/>
      <c r="F156" s="307"/>
      <c r="G156" s="279">
        <f>G154*Inputs!$G$89</f>
        <v>287790.8203125</v>
      </c>
      <c r="H156" s="279">
        <f>H154*Inputs!$G$89</f>
        <v>461144.46084374998</v>
      </c>
      <c r="I156" s="279">
        <f>I154*Inputs!$G$89</f>
        <v>277996.73831250001</v>
      </c>
      <c r="J156" s="279">
        <f>J154*Inputs!$G$89</f>
        <v>168017.71378125</v>
      </c>
      <c r="K156" s="279">
        <f>K154*Inputs!$G$89</f>
        <v>167771.67637500001</v>
      </c>
      <c r="L156" s="279">
        <f>L154*Inputs!$G$89</f>
        <v>85265.106562500005</v>
      </c>
      <c r="M156" s="279">
        <f>M154*Inputs!$G$89</f>
        <v>2847.5904375</v>
      </c>
      <c r="N156" s="279">
        <f>N154*Inputs!$G$89</f>
        <v>2791.9698749999998</v>
      </c>
      <c r="O156" s="279">
        <f>O154*Inputs!$G$89</f>
        <v>2785.13128125</v>
      </c>
      <c r="P156" s="279">
        <f>P154*Inputs!$G$89</f>
        <v>2782.6997812499999</v>
      </c>
      <c r="Q156" s="279">
        <f>Q154*Inputs!$G$89</f>
        <v>2785.13128125</v>
      </c>
      <c r="R156" s="279">
        <f>R154*Inputs!$G$89</f>
        <v>2782.6997812499999</v>
      </c>
      <c r="S156" s="279">
        <f>S154*Inputs!$G$89</f>
        <v>2785.13128125</v>
      </c>
      <c r="T156" s="279">
        <f>T154*Inputs!$G$89</f>
        <v>2782.6997812499999</v>
      </c>
      <c r="U156" s="279">
        <f>U154*Inputs!$G$89</f>
        <v>2785.13128125</v>
      </c>
      <c r="V156" s="279">
        <f>V154*Inputs!$G$89</f>
        <v>2110.2380625000001</v>
      </c>
      <c r="W156" s="279">
        <f>W154*Inputs!$G$89</f>
        <v>1437.9283124999999</v>
      </c>
      <c r="X156" s="279">
        <f>X154*Inputs!$G$89</f>
        <v>1437.77634375</v>
      </c>
      <c r="Y156" s="279">
        <f>Y154*Inputs!$G$89</f>
        <v>1437.9283124999999</v>
      </c>
      <c r="Z156" s="279">
        <f>Z154*Inputs!$G$89</f>
        <v>1437.77634375</v>
      </c>
      <c r="AA156" s="279">
        <f>AA154*Inputs!$G$89</f>
        <v>0</v>
      </c>
      <c r="AB156" s="279">
        <f>AB154*Inputs!$G$89</f>
        <v>0</v>
      </c>
      <c r="AC156" s="279">
        <f>AC154*Inputs!$G$89</f>
        <v>0</v>
      </c>
      <c r="AD156" s="279">
        <f>AD154*Inputs!$G$89</f>
        <v>0</v>
      </c>
      <c r="AE156" s="279">
        <f>AE154*Inputs!$G$89</f>
        <v>0</v>
      </c>
      <c r="AF156" s="279">
        <f>AF154*Inputs!$G$89</f>
        <v>0</v>
      </c>
      <c r="AG156" s="279">
        <f>AG154*Inputs!$G$89</f>
        <v>0</v>
      </c>
      <c r="AH156" s="279">
        <f>AH154*Inputs!$G$89</f>
        <v>0</v>
      </c>
      <c r="AI156" s="279">
        <f>AI154*Inputs!$G$89</f>
        <v>0</v>
      </c>
      <c r="AJ156" s="279">
        <f>AJ154*Inputs!$G$89</f>
        <v>0</v>
      </c>
    </row>
    <row r="157" spans="2:36" s="29" customFormat="1" ht="17" thickBot="1">
      <c r="B157" s="280"/>
      <c r="C157" s="280"/>
      <c r="D157" s="280"/>
      <c r="E157" s="281"/>
      <c r="F157" s="281"/>
      <c r="G157" s="282"/>
      <c r="H157" s="283"/>
      <c r="I157" s="281"/>
      <c r="J157" s="281"/>
      <c r="K157" s="281"/>
      <c r="L157" s="281"/>
      <c r="M157" s="281"/>
      <c r="N157" s="281"/>
      <c r="O157" s="281"/>
      <c r="P157" s="281"/>
      <c r="Q157" s="281"/>
      <c r="R157" s="281"/>
      <c r="S157" s="281"/>
      <c r="T157" s="281"/>
      <c r="U157" s="281"/>
      <c r="V157" s="281"/>
      <c r="W157" s="281"/>
      <c r="X157" s="281"/>
      <c r="Y157" s="281"/>
      <c r="Z157" s="281"/>
      <c r="AA157" s="281"/>
      <c r="AB157" s="281"/>
      <c r="AC157" s="281"/>
      <c r="AD157" s="281"/>
      <c r="AE157" s="281"/>
      <c r="AF157" s="281"/>
      <c r="AG157" s="281"/>
      <c r="AH157" s="281"/>
      <c r="AI157" s="281"/>
      <c r="AJ157" s="281"/>
    </row>
    <row r="158" spans="2:36">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3"/>
    </row>
    <row r="159" spans="2:36" ht="16">
      <c r="B159" s="258" t="s">
        <v>227</v>
      </c>
      <c r="C159" s="258"/>
      <c r="D159" s="258"/>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row>
    <row r="160" spans="2:36" ht="16">
      <c r="B160" s="259"/>
      <c r="C160" s="259"/>
      <c r="D160" s="259"/>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row>
    <row r="161" spans="2:36" ht="16">
      <c r="B161" s="259" t="s">
        <v>226</v>
      </c>
      <c r="C161" s="259"/>
      <c r="D161" s="259"/>
      <c r="E161" s="303"/>
      <c r="F161" s="303"/>
      <c r="G161" s="279">
        <f>G70</f>
        <v>-434348.04013264133</v>
      </c>
      <c r="H161" s="279">
        <f t="shared" ref="H161:AJ161" si="47">H70</f>
        <v>-860879.09193296928</v>
      </c>
      <c r="I161" s="279">
        <f t="shared" si="47"/>
        <v>-407319.70520932012</v>
      </c>
      <c r="J161" s="279">
        <f t="shared" si="47"/>
        <v>-133896.37699701538</v>
      </c>
      <c r="K161" s="279">
        <f t="shared" si="47"/>
        <v>-130800.44302848954</v>
      </c>
      <c r="L161" s="279">
        <f t="shared" si="47"/>
        <v>75771.468429820612</v>
      </c>
      <c r="M161" s="279">
        <f t="shared" si="47"/>
        <v>282652.99476943922</v>
      </c>
      <c r="N161" s="279">
        <f t="shared" si="47"/>
        <v>286870.11010364245</v>
      </c>
      <c r="O161" s="279">
        <f t="shared" si="47"/>
        <v>291586.33510506799</v>
      </c>
      <c r="P161" s="279">
        <f t="shared" si="47"/>
        <v>296961.21158229728</v>
      </c>
      <c r="Q161" s="279">
        <f t="shared" si="47"/>
        <v>236734.48397820431</v>
      </c>
      <c r="R161" s="279">
        <f t="shared" si="47"/>
        <v>242287.08581779158</v>
      </c>
      <c r="S161" s="279">
        <f t="shared" si="47"/>
        <v>248643.68030019323</v>
      </c>
      <c r="T161" s="279">
        <f t="shared" si="47"/>
        <v>254968.51699213305</v>
      </c>
      <c r="U161" s="279">
        <f t="shared" si="47"/>
        <v>244958.87159664574</v>
      </c>
      <c r="V161" s="279">
        <f t="shared" si="47"/>
        <v>237364.46131237363</v>
      </c>
      <c r="W161" s="279">
        <f t="shared" si="47"/>
        <v>229578.48032241606</v>
      </c>
      <c r="X161" s="279">
        <f t="shared" si="47"/>
        <v>219944.97471265926</v>
      </c>
      <c r="Y161" s="279">
        <f t="shared" si="47"/>
        <v>210118.04149070743</v>
      </c>
      <c r="Z161" s="279">
        <f t="shared" si="47"/>
        <v>198496.76669919112</v>
      </c>
      <c r="AA161" s="279">
        <f t="shared" si="47"/>
        <v>-2.1827872842550277E-13</v>
      </c>
      <c r="AB161" s="279">
        <f t="shared" si="47"/>
        <v>0</v>
      </c>
      <c r="AC161" s="279">
        <f t="shared" si="47"/>
        <v>0</v>
      </c>
      <c r="AD161" s="279">
        <f t="shared" si="47"/>
        <v>0</v>
      </c>
      <c r="AE161" s="279">
        <f t="shared" si="47"/>
        <v>0</v>
      </c>
      <c r="AF161" s="279">
        <f t="shared" si="47"/>
        <v>0</v>
      </c>
      <c r="AG161" s="279">
        <f t="shared" si="47"/>
        <v>0</v>
      </c>
      <c r="AH161" s="279">
        <f t="shared" si="47"/>
        <v>0</v>
      </c>
      <c r="AI161" s="279">
        <f t="shared" si="47"/>
        <v>0</v>
      </c>
      <c r="AJ161" s="279">
        <f t="shared" si="47"/>
        <v>0</v>
      </c>
    </row>
    <row r="162" spans="2:36" ht="16">
      <c r="B162" s="259"/>
      <c r="C162" s="259"/>
      <c r="D162" s="259"/>
      <c r="E162" s="303"/>
      <c r="F162" s="303"/>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79"/>
      <c r="AF162" s="279"/>
      <c r="AG162" s="279"/>
      <c r="AH162" s="279"/>
      <c r="AI162" s="279"/>
      <c r="AJ162" s="279"/>
    </row>
    <row r="163" spans="2:36" ht="16">
      <c r="B163" s="346" t="s">
        <v>284</v>
      </c>
      <c r="C163" s="346"/>
      <c r="D163" s="346"/>
      <c r="E163" s="303"/>
      <c r="F163" s="303"/>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row>
    <row r="164" spans="2:36" ht="16">
      <c r="B164" s="259" t="s">
        <v>229</v>
      </c>
      <c r="C164" s="259"/>
      <c r="D164" s="259"/>
      <c r="E164" s="303"/>
      <c r="F164" s="303"/>
      <c r="G164" s="279">
        <v>0</v>
      </c>
      <c r="H164" s="279">
        <f>G167</f>
        <v>434348.04013264133</v>
      </c>
      <c r="I164" s="279">
        <f t="shared" ref="I164:AJ164" si="48">H167</f>
        <v>1295227.1320656105</v>
      </c>
      <c r="J164" s="279">
        <f t="shared" si="48"/>
        <v>1702546.8372749307</v>
      </c>
      <c r="K164" s="279">
        <f t="shared" si="48"/>
        <v>1836443.2142719461</v>
      </c>
      <c r="L164" s="279">
        <f t="shared" si="48"/>
        <v>1967243.6573004357</v>
      </c>
      <c r="M164" s="279">
        <f t="shared" si="48"/>
        <v>1891472.1888706151</v>
      </c>
      <c r="N164" s="279">
        <f t="shared" si="48"/>
        <v>1608819.1941011758</v>
      </c>
      <c r="O164" s="279">
        <f t="shared" si="48"/>
        <v>1321949.0839975332</v>
      </c>
      <c r="P164" s="279">
        <f t="shared" si="48"/>
        <v>1030362.7488924651</v>
      </c>
      <c r="Q164" s="279">
        <f t="shared" si="48"/>
        <v>733401.53731016791</v>
      </c>
      <c r="R164" s="279">
        <f t="shared" si="48"/>
        <v>496667.0533319636</v>
      </c>
      <c r="S164" s="279">
        <f t="shared" si="48"/>
        <v>254379.96751417202</v>
      </c>
      <c r="T164" s="279">
        <f t="shared" si="48"/>
        <v>5736.2872139787942</v>
      </c>
      <c r="U164" s="279">
        <f t="shared" si="48"/>
        <v>0</v>
      </c>
      <c r="V164" s="279">
        <f t="shared" si="48"/>
        <v>0</v>
      </c>
      <c r="W164" s="279">
        <f t="shared" si="48"/>
        <v>0</v>
      </c>
      <c r="X164" s="279">
        <f t="shared" si="48"/>
        <v>0</v>
      </c>
      <c r="Y164" s="279">
        <f t="shared" si="48"/>
        <v>0</v>
      </c>
      <c r="Z164" s="279">
        <f t="shared" si="48"/>
        <v>0</v>
      </c>
      <c r="AA164" s="279">
        <f t="shared" si="48"/>
        <v>0</v>
      </c>
      <c r="AB164" s="279">
        <f t="shared" si="48"/>
        <v>2.1827872842550277E-13</v>
      </c>
      <c r="AC164" s="279">
        <f t="shared" si="48"/>
        <v>2.1827872842550277E-13</v>
      </c>
      <c r="AD164" s="279">
        <f t="shared" si="48"/>
        <v>2.1827872842550277E-13</v>
      </c>
      <c r="AE164" s="279">
        <f t="shared" si="48"/>
        <v>2.1827872842550277E-13</v>
      </c>
      <c r="AF164" s="279">
        <f t="shared" si="48"/>
        <v>2.1827872842550277E-13</v>
      </c>
      <c r="AG164" s="279">
        <f t="shared" si="48"/>
        <v>2.1827872842550277E-13</v>
      </c>
      <c r="AH164" s="279">
        <f t="shared" si="48"/>
        <v>2.1827872842550277E-13</v>
      </c>
      <c r="AI164" s="279">
        <f t="shared" si="48"/>
        <v>2.1827872842550277E-13</v>
      </c>
      <c r="AJ164" s="279">
        <f t="shared" si="48"/>
        <v>2.1827872842550277E-13</v>
      </c>
    </row>
    <row r="165" spans="2:36" ht="16">
      <c r="B165" s="259" t="s">
        <v>230</v>
      </c>
      <c r="C165" s="259"/>
      <c r="D165" s="259"/>
      <c r="E165" s="303"/>
      <c r="F165" s="303"/>
      <c r="G165" s="279">
        <f>IF(G$161&gt;0,0,-G$161)</f>
        <v>434348.04013264133</v>
      </c>
      <c r="H165" s="279">
        <f t="shared" ref="H165:AJ165" si="49">IF(H$161&gt;0,0,-H$161)</f>
        <v>860879.09193296928</v>
      </c>
      <c r="I165" s="279">
        <f t="shared" si="49"/>
        <v>407319.70520932012</v>
      </c>
      <c r="J165" s="279">
        <f t="shared" si="49"/>
        <v>133896.37699701538</v>
      </c>
      <c r="K165" s="279">
        <f t="shared" si="49"/>
        <v>130800.44302848954</v>
      </c>
      <c r="L165" s="279">
        <f t="shared" si="49"/>
        <v>0</v>
      </c>
      <c r="M165" s="279">
        <f t="shared" si="49"/>
        <v>0</v>
      </c>
      <c r="N165" s="279">
        <f t="shared" si="49"/>
        <v>0</v>
      </c>
      <c r="O165" s="279">
        <f t="shared" si="49"/>
        <v>0</v>
      </c>
      <c r="P165" s="279">
        <f t="shared" si="49"/>
        <v>0</v>
      </c>
      <c r="Q165" s="279">
        <f t="shared" si="49"/>
        <v>0</v>
      </c>
      <c r="R165" s="279">
        <f t="shared" si="49"/>
        <v>0</v>
      </c>
      <c r="S165" s="279">
        <f t="shared" si="49"/>
        <v>0</v>
      </c>
      <c r="T165" s="279">
        <f t="shared" si="49"/>
        <v>0</v>
      </c>
      <c r="U165" s="279">
        <f t="shared" si="49"/>
        <v>0</v>
      </c>
      <c r="V165" s="279">
        <f t="shared" si="49"/>
        <v>0</v>
      </c>
      <c r="W165" s="279">
        <f t="shared" si="49"/>
        <v>0</v>
      </c>
      <c r="X165" s="279">
        <f t="shared" si="49"/>
        <v>0</v>
      </c>
      <c r="Y165" s="279">
        <f t="shared" si="49"/>
        <v>0</v>
      </c>
      <c r="Z165" s="279">
        <f t="shared" si="49"/>
        <v>0</v>
      </c>
      <c r="AA165" s="279">
        <f t="shared" si="49"/>
        <v>2.1827872842550277E-13</v>
      </c>
      <c r="AB165" s="279">
        <f t="shared" si="49"/>
        <v>0</v>
      </c>
      <c r="AC165" s="279">
        <f t="shared" si="49"/>
        <v>0</v>
      </c>
      <c r="AD165" s="279">
        <f t="shared" si="49"/>
        <v>0</v>
      </c>
      <c r="AE165" s="279">
        <f t="shared" si="49"/>
        <v>0</v>
      </c>
      <c r="AF165" s="279">
        <f t="shared" si="49"/>
        <v>0</v>
      </c>
      <c r="AG165" s="279">
        <f t="shared" si="49"/>
        <v>0</v>
      </c>
      <c r="AH165" s="279">
        <f t="shared" si="49"/>
        <v>0</v>
      </c>
      <c r="AI165" s="279">
        <f t="shared" si="49"/>
        <v>0</v>
      </c>
      <c r="AJ165" s="279">
        <f t="shared" si="49"/>
        <v>0</v>
      </c>
    </row>
    <row r="166" spans="2:36" ht="16">
      <c r="B166" s="259" t="s">
        <v>228</v>
      </c>
      <c r="C166" s="259"/>
      <c r="D166" s="259"/>
      <c r="E166" s="303"/>
      <c r="F166" s="303"/>
      <c r="G166" s="279">
        <f t="shared" ref="G166:L166" si="50">IF(G$161&lt;=0,0,-MIN(G$161,F$167))</f>
        <v>0</v>
      </c>
      <c r="H166" s="279">
        <f t="shared" si="50"/>
        <v>0</v>
      </c>
      <c r="I166" s="279">
        <f t="shared" si="50"/>
        <v>0</v>
      </c>
      <c r="J166" s="279">
        <f t="shared" si="50"/>
        <v>0</v>
      </c>
      <c r="K166" s="279">
        <f t="shared" si="50"/>
        <v>0</v>
      </c>
      <c r="L166" s="279">
        <f t="shared" si="50"/>
        <v>-75771.468429820612</v>
      </c>
      <c r="M166" s="279">
        <f>IF(M$161&lt;=0,0,-MIN(M$161,L$167))</f>
        <v>-282652.99476943922</v>
      </c>
      <c r="N166" s="279">
        <f t="shared" ref="N166:AJ166" si="51">IF(N$161&lt;=0,0,-MIN(N$161,M$167))</f>
        <v>-286870.11010364245</v>
      </c>
      <c r="O166" s="279">
        <f t="shared" si="51"/>
        <v>-291586.33510506799</v>
      </c>
      <c r="P166" s="279">
        <f t="shared" si="51"/>
        <v>-296961.21158229728</v>
      </c>
      <c r="Q166" s="279">
        <f t="shared" si="51"/>
        <v>-236734.48397820431</v>
      </c>
      <c r="R166" s="279">
        <f t="shared" si="51"/>
        <v>-242287.08581779158</v>
      </c>
      <c r="S166" s="279">
        <f t="shared" si="51"/>
        <v>-248643.68030019323</v>
      </c>
      <c r="T166" s="279">
        <f t="shared" si="51"/>
        <v>-5736.2872139787942</v>
      </c>
      <c r="U166" s="279">
        <f t="shared" si="51"/>
        <v>0</v>
      </c>
      <c r="V166" s="279">
        <f t="shared" si="51"/>
        <v>0</v>
      </c>
      <c r="W166" s="279">
        <f t="shared" si="51"/>
        <v>0</v>
      </c>
      <c r="X166" s="279">
        <f t="shared" si="51"/>
        <v>0</v>
      </c>
      <c r="Y166" s="279">
        <f t="shared" si="51"/>
        <v>0</v>
      </c>
      <c r="Z166" s="279">
        <f t="shared" si="51"/>
        <v>0</v>
      </c>
      <c r="AA166" s="279">
        <f t="shared" si="51"/>
        <v>0</v>
      </c>
      <c r="AB166" s="279">
        <f t="shared" si="51"/>
        <v>0</v>
      </c>
      <c r="AC166" s="279">
        <f t="shared" si="51"/>
        <v>0</v>
      </c>
      <c r="AD166" s="279">
        <f t="shared" si="51"/>
        <v>0</v>
      </c>
      <c r="AE166" s="279">
        <f t="shared" si="51"/>
        <v>0</v>
      </c>
      <c r="AF166" s="279">
        <f t="shared" si="51"/>
        <v>0</v>
      </c>
      <c r="AG166" s="279">
        <f t="shared" si="51"/>
        <v>0</v>
      </c>
      <c r="AH166" s="279">
        <f t="shared" si="51"/>
        <v>0</v>
      </c>
      <c r="AI166" s="279">
        <f t="shared" si="51"/>
        <v>0</v>
      </c>
      <c r="AJ166" s="279">
        <f t="shared" si="51"/>
        <v>0</v>
      </c>
    </row>
    <row r="167" spans="2:36" ht="16">
      <c r="B167" s="259" t="s">
        <v>231</v>
      </c>
      <c r="C167" s="259"/>
      <c r="D167" s="259"/>
      <c r="E167" s="303"/>
      <c r="F167" s="303"/>
      <c r="G167" s="279">
        <f>SUM(G164:G166)</f>
        <v>434348.04013264133</v>
      </c>
      <c r="H167" s="279">
        <f t="shared" ref="H167:AJ167" si="52">SUM(H164:H166)</f>
        <v>1295227.1320656105</v>
      </c>
      <c r="I167" s="279">
        <f t="shared" si="52"/>
        <v>1702546.8372749307</v>
      </c>
      <c r="J167" s="279">
        <f t="shared" si="52"/>
        <v>1836443.2142719461</v>
      </c>
      <c r="K167" s="279">
        <f t="shared" si="52"/>
        <v>1967243.6573004357</v>
      </c>
      <c r="L167" s="279">
        <f t="shared" si="52"/>
        <v>1891472.1888706151</v>
      </c>
      <c r="M167" s="279">
        <f t="shared" si="52"/>
        <v>1608819.1941011758</v>
      </c>
      <c r="N167" s="279">
        <f t="shared" si="52"/>
        <v>1321949.0839975332</v>
      </c>
      <c r="O167" s="279">
        <f t="shared" si="52"/>
        <v>1030362.7488924651</v>
      </c>
      <c r="P167" s="279">
        <f t="shared" si="52"/>
        <v>733401.53731016791</v>
      </c>
      <c r="Q167" s="279">
        <f t="shared" si="52"/>
        <v>496667.0533319636</v>
      </c>
      <c r="R167" s="279">
        <f t="shared" si="52"/>
        <v>254379.96751417202</v>
      </c>
      <c r="S167" s="279">
        <f t="shared" si="52"/>
        <v>5736.2872139787942</v>
      </c>
      <c r="T167" s="279">
        <f t="shared" si="52"/>
        <v>0</v>
      </c>
      <c r="U167" s="279">
        <f t="shared" si="52"/>
        <v>0</v>
      </c>
      <c r="V167" s="279">
        <f t="shared" si="52"/>
        <v>0</v>
      </c>
      <c r="W167" s="279">
        <f t="shared" si="52"/>
        <v>0</v>
      </c>
      <c r="X167" s="279">
        <f t="shared" si="52"/>
        <v>0</v>
      </c>
      <c r="Y167" s="279">
        <f t="shared" si="52"/>
        <v>0</v>
      </c>
      <c r="Z167" s="279">
        <f t="shared" si="52"/>
        <v>0</v>
      </c>
      <c r="AA167" s="279">
        <f t="shared" si="52"/>
        <v>2.1827872842550277E-13</v>
      </c>
      <c r="AB167" s="279">
        <f t="shared" si="52"/>
        <v>2.1827872842550277E-13</v>
      </c>
      <c r="AC167" s="279">
        <f t="shared" si="52"/>
        <v>2.1827872842550277E-13</v>
      </c>
      <c r="AD167" s="279">
        <f t="shared" si="52"/>
        <v>2.1827872842550277E-13</v>
      </c>
      <c r="AE167" s="279">
        <f t="shared" si="52"/>
        <v>2.1827872842550277E-13</v>
      </c>
      <c r="AF167" s="279">
        <f t="shared" si="52"/>
        <v>2.1827872842550277E-13</v>
      </c>
      <c r="AG167" s="279">
        <f t="shared" si="52"/>
        <v>2.1827872842550277E-13</v>
      </c>
      <c r="AH167" s="279">
        <f t="shared" si="52"/>
        <v>2.1827872842550277E-13</v>
      </c>
      <c r="AI167" s="279">
        <f t="shared" si="52"/>
        <v>2.1827872842550277E-13</v>
      </c>
      <c r="AJ167" s="279">
        <f t="shared" si="52"/>
        <v>2.1827872842550277E-13</v>
      </c>
    </row>
    <row r="168" spans="2:36" ht="16">
      <c r="B168" s="259"/>
      <c r="C168" s="259"/>
      <c r="D168" s="259"/>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c r="AD168" s="303"/>
      <c r="AE168" s="303"/>
      <c r="AF168" s="303"/>
      <c r="AG168" s="303"/>
      <c r="AH168" s="303"/>
      <c r="AI168" s="303"/>
      <c r="AJ168" s="303"/>
    </row>
    <row r="169" spans="2:36" ht="16">
      <c r="B169" s="259" t="s">
        <v>232</v>
      </c>
      <c r="C169" s="259"/>
      <c r="D169" s="259"/>
      <c r="E169" s="303"/>
      <c r="F169" s="303"/>
      <c r="G169" s="279">
        <f>G161+G165+G166</f>
        <v>0</v>
      </c>
      <c r="H169" s="279">
        <f t="shared" ref="H169:AJ169" si="53">H161+H165+H166</f>
        <v>0</v>
      </c>
      <c r="I169" s="279">
        <f t="shared" si="53"/>
        <v>0</v>
      </c>
      <c r="J169" s="279">
        <f t="shared" si="53"/>
        <v>0</v>
      </c>
      <c r="K169" s="279">
        <f t="shared" si="53"/>
        <v>0</v>
      </c>
      <c r="L169" s="279">
        <f t="shared" si="53"/>
        <v>0</v>
      </c>
      <c r="M169" s="279">
        <f t="shared" si="53"/>
        <v>0</v>
      </c>
      <c r="N169" s="279">
        <f t="shared" si="53"/>
        <v>0</v>
      </c>
      <c r="O169" s="279">
        <f t="shared" si="53"/>
        <v>0</v>
      </c>
      <c r="P169" s="279">
        <f t="shared" si="53"/>
        <v>0</v>
      </c>
      <c r="Q169" s="279">
        <f t="shared" si="53"/>
        <v>0</v>
      </c>
      <c r="R169" s="279">
        <f t="shared" si="53"/>
        <v>0</v>
      </c>
      <c r="S169" s="279">
        <f t="shared" si="53"/>
        <v>0</v>
      </c>
      <c r="T169" s="279">
        <f t="shared" si="53"/>
        <v>249232.22977815426</v>
      </c>
      <c r="U169" s="279">
        <f t="shared" si="53"/>
        <v>244958.87159664574</v>
      </c>
      <c r="V169" s="279">
        <f t="shared" si="53"/>
        <v>237364.46131237363</v>
      </c>
      <c r="W169" s="279">
        <f t="shared" si="53"/>
        <v>229578.48032241606</v>
      </c>
      <c r="X169" s="279">
        <f t="shared" si="53"/>
        <v>219944.97471265926</v>
      </c>
      <c r="Y169" s="279">
        <f t="shared" si="53"/>
        <v>210118.04149070743</v>
      </c>
      <c r="Z169" s="279">
        <f t="shared" si="53"/>
        <v>198496.76669919112</v>
      </c>
      <c r="AA169" s="279">
        <f t="shared" si="53"/>
        <v>0</v>
      </c>
      <c r="AB169" s="279">
        <f t="shared" si="53"/>
        <v>0</v>
      </c>
      <c r="AC169" s="279">
        <f t="shared" si="53"/>
        <v>0</v>
      </c>
      <c r="AD169" s="279">
        <f t="shared" si="53"/>
        <v>0</v>
      </c>
      <c r="AE169" s="279">
        <f t="shared" si="53"/>
        <v>0</v>
      </c>
      <c r="AF169" s="279">
        <f t="shared" si="53"/>
        <v>0</v>
      </c>
      <c r="AG169" s="279">
        <f t="shared" si="53"/>
        <v>0</v>
      </c>
      <c r="AH169" s="279">
        <f t="shared" si="53"/>
        <v>0</v>
      </c>
      <c r="AI169" s="279">
        <f t="shared" si="53"/>
        <v>0</v>
      </c>
      <c r="AJ169" s="279">
        <f t="shared" si="53"/>
        <v>0</v>
      </c>
    </row>
    <row r="170" spans="2:36" ht="16">
      <c r="B170" s="259"/>
      <c r="C170" s="259"/>
      <c r="D170" s="259"/>
      <c r="E170" s="303"/>
      <c r="F170" s="303"/>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row>
    <row r="171" spans="2:36" ht="16">
      <c r="B171" s="346" t="s">
        <v>285</v>
      </c>
      <c r="C171" s="346"/>
      <c r="D171" s="346"/>
      <c r="E171" s="303"/>
      <c r="F171" s="303"/>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row>
    <row r="172" spans="2:36" ht="16">
      <c r="B172" s="259" t="s">
        <v>229</v>
      </c>
      <c r="C172" s="259"/>
      <c r="D172" s="259"/>
      <c r="E172" s="303"/>
      <c r="F172" s="303"/>
      <c r="G172" s="279">
        <v>0</v>
      </c>
      <c r="H172" s="279">
        <f>G175</f>
        <v>434348.04013264133</v>
      </c>
      <c r="I172" s="279">
        <f t="shared" ref="I172:AJ172" si="54">H175</f>
        <v>1295227.1320656105</v>
      </c>
      <c r="J172" s="279">
        <f t="shared" si="54"/>
        <v>1702546.8372749307</v>
      </c>
      <c r="K172" s="279">
        <f t="shared" si="54"/>
        <v>1836443.2142719461</v>
      </c>
      <c r="L172" s="279">
        <f t="shared" si="54"/>
        <v>1967243.6573004357</v>
      </c>
      <c r="M172" s="279">
        <f t="shared" si="54"/>
        <v>1891472.1888706151</v>
      </c>
      <c r="N172" s="279">
        <f t="shared" si="54"/>
        <v>1608819.1941011758</v>
      </c>
      <c r="O172" s="279">
        <f t="shared" si="54"/>
        <v>1321949.0839975332</v>
      </c>
      <c r="P172" s="279">
        <f t="shared" si="54"/>
        <v>1030362.7488924651</v>
      </c>
      <c r="Q172" s="279">
        <f t="shared" si="54"/>
        <v>733401.53731016791</v>
      </c>
      <c r="R172" s="279">
        <f t="shared" si="54"/>
        <v>496667.0533319636</v>
      </c>
      <c r="S172" s="279">
        <f t="shared" si="54"/>
        <v>254379.96751417202</v>
      </c>
      <c r="T172" s="279">
        <f t="shared" si="54"/>
        <v>5736.2872139787942</v>
      </c>
      <c r="U172" s="279">
        <f t="shared" si="54"/>
        <v>0</v>
      </c>
      <c r="V172" s="279">
        <f t="shared" si="54"/>
        <v>0</v>
      </c>
      <c r="W172" s="279">
        <f t="shared" si="54"/>
        <v>0</v>
      </c>
      <c r="X172" s="279">
        <f t="shared" si="54"/>
        <v>0</v>
      </c>
      <c r="Y172" s="279">
        <f t="shared" si="54"/>
        <v>0</v>
      </c>
      <c r="Z172" s="279">
        <f t="shared" si="54"/>
        <v>0</v>
      </c>
      <c r="AA172" s="279">
        <f t="shared" si="54"/>
        <v>0</v>
      </c>
      <c r="AB172" s="279">
        <f t="shared" si="54"/>
        <v>2.1827872842550277E-13</v>
      </c>
      <c r="AC172" s="279">
        <f t="shared" si="54"/>
        <v>2.1827872842550277E-13</v>
      </c>
      <c r="AD172" s="279">
        <f t="shared" si="54"/>
        <v>2.1827872842550277E-13</v>
      </c>
      <c r="AE172" s="279">
        <f t="shared" si="54"/>
        <v>2.1827872842550277E-13</v>
      </c>
      <c r="AF172" s="279">
        <f t="shared" si="54"/>
        <v>2.1827872842550277E-13</v>
      </c>
      <c r="AG172" s="279">
        <f t="shared" si="54"/>
        <v>2.1827872842550277E-13</v>
      </c>
      <c r="AH172" s="279">
        <f t="shared" si="54"/>
        <v>2.1827872842550277E-13</v>
      </c>
      <c r="AI172" s="279">
        <f t="shared" si="54"/>
        <v>2.1827872842550277E-13</v>
      </c>
      <c r="AJ172" s="279">
        <f t="shared" si="54"/>
        <v>2.1827872842550277E-13</v>
      </c>
    </row>
    <row r="173" spans="2:36" ht="16">
      <c r="B173" s="259" t="s">
        <v>230</v>
      </c>
      <c r="C173" s="259"/>
      <c r="D173" s="259"/>
      <c r="E173" s="303"/>
      <c r="F173" s="303"/>
      <c r="G173" s="279">
        <f>IF(G$161&gt;0,0,-G$161)</f>
        <v>434348.04013264133</v>
      </c>
      <c r="H173" s="279">
        <f t="shared" ref="H173:AJ173" si="55">IF(H$161&gt;0,0,-H$161)</f>
        <v>860879.09193296928</v>
      </c>
      <c r="I173" s="279">
        <f t="shared" si="55"/>
        <v>407319.70520932012</v>
      </c>
      <c r="J173" s="279">
        <f t="shared" si="55"/>
        <v>133896.37699701538</v>
      </c>
      <c r="K173" s="279">
        <f t="shared" si="55"/>
        <v>130800.44302848954</v>
      </c>
      <c r="L173" s="279">
        <f t="shared" si="55"/>
        <v>0</v>
      </c>
      <c r="M173" s="279">
        <f t="shared" si="55"/>
        <v>0</v>
      </c>
      <c r="N173" s="279">
        <f t="shared" si="55"/>
        <v>0</v>
      </c>
      <c r="O173" s="279">
        <f t="shared" si="55"/>
        <v>0</v>
      </c>
      <c r="P173" s="279">
        <f t="shared" si="55"/>
        <v>0</v>
      </c>
      <c r="Q173" s="279">
        <f t="shared" si="55"/>
        <v>0</v>
      </c>
      <c r="R173" s="279">
        <f t="shared" si="55"/>
        <v>0</v>
      </c>
      <c r="S173" s="279">
        <f t="shared" si="55"/>
        <v>0</v>
      </c>
      <c r="T173" s="279">
        <f t="shared" si="55"/>
        <v>0</v>
      </c>
      <c r="U173" s="279">
        <f t="shared" si="55"/>
        <v>0</v>
      </c>
      <c r="V173" s="279">
        <f t="shared" si="55"/>
        <v>0</v>
      </c>
      <c r="W173" s="279">
        <f t="shared" si="55"/>
        <v>0</v>
      </c>
      <c r="X173" s="279">
        <f t="shared" si="55"/>
        <v>0</v>
      </c>
      <c r="Y173" s="279">
        <f t="shared" si="55"/>
        <v>0</v>
      </c>
      <c r="Z173" s="279">
        <f t="shared" si="55"/>
        <v>0</v>
      </c>
      <c r="AA173" s="279">
        <f t="shared" si="55"/>
        <v>2.1827872842550277E-13</v>
      </c>
      <c r="AB173" s="279">
        <f t="shared" si="55"/>
        <v>0</v>
      </c>
      <c r="AC173" s="279">
        <f t="shared" si="55"/>
        <v>0</v>
      </c>
      <c r="AD173" s="279">
        <f t="shared" si="55"/>
        <v>0</v>
      </c>
      <c r="AE173" s="279">
        <f t="shared" si="55"/>
        <v>0</v>
      </c>
      <c r="AF173" s="279">
        <f t="shared" si="55"/>
        <v>0</v>
      </c>
      <c r="AG173" s="279">
        <f t="shared" si="55"/>
        <v>0</v>
      </c>
      <c r="AH173" s="279">
        <f t="shared" si="55"/>
        <v>0</v>
      </c>
      <c r="AI173" s="279">
        <f t="shared" si="55"/>
        <v>0</v>
      </c>
      <c r="AJ173" s="279">
        <f t="shared" si="55"/>
        <v>0</v>
      </c>
    </row>
    <row r="174" spans="2:36" ht="16">
      <c r="B174" s="259" t="s">
        <v>228</v>
      </c>
      <c r="C174" s="259"/>
      <c r="D174" s="259"/>
      <c r="E174" s="303"/>
      <c r="F174" s="303"/>
      <c r="G174" s="279">
        <f t="shared" ref="G174:AJ174" si="56">IF(G$161&lt;=0,0,-MIN(G$161,F$167))</f>
        <v>0</v>
      </c>
      <c r="H174" s="279">
        <f t="shared" si="56"/>
        <v>0</v>
      </c>
      <c r="I174" s="279">
        <f t="shared" si="56"/>
        <v>0</v>
      </c>
      <c r="J174" s="279">
        <f t="shared" si="56"/>
        <v>0</v>
      </c>
      <c r="K174" s="279">
        <f t="shared" si="56"/>
        <v>0</v>
      </c>
      <c r="L174" s="279">
        <f t="shared" si="56"/>
        <v>-75771.468429820612</v>
      </c>
      <c r="M174" s="279">
        <f t="shared" si="56"/>
        <v>-282652.99476943922</v>
      </c>
      <c r="N174" s="279">
        <f t="shared" si="56"/>
        <v>-286870.11010364245</v>
      </c>
      <c r="O174" s="279">
        <f t="shared" si="56"/>
        <v>-291586.33510506799</v>
      </c>
      <c r="P174" s="279">
        <f t="shared" si="56"/>
        <v>-296961.21158229728</v>
      </c>
      <c r="Q174" s="279">
        <f t="shared" si="56"/>
        <v>-236734.48397820431</v>
      </c>
      <c r="R174" s="279">
        <f t="shared" si="56"/>
        <v>-242287.08581779158</v>
      </c>
      <c r="S174" s="279">
        <f t="shared" si="56"/>
        <v>-248643.68030019323</v>
      </c>
      <c r="T174" s="279">
        <f t="shared" si="56"/>
        <v>-5736.2872139787942</v>
      </c>
      <c r="U174" s="279">
        <f t="shared" si="56"/>
        <v>0</v>
      </c>
      <c r="V174" s="279">
        <f t="shared" si="56"/>
        <v>0</v>
      </c>
      <c r="W174" s="279">
        <f t="shared" si="56"/>
        <v>0</v>
      </c>
      <c r="X174" s="279">
        <f t="shared" si="56"/>
        <v>0</v>
      </c>
      <c r="Y174" s="279">
        <f t="shared" si="56"/>
        <v>0</v>
      </c>
      <c r="Z174" s="279">
        <f t="shared" si="56"/>
        <v>0</v>
      </c>
      <c r="AA174" s="279">
        <f t="shared" si="56"/>
        <v>0</v>
      </c>
      <c r="AB174" s="279">
        <f t="shared" si="56"/>
        <v>0</v>
      </c>
      <c r="AC174" s="279">
        <f t="shared" si="56"/>
        <v>0</v>
      </c>
      <c r="AD174" s="279">
        <f t="shared" si="56"/>
        <v>0</v>
      </c>
      <c r="AE174" s="279">
        <f t="shared" si="56"/>
        <v>0</v>
      </c>
      <c r="AF174" s="279">
        <f t="shared" si="56"/>
        <v>0</v>
      </c>
      <c r="AG174" s="279">
        <f t="shared" si="56"/>
        <v>0</v>
      </c>
      <c r="AH174" s="279">
        <f t="shared" si="56"/>
        <v>0</v>
      </c>
      <c r="AI174" s="279">
        <f t="shared" si="56"/>
        <v>0</v>
      </c>
      <c r="AJ174" s="279">
        <f t="shared" si="56"/>
        <v>0</v>
      </c>
    </row>
    <row r="175" spans="2:36" ht="16">
      <c r="B175" s="259" t="s">
        <v>231</v>
      </c>
      <c r="C175" s="259"/>
      <c r="D175" s="259"/>
      <c r="E175" s="303"/>
      <c r="F175" s="303"/>
      <c r="G175" s="279">
        <f>SUM(G172:G174)</f>
        <v>434348.04013264133</v>
      </c>
      <c r="H175" s="279">
        <f t="shared" ref="H175:AJ175" si="57">SUM(H172:H174)</f>
        <v>1295227.1320656105</v>
      </c>
      <c r="I175" s="279">
        <f t="shared" si="57"/>
        <v>1702546.8372749307</v>
      </c>
      <c r="J175" s="279">
        <f t="shared" si="57"/>
        <v>1836443.2142719461</v>
      </c>
      <c r="K175" s="279">
        <f t="shared" si="57"/>
        <v>1967243.6573004357</v>
      </c>
      <c r="L175" s="279">
        <f t="shared" si="57"/>
        <v>1891472.1888706151</v>
      </c>
      <c r="M175" s="279">
        <f t="shared" si="57"/>
        <v>1608819.1941011758</v>
      </c>
      <c r="N175" s="279">
        <f t="shared" si="57"/>
        <v>1321949.0839975332</v>
      </c>
      <c r="O175" s="279">
        <f t="shared" si="57"/>
        <v>1030362.7488924651</v>
      </c>
      <c r="P175" s="279">
        <f t="shared" si="57"/>
        <v>733401.53731016791</v>
      </c>
      <c r="Q175" s="279">
        <f t="shared" si="57"/>
        <v>496667.0533319636</v>
      </c>
      <c r="R175" s="279">
        <f t="shared" si="57"/>
        <v>254379.96751417202</v>
      </c>
      <c r="S175" s="279">
        <f t="shared" si="57"/>
        <v>5736.2872139787942</v>
      </c>
      <c r="T175" s="279">
        <f t="shared" si="57"/>
        <v>0</v>
      </c>
      <c r="U175" s="279">
        <f t="shared" si="57"/>
        <v>0</v>
      </c>
      <c r="V175" s="279">
        <f t="shared" si="57"/>
        <v>0</v>
      </c>
      <c r="W175" s="279">
        <f t="shared" si="57"/>
        <v>0</v>
      </c>
      <c r="X175" s="279">
        <f t="shared" si="57"/>
        <v>0</v>
      </c>
      <c r="Y175" s="279">
        <f t="shared" si="57"/>
        <v>0</v>
      </c>
      <c r="Z175" s="279">
        <f t="shared" si="57"/>
        <v>0</v>
      </c>
      <c r="AA175" s="279">
        <f t="shared" si="57"/>
        <v>2.1827872842550277E-13</v>
      </c>
      <c r="AB175" s="279">
        <f t="shared" si="57"/>
        <v>2.1827872842550277E-13</v>
      </c>
      <c r="AC175" s="279">
        <f t="shared" si="57"/>
        <v>2.1827872842550277E-13</v>
      </c>
      <c r="AD175" s="279">
        <f t="shared" si="57"/>
        <v>2.1827872842550277E-13</v>
      </c>
      <c r="AE175" s="279">
        <f t="shared" si="57"/>
        <v>2.1827872842550277E-13</v>
      </c>
      <c r="AF175" s="279">
        <f t="shared" si="57"/>
        <v>2.1827872842550277E-13</v>
      </c>
      <c r="AG175" s="279">
        <f t="shared" si="57"/>
        <v>2.1827872842550277E-13</v>
      </c>
      <c r="AH175" s="279">
        <f t="shared" si="57"/>
        <v>2.1827872842550277E-13</v>
      </c>
      <c r="AI175" s="279">
        <f t="shared" si="57"/>
        <v>2.1827872842550277E-13</v>
      </c>
      <c r="AJ175" s="279">
        <f t="shared" si="57"/>
        <v>2.1827872842550277E-13</v>
      </c>
    </row>
    <row r="176" spans="2:36" ht="16">
      <c r="B176" s="259"/>
      <c r="C176" s="259"/>
      <c r="D176" s="259"/>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row>
    <row r="177" spans="2:36" ht="16">
      <c r="B177" s="259" t="s">
        <v>232</v>
      </c>
      <c r="C177" s="259"/>
      <c r="D177" s="259"/>
      <c r="E177" s="303"/>
      <c r="F177" s="303"/>
      <c r="G177" s="279">
        <f>G161+G173+G174</f>
        <v>0</v>
      </c>
      <c r="H177" s="279">
        <f t="shared" ref="H177:AJ177" si="58">H161+H173+H174</f>
        <v>0</v>
      </c>
      <c r="I177" s="279">
        <f t="shared" si="58"/>
        <v>0</v>
      </c>
      <c r="J177" s="279">
        <f t="shared" si="58"/>
        <v>0</v>
      </c>
      <c r="K177" s="279">
        <f t="shared" si="58"/>
        <v>0</v>
      </c>
      <c r="L177" s="279">
        <f t="shared" si="58"/>
        <v>0</v>
      </c>
      <c r="M177" s="279">
        <f t="shared" si="58"/>
        <v>0</v>
      </c>
      <c r="N177" s="279">
        <f t="shared" si="58"/>
        <v>0</v>
      </c>
      <c r="O177" s="279">
        <f t="shared" si="58"/>
        <v>0</v>
      </c>
      <c r="P177" s="279">
        <f t="shared" si="58"/>
        <v>0</v>
      </c>
      <c r="Q177" s="279">
        <f t="shared" si="58"/>
        <v>0</v>
      </c>
      <c r="R177" s="279">
        <f t="shared" si="58"/>
        <v>0</v>
      </c>
      <c r="S177" s="279">
        <f t="shared" si="58"/>
        <v>0</v>
      </c>
      <c r="T177" s="279">
        <f t="shared" si="58"/>
        <v>249232.22977815426</v>
      </c>
      <c r="U177" s="279">
        <f t="shared" si="58"/>
        <v>244958.87159664574</v>
      </c>
      <c r="V177" s="279">
        <f t="shared" si="58"/>
        <v>237364.46131237363</v>
      </c>
      <c r="W177" s="279">
        <f t="shared" si="58"/>
        <v>229578.48032241606</v>
      </c>
      <c r="X177" s="279">
        <f t="shared" si="58"/>
        <v>219944.97471265926</v>
      </c>
      <c r="Y177" s="279">
        <f t="shared" si="58"/>
        <v>210118.04149070743</v>
      </c>
      <c r="Z177" s="279">
        <f t="shared" si="58"/>
        <v>198496.76669919112</v>
      </c>
      <c r="AA177" s="279">
        <f t="shared" si="58"/>
        <v>0</v>
      </c>
      <c r="AB177" s="279">
        <f t="shared" si="58"/>
        <v>0</v>
      </c>
      <c r="AC177" s="279">
        <f t="shared" si="58"/>
        <v>0</v>
      </c>
      <c r="AD177" s="279">
        <f t="shared" si="58"/>
        <v>0</v>
      </c>
      <c r="AE177" s="279">
        <f t="shared" si="58"/>
        <v>0</v>
      </c>
      <c r="AF177" s="279">
        <f t="shared" si="58"/>
        <v>0</v>
      </c>
      <c r="AG177" s="279">
        <f t="shared" si="58"/>
        <v>0</v>
      </c>
      <c r="AH177" s="279">
        <f t="shared" si="58"/>
        <v>0</v>
      </c>
      <c r="AI177" s="279">
        <f t="shared" si="58"/>
        <v>0</v>
      </c>
      <c r="AJ177" s="279">
        <f t="shared" si="58"/>
        <v>0</v>
      </c>
    </row>
    <row r="178" spans="2:36" ht="16" thickBot="1">
      <c r="B178" s="305"/>
      <c r="C178" s="305"/>
      <c r="D178" s="305"/>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05"/>
      <c r="AA178" s="305"/>
      <c r="AB178" s="305"/>
      <c r="AC178" s="305"/>
      <c r="AD178" s="305"/>
      <c r="AE178" s="305"/>
      <c r="AF178" s="305"/>
      <c r="AG178" s="305"/>
      <c r="AH178" s="305"/>
      <c r="AI178" s="305"/>
      <c r="AJ178" s="305"/>
    </row>
    <row r="179" spans="2:36" s="29" customFormat="1" ht="16">
      <c r="B179" s="259"/>
      <c r="C179" s="259"/>
      <c r="D179" s="259"/>
      <c r="E179" s="259"/>
      <c r="F179" s="274"/>
      <c r="G179" s="284"/>
      <c r="H179" s="285"/>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59"/>
      <c r="AE179" s="259"/>
      <c r="AF179" s="259"/>
      <c r="AG179" s="259"/>
      <c r="AH179" s="259"/>
      <c r="AI179" s="259"/>
      <c r="AJ179" s="259"/>
    </row>
    <row r="180" spans="2:36" s="29" customFormat="1" ht="16">
      <c r="B180" s="258" t="s">
        <v>234</v>
      </c>
      <c r="C180" s="258"/>
      <c r="D180" s="258"/>
      <c r="E180" s="259"/>
      <c r="F180" s="274"/>
      <c r="G180" s="284"/>
      <c r="H180" s="285"/>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row>
    <row r="181" spans="2:36" s="29" customFormat="1" ht="16">
      <c r="B181" s="259" t="s">
        <v>235</v>
      </c>
      <c r="C181" s="259"/>
      <c r="D181" s="259"/>
      <c r="E181" s="259"/>
      <c r="F181" s="274"/>
      <c r="G181" s="345">
        <f>IF(OR(Inputs!$G$84="No",Inputs!$Q$33="Performance-Based",Inputs!$Q$33="Neither"),0,IF(AND(Inputs!$Q$34="ITC",G$2=1),Inputs!$Q$37,IF(G$2&gt;1,0,IF(Inputs!$Q$34="Cash Grant",0,"ERROR"))))</f>
        <v>0</v>
      </c>
      <c r="H181" s="345">
        <f>IF(OR(Inputs!$G$84="No",Inputs!$Q$33="Performance-Based",Inputs!$Q$33="Neither"),0,IF(AND(Inputs!$Q$34="ITC",H$2=1),Inputs!$Q$37,IF(H$2&gt;1,0,IF(Inputs!$Q$34="Cash Grant",0,"ERROR"))))</f>
        <v>0</v>
      </c>
      <c r="I181" s="345">
        <f>IF(OR(Inputs!$G$84="No",Inputs!$Q$33="Performance-Based",Inputs!$Q$33="Neither"),0,IF(AND(Inputs!$Q$34="ITC",I$2=1),Inputs!$Q$37,IF(I$2&gt;1,0,IF(Inputs!$Q$34="Cash Grant",0,"ERROR"))))</f>
        <v>0</v>
      </c>
      <c r="J181" s="345">
        <f>IF(OR(Inputs!$G$84="No",Inputs!$Q$33="Performance-Based",Inputs!$Q$33="Neither"),0,IF(AND(Inputs!$Q$34="ITC",J$2=1),Inputs!$Q$37,IF(J$2&gt;1,0,IF(Inputs!$Q$34="Cash Grant",0,"ERROR"))))</f>
        <v>0</v>
      </c>
      <c r="K181" s="345">
        <f>IF(OR(Inputs!$G$84="No",Inputs!$Q$33="Performance-Based",Inputs!$Q$33="Neither"),0,IF(AND(Inputs!$Q$34="ITC",K$2=1),Inputs!$Q$37,IF(K$2&gt;1,0,IF(Inputs!$Q$34="Cash Grant",0,"ERROR"))))</f>
        <v>0</v>
      </c>
      <c r="L181" s="345">
        <f>IF(OR(Inputs!$G$84="No",Inputs!$Q$33="Performance-Based",Inputs!$Q$33="Neither"),0,IF(AND(Inputs!$Q$34="ITC",L$2=1),Inputs!$Q$37,IF(L$2&gt;1,0,IF(Inputs!$Q$34="Cash Grant",0,"ERROR"))))</f>
        <v>0</v>
      </c>
      <c r="M181" s="345">
        <f>IF(OR(Inputs!$G$84="No",Inputs!$Q$33="Performance-Based",Inputs!$Q$33="Neither"),0,IF(AND(Inputs!$Q$34="ITC",M$2=1),Inputs!$Q$37,IF(M$2&gt;1,0,IF(Inputs!$Q$34="Cash Grant",0,"ERROR"))))</f>
        <v>0</v>
      </c>
      <c r="N181" s="345">
        <f>IF(OR(Inputs!$G$84="No",Inputs!$Q$33="Performance-Based",Inputs!$Q$33="Neither"),0,IF(AND(Inputs!$Q$34="ITC",N$2=1),Inputs!$Q$37,IF(N$2&gt;1,0,IF(Inputs!$Q$34="Cash Grant",0,"ERROR"))))</f>
        <v>0</v>
      </c>
      <c r="O181" s="345">
        <f>IF(OR(Inputs!$G$84="No",Inputs!$Q$33="Performance-Based",Inputs!$Q$33="Neither"),0,IF(AND(Inputs!$Q$34="ITC",O$2=1),Inputs!$Q$37,IF(O$2&gt;1,0,IF(Inputs!$Q$34="Cash Grant",0,"ERROR"))))</f>
        <v>0</v>
      </c>
      <c r="P181" s="345">
        <f>IF(OR(Inputs!$G$84="No",Inputs!$Q$33="Performance-Based",Inputs!$Q$33="Neither"),0,IF(AND(Inputs!$Q$34="ITC",P$2=1),Inputs!$Q$37,IF(P$2&gt;1,0,IF(Inputs!$Q$34="Cash Grant",0,"ERROR"))))</f>
        <v>0</v>
      </c>
      <c r="Q181" s="345">
        <f>IF(OR(Inputs!$G$84="No",Inputs!$Q$33="Performance-Based",Inputs!$Q$33="Neither"),0,IF(AND(Inputs!$Q$34="ITC",Q$2=1),Inputs!$Q$37,IF(Q$2&gt;1,0,IF(Inputs!$Q$34="Cash Grant",0,"ERROR"))))</f>
        <v>0</v>
      </c>
      <c r="R181" s="345">
        <f>IF(OR(Inputs!$G$84="No",Inputs!$Q$33="Performance-Based",Inputs!$Q$33="Neither"),0,IF(AND(Inputs!$Q$34="ITC",R$2=1),Inputs!$Q$37,IF(R$2&gt;1,0,IF(Inputs!$Q$34="Cash Grant",0,"ERROR"))))</f>
        <v>0</v>
      </c>
      <c r="S181" s="345">
        <f>IF(OR(Inputs!$G$84="No",Inputs!$Q$33="Performance-Based",Inputs!$Q$33="Neither"),0,IF(AND(Inputs!$Q$34="ITC",S$2=1),Inputs!$Q$37,IF(S$2&gt;1,0,IF(Inputs!$Q$34="Cash Grant",0,"ERROR"))))</f>
        <v>0</v>
      </c>
      <c r="T181" s="345">
        <f>IF(OR(Inputs!$G$84="No",Inputs!$Q$33="Performance-Based",Inputs!$Q$33="Neither"),0,IF(AND(Inputs!$Q$34="ITC",T$2=1),Inputs!$Q$37,IF(T$2&gt;1,0,IF(Inputs!$Q$34="Cash Grant",0,"ERROR"))))</f>
        <v>0</v>
      </c>
      <c r="U181" s="345">
        <f>IF(OR(Inputs!$G$84="No",Inputs!$Q$33="Performance-Based",Inputs!$Q$33="Neither"),0,IF(AND(Inputs!$Q$34="ITC",U$2=1),Inputs!$Q$37,IF(U$2&gt;1,0,IF(Inputs!$Q$34="Cash Grant",0,"ERROR"))))</f>
        <v>0</v>
      </c>
      <c r="V181" s="345">
        <f>IF(OR(Inputs!$G$84="No",Inputs!$Q$33="Performance-Based",Inputs!$Q$33="Neither"),0,IF(AND(Inputs!$Q$34="ITC",V$2=1),Inputs!$Q$37,IF(V$2&gt;1,0,IF(Inputs!$Q$34="Cash Grant",0,"ERROR"))))</f>
        <v>0</v>
      </c>
      <c r="W181" s="345">
        <f>IF(OR(Inputs!$G$84="No",Inputs!$Q$33="Performance-Based",Inputs!$Q$33="Neither"),0,IF(AND(Inputs!$Q$34="ITC",W$2=1),Inputs!$Q$37,IF(W$2&gt;1,0,IF(Inputs!$Q$34="Cash Grant",0,"ERROR"))))</f>
        <v>0</v>
      </c>
      <c r="X181" s="345">
        <f>IF(OR(Inputs!$G$84="No",Inputs!$Q$33="Performance-Based",Inputs!$Q$33="Neither"),0,IF(AND(Inputs!$Q$34="ITC",X$2=1),Inputs!$Q$37,IF(X$2&gt;1,0,IF(Inputs!$Q$34="Cash Grant",0,"ERROR"))))</f>
        <v>0</v>
      </c>
      <c r="Y181" s="345">
        <f>IF(OR(Inputs!$G$84="No",Inputs!$Q$33="Performance-Based",Inputs!$Q$33="Neither"),0,IF(AND(Inputs!$Q$34="ITC",Y$2=1),Inputs!$Q$37,IF(Y$2&gt;1,0,IF(Inputs!$Q$34="Cash Grant",0,"ERROR"))))</f>
        <v>0</v>
      </c>
      <c r="Z181" s="345">
        <f>IF(OR(Inputs!$G$84="No",Inputs!$Q$33="Performance-Based",Inputs!$Q$33="Neither"),0,IF(AND(Inputs!$Q$34="ITC",Z$2=1),Inputs!$Q$37,IF(Z$2&gt;1,0,IF(Inputs!$Q$34="Cash Grant",0,"ERROR"))))</f>
        <v>0</v>
      </c>
      <c r="AA181" s="345">
        <f>IF(OR(Inputs!$G$84="No",Inputs!$Q$33="Performance-Based",Inputs!$Q$33="Neither"),0,IF(AND(Inputs!$Q$34="ITC",AA$2=1),Inputs!$Q$37,IF(AA$2&gt;1,0,IF(Inputs!$Q$34="Cash Grant",0,"ERROR"))))</f>
        <v>0</v>
      </c>
      <c r="AB181" s="345">
        <f>IF(OR(Inputs!$G$84="No",Inputs!$Q$33="Performance-Based",Inputs!$Q$33="Neither"),0,IF(AND(Inputs!$Q$34="ITC",AB$2=1),Inputs!$Q$37,IF(AB$2&gt;1,0,IF(Inputs!$Q$34="Cash Grant",0,"ERROR"))))</f>
        <v>0</v>
      </c>
      <c r="AC181" s="345">
        <f>IF(OR(Inputs!$G$84="No",Inputs!$Q$33="Performance-Based",Inputs!$Q$33="Neither"),0,IF(AND(Inputs!$Q$34="ITC",AC$2=1),Inputs!$Q$37,IF(AC$2&gt;1,0,IF(Inputs!$Q$34="Cash Grant",0,"ERROR"))))</f>
        <v>0</v>
      </c>
      <c r="AD181" s="345">
        <f>IF(OR(Inputs!$G$84="No",Inputs!$Q$33="Performance-Based",Inputs!$Q$33="Neither"),0,IF(AND(Inputs!$Q$34="ITC",AD$2=1),Inputs!$Q$37,IF(AD$2&gt;1,0,IF(Inputs!$Q$34="Cash Grant",0,"ERROR"))))</f>
        <v>0</v>
      </c>
      <c r="AE181" s="345">
        <f>IF(OR(Inputs!$G$84="No",Inputs!$Q$33="Performance-Based",Inputs!$Q$33="Neither"),0,IF(AND(Inputs!$Q$34="ITC",AE$2=1),Inputs!$Q$37,IF(AE$2&gt;1,0,IF(Inputs!$Q$34="Cash Grant",0,"ERROR"))))</f>
        <v>0</v>
      </c>
      <c r="AF181" s="345">
        <f>IF(OR(Inputs!$G$84="No",Inputs!$Q$33="Performance-Based",Inputs!$Q$33="Neither"),0,IF(AND(Inputs!$Q$34="ITC",AF$2=1),Inputs!$Q$37,IF(AF$2&gt;1,0,IF(Inputs!$Q$34="Cash Grant",0,"ERROR"))))</f>
        <v>0</v>
      </c>
      <c r="AG181" s="345">
        <f>IF(OR(Inputs!$G$84="No",Inputs!$Q$33="Performance-Based",Inputs!$Q$33="Neither"),0,IF(AND(Inputs!$Q$34="ITC",AG$2=1),Inputs!$Q$37,IF(AG$2&gt;1,0,IF(Inputs!$Q$34="Cash Grant",0,"ERROR"))))</f>
        <v>0</v>
      </c>
      <c r="AH181" s="345">
        <f>IF(OR(Inputs!$G$84="No",Inputs!$Q$33="Performance-Based",Inputs!$Q$33="Neither"),0,IF(AND(Inputs!$Q$34="ITC",AH$2=1),Inputs!$Q$37,IF(AH$2&gt;1,0,IF(Inputs!$Q$34="Cash Grant",0,"ERROR"))))</f>
        <v>0</v>
      </c>
      <c r="AI181" s="345">
        <f>IF(OR(Inputs!$G$84="No",Inputs!$Q$33="Performance-Based",Inputs!$Q$33="Neither"),0,IF(AND(Inputs!$Q$34="ITC",AI$2=1),Inputs!$Q$37,IF(AI$2&gt;1,0,IF(Inputs!$Q$34="Cash Grant",0,"ERROR"))))</f>
        <v>0</v>
      </c>
      <c r="AJ181" s="345">
        <f>IF(OR(Inputs!$G$84="No",Inputs!$Q$33="Performance-Based",Inputs!$Q$33="Neither"),0,IF(AND(Inputs!$Q$34="ITC",AJ$2=1),Inputs!$Q$37,IF(AJ$2&gt;1,0,IF(Inputs!$Q$34="Cash Grant",0,"ERROR"))))</f>
        <v>0</v>
      </c>
    </row>
    <row r="182" spans="2:36" s="29" customFormat="1" ht="16">
      <c r="B182" s="259" t="s">
        <v>194</v>
      </c>
      <c r="C182" s="259"/>
      <c r="D182" s="259"/>
      <c r="E182" s="259"/>
      <c r="F182" s="274"/>
      <c r="G182" s="279">
        <f>IF(OR(Inputs!$G$84="No",Inputs!$Q$33="Cost-Based",Inputs!$Q$33="Neither"),0,IF(Inputs!$Q$38="Tax Credit",IF(G$2&gt;Inputs!$Q$41,0,Inputs!$Q$39/100*G$12*Inputs!$Q$40*G$5*(1-MIN(Inputs!$Q$43/Inputs!$G$29,50%))),0))</f>
        <v>41706.36</v>
      </c>
      <c r="H182" s="279">
        <f>IF(OR(Inputs!$G$84="No",Inputs!$Q$33="Cost-Based",Inputs!$Q$33="Neither"),0,IF(Inputs!$Q$38="Tax Credit",IF(H$2&gt;Inputs!$Q$41,0,Inputs!$Q$39/100*H$12*Inputs!$Q$40*H$5*(1-MIN(Inputs!$Q$43/Inputs!$G$29,50%))),0))</f>
        <v>42540.487200000003</v>
      </c>
      <c r="I182" s="279">
        <f>IF(OR(Inputs!$G$84="No",Inputs!$Q$33="Cost-Based",Inputs!$Q$33="Neither"),0,IF(Inputs!$Q$38="Tax Credit",IF(I$2&gt;Inputs!$Q$41,0,Inputs!$Q$39/100*I$12*Inputs!$Q$40*I$5*(1-MIN(Inputs!$Q$43/Inputs!$G$29,50%))),0))</f>
        <v>43391.296943999994</v>
      </c>
      <c r="J182" s="279">
        <f>IF(OR(Inputs!$G$84="No",Inputs!$Q$33="Cost-Based",Inputs!$Q$33="Neither"),0,IF(Inputs!$Q$38="Tax Credit",IF(J$2&gt;Inputs!$Q$41,0,Inputs!$Q$39/100*J$12*Inputs!$Q$40*J$5*(1-MIN(Inputs!$Q$43/Inputs!$G$29,50%))),0))</f>
        <v>44259.122882879994</v>
      </c>
      <c r="K182" s="279">
        <f>IF(OR(Inputs!$G$84="No",Inputs!$Q$33="Cost-Based",Inputs!$Q$33="Neither"),0,IF(Inputs!$Q$38="Tax Credit",IF(K$2&gt;Inputs!$Q$41,0,Inputs!$Q$39/100*K$12*Inputs!$Q$40*K$5*(1-MIN(Inputs!$Q$43/Inputs!$G$29,50%))),0))</f>
        <v>45144.305340537598</v>
      </c>
      <c r="L182" s="279">
        <f>IF(OR(Inputs!$G$84="No",Inputs!$Q$33="Cost-Based",Inputs!$Q$33="Neither"),0,IF(Inputs!$Q$38="Tax Credit",IF(L$2&gt;Inputs!$Q$41,0,Inputs!$Q$39/100*L$12*Inputs!$Q$40*L$5*(1-MIN(Inputs!$Q$43/Inputs!$G$29,50%))),0))</f>
        <v>46047.191447348356</v>
      </c>
      <c r="M182" s="279">
        <f>IF(OR(Inputs!$G$84="No",Inputs!$Q$33="Cost-Based",Inputs!$Q$33="Neither"),0,IF(Inputs!$Q$38="Tax Credit",IF(M$2&gt;Inputs!$Q$41,0,Inputs!$Q$39/100*M$12*Inputs!$Q$40*M$5*(1-MIN(Inputs!$Q$43/Inputs!$G$29,50%))),0))</f>
        <v>46968.135276295317</v>
      </c>
      <c r="N182" s="279">
        <f>IF(OR(Inputs!$G$84="No",Inputs!$Q$33="Cost-Based",Inputs!$Q$33="Neither"),0,IF(Inputs!$Q$38="Tax Credit",IF(N$2&gt;Inputs!$Q$41,0,Inputs!$Q$39/100*N$12*Inputs!$Q$40*N$5*(1-MIN(Inputs!$Q$43/Inputs!$G$29,50%))),0))</f>
        <v>47907.49798182123</v>
      </c>
      <c r="O182" s="279">
        <f>IF(OR(Inputs!$G$84="No",Inputs!$Q$33="Cost-Based",Inputs!$Q$33="Neither"),0,IF(Inputs!$Q$38="Tax Credit",IF(O$2&gt;Inputs!$Q$41,0,Inputs!$Q$39/100*O$12*Inputs!$Q$40*O$5*(1-MIN(Inputs!$Q$43/Inputs!$G$29,50%))),0))</f>
        <v>48865.647941457653</v>
      </c>
      <c r="P182" s="279">
        <f>IF(OR(Inputs!$G$84="No",Inputs!$Q$33="Cost-Based",Inputs!$Q$33="Neither"),0,IF(Inputs!$Q$38="Tax Credit",IF(P$2&gt;Inputs!$Q$41,0,Inputs!$Q$39/100*P$12*Inputs!$Q$40*P$5*(1-MIN(Inputs!$Q$43/Inputs!$G$29,50%))),0))</f>
        <v>49842.960900286809</v>
      </c>
      <c r="Q182" s="279">
        <f>IF(OR(Inputs!$G$84="No",Inputs!$Q$33="Cost-Based",Inputs!$Q$33="Neither"),0,IF(Inputs!$Q$38="Tax Credit",IF(Q$2&gt;Inputs!$Q$41,0,Inputs!$Q$39/100*Q$12*Inputs!$Q$40*Q$5*(1-MIN(Inputs!$Q$43/Inputs!$G$29,50%))),0))</f>
        <v>0</v>
      </c>
      <c r="R182" s="279">
        <f>IF(OR(Inputs!$G$84="No",Inputs!$Q$33="Cost-Based",Inputs!$Q$33="Neither"),0,IF(Inputs!$Q$38="Tax Credit",IF(R$2&gt;Inputs!$Q$41,0,Inputs!$Q$39/100*R$12*Inputs!$Q$40*R$5*(1-MIN(Inputs!$Q$43/Inputs!$G$29,50%))),0))</f>
        <v>0</v>
      </c>
      <c r="S182" s="279">
        <f>IF(OR(Inputs!$G$84="No",Inputs!$Q$33="Cost-Based",Inputs!$Q$33="Neither"),0,IF(Inputs!$Q$38="Tax Credit",IF(S$2&gt;Inputs!$Q$41,0,Inputs!$Q$39/100*S$12*Inputs!$Q$40*S$5*(1-MIN(Inputs!$Q$43/Inputs!$G$29,50%))),0))</f>
        <v>0</v>
      </c>
      <c r="T182" s="279">
        <f>IF(OR(Inputs!$G$84="No",Inputs!$Q$33="Cost-Based",Inputs!$Q$33="Neither"),0,IF(Inputs!$Q$38="Tax Credit",IF(T$2&gt;Inputs!$Q$41,0,Inputs!$Q$39/100*T$12*Inputs!$Q$40*T$5*(1-MIN(Inputs!$Q$43/Inputs!$G$29,50%))),0))</f>
        <v>0</v>
      </c>
      <c r="U182" s="279">
        <f>IF(OR(Inputs!$G$84="No",Inputs!$Q$33="Cost-Based",Inputs!$Q$33="Neither"),0,IF(Inputs!$Q$38="Tax Credit",IF(U$2&gt;Inputs!$Q$41,0,Inputs!$Q$39/100*U$12*Inputs!$Q$40*U$5*(1-MIN(Inputs!$Q$43/Inputs!$G$29,50%))),0))</f>
        <v>0</v>
      </c>
      <c r="V182" s="279">
        <f>IF(OR(Inputs!$G$84="No",Inputs!$Q$33="Cost-Based",Inputs!$Q$33="Neither"),0,IF(Inputs!$Q$38="Tax Credit",IF(V$2&gt;Inputs!$Q$41,0,Inputs!$Q$39/100*V$12*Inputs!$Q$40*V$5*(1-MIN(Inputs!$Q$43/Inputs!$G$29,50%))),0))</f>
        <v>0</v>
      </c>
      <c r="W182" s="279">
        <f>IF(OR(Inputs!$G$84="No",Inputs!$Q$33="Cost-Based",Inputs!$Q$33="Neither"),0,IF(Inputs!$Q$38="Tax Credit",IF(W$2&gt;Inputs!$Q$41,0,Inputs!$Q$39/100*W$12*Inputs!$Q$40*W$5*(1-MIN(Inputs!$Q$43/Inputs!$G$29,50%))),0))</f>
        <v>0</v>
      </c>
      <c r="X182" s="279">
        <f>IF(OR(Inputs!$G$84="No",Inputs!$Q$33="Cost-Based",Inputs!$Q$33="Neither"),0,IF(Inputs!$Q$38="Tax Credit",IF(X$2&gt;Inputs!$Q$41,0,Inputs!$Q$39/100*X$12*Inputs!$Q$40*X$5*(1-MIN(Inputs!$Q$43/Inputs!$G$29,50%))),0))</f>
        <v>0</v>
      </c>
      <c r="Y182" s="279">
        <f>IF(OR(Inputs!$G$84="No",Inputs!$Q$33="Cost-Based",Inputs!$Q$33="Neither"),0,IF(Inputs!$Q$38="Tax Credit",IF(Y$2&gt;Inputs!$Q$41,0,Inputs!$Q$39/100*Y$12*Inputs!$Q$40*Y$5*(1-MIN(Inputs!$Q$43/Inputs!$G$29,50%))),0))</f>
        <v>0</v>
      </c>
      <c r="Z182" s="279">
        <f>IF(OR(Inputs!$G$84="No",Inputs!$Q$33="Cost-Based",Inputs!$Q$33="Neither"),0,IF(Inputs!$Q$38="Tax Credit",IF(Z$2&gt;Inputs!$Q$41,0,Inputs!$Q$39/100*Z$12*Inputs!$Q$40*Z$5*(1-MIN(Inputs!$Q$43/Inputs!$G$29,50%))),0))</f>
        <v>0</v>
      </c>
      <c r="AA182" s="279">
        <f>IF(OR(Inputs!$G$84="No",Inputs!$Q$33="Cost-Based",Inputs!$Q$33="Neither"),0,IF(Inputs!$Q$38="Tax Credit",IF(AA$2&gt;Inputs!$Q$41,0,Inputs!$Q$39/100*AA$12*Inputs!$Q$40*AA$5*(1-MIN(Inputs!$Q$43/Inputs!$G$29,50%))),0))</f>
        <v>0</v>
      </c>
      <c r="AB182" s="279">
        <f>IF(OR(Inputs!$G$84="No",Inputs!$Q$33="Cost-Based",Inputs!$Q$33="Neither"),0,IF(Inputs!$Q$38="Tax Credit",IF(AB$2&gt;Inputs!$Q$41,0,Inputs!$Q$39/100*AB$12*Inputs!$Q$40*AB$5*(1-MIN(Inputs!$Q$43/Inputs!$G$29,50%))),0))</f>
        <v>0</v>
      </c>
      <c r="AC182" s="279">
        <f>IF(OR(Inputs!$G$84="No",Inputs!$Q$33="Cost-Based",Inputs!$Q$33="Neither"),0,IF(Inputs!$Q$38="Tax Credit",IF(AC$2&gt;Inputs!$Q$41,0,Inputs!$Q$39/100*AC$12*Inputs!$Q$40*AC$5*(1-MIN(Inputs!$Q$43/Inputs!$G$29,50%))),0))</f>
        <v>0</v>
      </c>
      <c r="AD182" s="279">
        <f>IF(OR(Inputs!$G$84="No",Inputs!$Q$33="Cost-Based",Inputs!$Q$33="Neither"),0,IF(Inputs!$Q$38="Tax Credit",IF(AD$2&gt;Inputs!$Q$41,0,Inputs!$Q$39/100*AD$12*Inputs!$Q$40*AD$5*(1-MIN(Inputs!$Q$43/Inputs!$G$29,50%))),0))</f>
        <v>0</v>
      </c>
      <c r="AE182" s="279">
        <f>IF(OR(Inputs!$G$84="No",Inputs!$Q$33="Cost-Based",Inputs!$Q$33="Neither"),0,IF(Inputs!$Q$38="Tax Credit",IF(AE$2&gt;Inputs!$Q$41,0,Inputs!$Q$39/100*AE$12*Inputs!$Q$40*AE$5*(1-MIN(Inputs!$Q$43/Inputs!$G$29,50%))),0))</f>
        <v>0</v>
      </c>
      <c r="AF182" s="279">
        <f>IF(OR(Inputs!$G$84="No",Inputs!$Q$33="Cost-Based",Inputs!$Q$33="Neither"),0,IF(Inputs!$Q$38="Tax Credit",IF(AF$2&gt;Inputs!$Q$41,0,Inputs!$Q$39/100*AF$12*Inputs!$Q$40*AF$5*(1-MIN(Inputs!$Q$43/Inputs!$G$29,50%))),0))</f>
        <v>0</v>
      </c>
      <c r="AG182" s="279">
        <f>IF(OR(Inputs!$G$84="No",Inputs!$Q$33="Cost-Based",Inputs!$Q$33="Neither"),0,IF(Inputs!$Q$38="Tax Credit",IF(AG$2&gt;Inputs!$Q$41,0,Inputs!$Q$39/100*AG$12*Inputs!$Q$40*AG$5*(1-MIN(Inputs!$Q$43/Inputs!$G$29,50%))),0))</f>
        <v>0</v>
      </c>
      <c r="AH182" s="279">
        <f>IF(OR(Inputs!$G$84="No",Inputs!$Q$33="Cost-Based",Inputs!$Q$33="Neither"),0,IF(Inputs!$Q$38="Tax Credit",IF(AH$2&gt;Inputs!$Q$41,0,Inputs!$Q$39/100*AH$12*Inputs!$Q$40*AH$5*(1-MIN(Inputs!$Q$43/Inputs!$G$29,50%))),0))</f>
        <v>0</v>
      </c>
      <c r="AI182" s="279">
        <f>IF(OR(Inputs!$G$84="No",Inputs!$Q$33="Cost-Based",Inputs!$Q$33="Neither"),0,IF(Inputs!$Q$38="Tax Credit",IF(AI$2&gt;Inputs!$Q$41,0,Inputs!$Q$39/100*AI$12*Inputs!$Q$40*AI$5*(1-MIN(Inputs!$Q$43/Inputs!$G$29,50%))),0))</f>
        <v>0</v>
      </c>
      <c r="AJ182" s="279">
        <f>IF(OR(Inputs!$G$84="No",Inputs!$Q$33="Cost-Based",Inputs!$Q$33="Neither"),0,IF(Inputs!$Q$38="Tax Credit",IF(AJ$2&gt;Inputs!$Q$41,0,Inputs!$Q$39/100*AJ$12*Inputs!$Q$40*AJ$5*(1-MIN(Inputs!$Q$43/Inputs!$G$29,50%))),0))</f>
        <v>0</v>
      </c>
    </row>
    <row r="183" spans="2:36" s="29" customFormat="1" ht="16">
      <c r="B183" s="259"/>
      <c r="C183" s="259"/>
      <c r="D183" s="259"/>
      <c r="E183" s="259"/>
      <c r="F183" s="274"/>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row>
    <row r="184" spans="2:36" s="29" customFormat="1" ht="16">
      <c r="B184" s="259" t="s">
        <v>237</v>
      </c>
      <c r="C184" s="259"/>
      <c r="D184" s="259"/>
      <c r="E184" s="259"/>
      <c r="F184" s="274"/>
      <c r="G184" s="279">
        <f>SUM(G181:G182)</f>
        <v>41706.36</v>
      </c>
      <c r="H184" s="279">
        <f t="shared" ref="H184:AJ184" si="59">SUM(H181:H182)</f>
        <v>42540.487200000003</v>
      </c>
      <c r="I184" s="279">
        <f t="shared" si="59"/>
        <v>43391.296943999994</v>
      </c>
      <c r="J184" s="279">
        <f t="shared" si="59"/>
        <v>44259.122882879994</v>
      </c>
      <c r="K184" s="279">
        <f t="shared" si="59"/>
        <v>45144.305340537598</v>
      </c>
      <c r="L184" s="279">
        <f t="shared" si="59"/>
        <v>46047.191447348356</v>
      </c>
      <c r="M184" s="279">
        <f t="shared" si="59"/>
        <v>46968.135276295317</v>
      </c>
      <c r="N184" s="279">
        <f t="shared" si="59"/>
        <v>47907.49798182123</v>
      </c>
      <c r="O184" s="279">
        <f t="shared" si="59"/>
        <v>48865.647941457653</v>
      </c>
      <c r="P184" s="279">
        <f t="shared" si="59"/>
        <v>49842.960900286809</v>
      </c>
      <c r="Q184" s="279">
        <f t="shared" si="59"/>
        <v>0</v>
      </c>
      <c r="R184" s="279">
        <f t="shared" si="59"/>
        <v>0</v>
      </c>
      <c r="S184" s="279">
        <f t="shared" si="59"/>
        <v>0</v>
      </c>
      <c r="T184" s="279">
        <f t="shared" si="59"/>
        <v>0</v>
      </c>
      <c r="U184" s="279">
        <f t="shared" si="59"/>
        <v>0</v>
      </c>
      <c r="V184" s="279">
        <f t="shared" si="59"/>
        <v>0</v>
      </c>
      <c r="W184" s="279">
        <f t="shared" si="59"/>
        <v>0</v>
      </c>
      <c r="X184" s="279">
        <f t="shared" si="59"/>
        <v>0</v>
      </c>
      <c r="Y184" s="279">
        <f t="shared" si="59"/>
        <v>0</v>
      </c>
      <c r="Z184" s="279">
        <f t="shared" si="59"/>
        <v>0</v>
      </c>
      <c r="AA184" s="279">
        <f t="shared" si="59"/>
        <v>0</v>
      </c>
      <c r="AB184" s="279">
        <f t="shared" si="59"/>
        <v>0</v>
      </c>
      <c r="AC184" s="279">
        <f t="shared" si="59"/>
        <v>0</v>
      </c>
      <c r="AD184" s="279">
        <f t="shared" si="59"/>
        <v>0</v>
      </c>
      <c r="AE184" s="279">
        <f t="shared" si="59"/>
        <v>0</v>
      </c>
      <c r="AF184" s="279">
        <f t="shared" si="59"/>
        <v>0</v>
      </c>
      <c r="AG184" s="279">
        <f t="shared" si="59"/>
        <v>0</v>
      </c>
      <c r="AH184" s="279">
        <f t="shared" si="59"/>
        <v>0</v>
      </c>
      <c r="AI184" s="279">
        <f t="shared" si="59"/>
        <v>0</v>
      </c>
      <c r="AJ184" s="279">
        <f t="shared" si="59"/>
        <v>0</v>
      </c>
    </row>
    <row r="185" spans="2:36" s="29" customFormat="1" ht="16">
      <c r="B185" s="259"/>
      <c r="C185" s="259"/>
      <c r="D185" s="259"/>
      <c r="E185" s="259"/>
      <c r="F185" s="274"/>
      <c r="G185" s="279"/>
      <c r="H185" s="279"/>
      <c r="I185" s="279"/>
      <c r="J185" s="279"/>
      <c r="K185" s="279"/>
      <c r="L185" s="279"/>
      <c r="M185" s="279"/>
      <c r="N185" s="279"/>
      <c r="O185" s="279"/>
      <c r="P185" s="279"/>
      <c r="Q185" s="279"/>
      <c r="R185" s="279"/>
      <c r="S185" s="279"/>
      <c r="T185" s="279"/>
      <c r="U185" s="279"/>
      <c r="V185" s="279"/>
      <c r="W185" s="279"/>
      <c r="X185" s="279"/>
      <c r="Y185" s="279"/>
      <c r="Z185" s="279"/>
      <c r="AA185" s="279"/>
      <c r="AB185" s="279"/>
      <c r="AC185" s="279"/>
      <c r="AD185" s="279"/>
      <c r="AE185" s="279"/>
      <c r="AF185" s="279"/>
      <c r="AG185" s="279"/>
      <c r="AH185" s="279"/>
      <c r="AI185" s="279"/>
      <c r="AJ185" s="279"/>
    </row>
    <row r="186" spans="2:36" s="29" customFormat="1" ht="16">
      <c r="B186" s="346" t="s">
        <v>238</v>
      </c>
      <c r="C186" s="346"/>
      <c r="D186" s="346"/>
      <c r="E186" s="259"/>
      <c r="F186" s="274"/>
      <c r="G186" s="279"/>
      <c r="H186" s="279"/>
      <c r="I186" s="279"/>
      <c r="J186" s="279"/>
      <c r="K186" s="279"/>
      <c r="L186" s="279"/>
      <c r="M186" s="279"/>
      <c r="N186" s="279"/>
      <c r="O186" s="279"/>
      <c r="P186" s="279"/>
      <c r="Q186" s="279"/>
      <c r="R186" s="279"/>
      <c r="S186" s="279"/>
      <c r="T186" s="279"/>
      <c r="U186" s="279"/>
      <c r="V186" s="279"/>
      <c r="W186" s="279"/>
      <c r="X186" s="279"/>
      <c r="Y186" s="279"/>
      <c r="Z186" s="279"/>
      <c r="AA186" s="279"/>
      <c r="AB186" s="279"/>
      <c r="AC186" s="279"/>
      <c r="AD186" s="279"/>
      <c r="AE186" s="279"/>
      <c r="AF186" s="279"/>
      <c r="AG186" s="279"/>
      <c r="AH186" s="279"/>
      <c r="AI186" s="279"/>
      <c r="AJ186" s="279"/>
    </row>
    <row r="187" spans="2:36" s="29" customFormat="1" ht="16">
      <c r="B187" s="259" t="str">
        <f>B75</f>
        <v>Federal Income Taxes Saved / (Paid), before ITC/PTC</v>
      </c>
      <c r="C187" s="259"/>
      <c r="D187" s="259"/>
      <c r="E187" s="259"/>
      <c r="F187" s="274"/>
      <c r="G187" s="279" t="str">
        <f>IF(Inputs!$G$86="as generated","N/A",'Cash Flow'!G75)</f>
        <v>N/A</v>
      </c>
      <c r="H187" s="279" t="str">
        <f>IF(Inputs!$G$86="as generated","N/A",'Cash Flow'!H75)</f>
        <v>N/A</v>
      </c>
      <c r="I187" s="279" t="str">
        <f>IF(Inputs!$G$86="as generated","N/A",'Cash Flow'!I75)</f>
        <v>N/A</v>
      </c>
      <c r="J187" s="279" t="str">
        <f>IF(Inputs!$G$86="as generated","N/A",'Cash Flow'!J75)</f>
        <v>N/A</v>
      </c>
      <c r="K187" s="279" t="str">
        <f>IF(Inputs!$G$86="as generated","N/A",'Cash Flow'!K75)</f>
        <v>N/A</v>
      </c>
      <c r="L187" s="279" t="str">
        <f>IF(Inputs!$G$86="as generated","N/A",'Cash Flow'!L75)</f>
        <v>N/A</v>
      </c>
      <c r="M187" s="279" t="str">
        <f>IF(Inputs!$G$86="as generated","N/A",'Cash Flow'!M75)</f>
        <v>N/A</v>
      </c>
      <c r="N187" s="279" t="str">
        <f>IF(Inputs!$G$86="as generated","N/A",'Cash Flow'!N75)</f>
        <v>N/A</v>
      </c>
      <c r="O187" s="279" t="str">
        <f>IF(Inputs!$G$86="as generated","N/A",'Cash Flow'!O75)</f>
        <v>N/A</v>
      </c>
      <c r="P187" s="279" t="str">
        <f>IF(Inputs!$G$86="as generated","N/A",'Cash Flow'!P75)</f>
        <v>N/A</v>
      </c>
      <c r="Q187" s="279" t="str">
        <f>IF(Inputs!$G$86="as generated","N/A",'Cash Flow'!Q75)</f>
        <v>N/A</v>
      </c>
      <c r="R187" s="279" t="str">
        <f>IF(Inputs!$G$86="as generated","N/A",'Cash Flow'!R75)</f>
        <v>N/A</v>
      </c>
      <c r="S187" s="279" t="str">
        <f>IF(Inputs!$G$86="as generated","N/A",'Cash Flow'!S75)</f>
        <v>N/A</v>
      </c>
      <c r="T187" s="279" t="str">
        <f>IF(Inputs!$G$86="as generated","N/A",'Cash Flow'!T75)</f>
        <v>N/A</v>
      </c>
      <c r="U187" s="279" t="str">
        <f>IF(Inputs!$G$86="as generated","N/A",'Cash Flow'!U75)</f>
        <v>N/A</v>
      </c>
      <c r="V187" s="279" t="str">
        <f>IF(Inputs!$G$86="as generated","N/A",'Cash Flow'!V75)</f>
        <v>N/A</v>
      </c>
      <c r="W187" s="279" t="str">
        <f>IF(Inputs!$G$86="as generated","N/A",'Cash Flow'!W75)</f>
        <v>N/A</v>
      </c>
      <c r="X187" s="279" t="str">
        <f>IF(Inputs!$G$86="as generated","N/A",'Cash Flow'!X75)</f>
        <v>N/A</v>
      </c>
      <c r="Y187" s="279" t="str">
        <f>IF(Inputs!$G$86="as generated","N/A",'Cash Flow'!Y75)</f>
        <v>N/A</v>
      </c>
      <c r="Z187" s="279" t="str">
        <f>IF(Inputs!$G$86="as generated","N/A",'Cash Flow'!Z75)</f>
        <v>N/A</v>
      </c>
      <c r="AA187" s="279" t="str">
        <f>IF(Inputs!$G$86="as generated","N/A",'Cash Flow'!AA75)</f>
        <v>N/A</v>
      </c>
      <c r="AB187" s="279" t="str">
        <f>IF(Inputs!$G$86="as generated","N/A",'Cash Flow'!AB75)</f>
        <v>N/A</v>
      </c>
      <c r="AC187" s="279" t="str">
        <f>IF(Inputs!$G$86="as generated","N/A",'Cash Flow'!AC75)</f>
        <v>N/A</v>
      </c>
      <c r="AD187" s="279" t="str">
        <f>IF(Inputs!$G$86="as generated","N/A",'Cash Flow'!AD75)</f>
        <v>N/A</v>
      </c>
      <c r="AE187" s="279" t="str">
        <f>IF(Inputs!$G$86="as generated","N/A",'Cash Flow'!AE75)</f>
        <v>N/A</v>
      </c>
      <c r="AF187" s="279" t="str">
        <f>IF(Inputs!$G$86="as generated","N/A",'Cash Flow'!AF75)</f>
        <v>N/A</v>
      </c>
      <c r="AG187" s="279" t="str">
        <f>IF(Inputs!$G$86="as generated","N/A",'Cash Flow'!AG75)</f>
        <v>N/A</v>
      </c>
      <c r="AH187" s="279" t="str">
        <f>IF(Inputs!$G$86="as generated","N/A",'Cash Flow'!AH75)</f>
        <v>N/A</v>
      </c>
      <c r="AI187" s="279" t="str">
        <f>IF(Inputs!$G$86="as generated","N/A",'Cash Flow'!AI75)</f>
        <v>N/A</v>
      </c>
      <c r="AJ187" s="279" t="str">
        <f>IF(Inputs!$G$86="as generated","N/A",'Cash Flow'!AJ75)</f>
        <v>N/A</v>
      </c>
    </row>
    <row r="188" spans="2:36" s="29" customFormat="1" ht="16">
      <c r="B188" s="259"/>
      <c r="C188" s="259"/>
      <c r="D188" s="259"/>
      <c r="E188" s="259"/>
      <c r="F188" s="274"/>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row>
    <row r="189" spans="2:36" s="29" customFormat="1" ht="16">
      <c r="B189" s="259" t="s">
        <v>275</v>
      </c>
      <c r="C189" s="259"/>
      <c r="D189" s="259"/>
      <c r="E189" s="259"/>
      <c r="F189" s="274"/>
      <c r="G189" s="279">
        <v>0</v>
      </c>
      <c r="H189" s="279">
        <f>IF(Inputs!$G$86="as generated",0,G192)</f>
        <v>0</v>
      </c>
      <c r="I189" s="279">
        <f>IF(Inputs!$G$86="as generated",0,H192)</f>
        <v>0</v>
      </c>
      <c r="J189" s="279">
        <f>IF(Inputs!$G$86="as generated",0,I192)</f>
        <v>0</v>
      </c>
      <c r="K189" s="279">
        <f>IF(Inputs!$G$86="as generated",0,J192)</f>
        <v>0</v>
      </c>
      <c r="L189" s="279">
        <f>IF(Inputs!$G$86="as generated",0,K192)</f>
        <v>0</v>
      </c>
      <c r="M189" s="279">
        <f>IF(Inputs!$G$86="as generated",0,L192)</f>
        <v>0</v>
      </c>
      <c r="N189" s="279">
        <f>IF(Inputs!$G$86="as generated",0,M192)</f>
        <v>0</v>
      </c>
      <c r="O189" s="279">
        <f>IF(Inputs!$G$86="as generated",0,N192)</f>
        <v>0</v>
      </c>
      <c r="P189" s="279">
        <f>IF(Inputs!$G$86="as generated",0,O192)</f>
        <v>0</v>
      </c>
      <c r="Q189" s="279">
        <f>IF(Inputs!$G$86="as generated",0,P192)</f>
        <v>0</v>
      </c>
      <c r="R189" s="279">
        <f>IF(Inputs!$G$86="as generated",0,Q192)</f>
        <v>0</v>
      </c>
      <c r="S189" s="279">
        <f>IF(Inputs!$G$86="as generated",0,R192)</f>
        <v>0</v>
      </c>
      <c r="T189" s="279">
        <f>IF(Inputs!$G$86="as generated",0,S192)</f>
        <v>0</v>
      </c>
      <c r="U189" s="279">
        <f>IF(Inputs!$G$86="as generated",0,T192)</f>
        <v>0</v>
      </c>
      <c r="V189" s="279">
        <f>IF(Inputs!$G$86="as generated",0,U192)</f>
        <v>0</v>
      </c>
      <c r="W189" s="279">
        <f>IF(Inputs!$G$86="as generated",0,V192)</f>
        <v>0</v>
      </c>
      <c r="X189" s="279">
        <f>IF(Inputs!$G$86="as generated",0,W192)</f>
        <v>0</v>
      </c>
      <c r="Y189" s="279">
        <f>IF(Inputs!$G$86="as generated",0,X192)</f>
        <v>0</v>
      </c>
      <c r="Z189" s="279">
        <f>IF(Inputs!$G$86="as generated",0,Y192)</f>
        <v>0</v>
      </c>
      <c r="AA189" s="279">
        <f>IF(Inputs!$G$86="as generated",0,Z192)</f>
        <v>0</v>
      </c>
      <c r="AB189" s="279">
        <f>IF(Inputs!$G$86="as generated",0,AA192)</f>
        <v>0</v>
      </c>
      <c r="AC189" s="279">
        <f>IF(Inputs!$G$86="as generated",0,AB192)</f>
        <v>0</v>
      </c>
      <c r="AD189" s="279">
        <f>IF(Inputs!$G$86="as generated",0,AC192)</f>
        <v>0</v>
      </c>
      <c r="AE189" s="279">
        <f>IF(Inputs!$G$86="as generated",0,AD192)</f>
        <v>0</v>
      </c>
      <c r="AF189" s="279">
        <f>IF(Inputs!$G$86="as generated",0,AE192)</f>
        <v>0</v>
      </c>
      <c r="AG189" s="279">
        <f>IF(Inputs!$G$86="as generated",0,AF192)</f>
        <v>0</v>
      </c>
      <c r="AH189" s="279">
        <f>IF(Inputs!$G$86="as generated",0,AG192)</f>
        <v>0</v>
      </c>
      <c r="AI189" s="279">
        <f>IF(Inputs!$G$86="as generated",0,AH192)</f>
        <v>0</v>
      </c>
      <c r="AJ189" s="279">
        <f>IF(Inputs!$G$86="as generated",0,AI192)</f>
        <v>0</v>
      </c>
    </row>
    <row r="190" spans="2:36" s="29" customFormat="1" ht="16">
      <c r="B190" s="259" t="s">
        <v>276</v>
      </c>
      <c r="C190" s="259"/>
      <c r="D190" s="259"/>
      <c r="E190" s="259"/>
      <c r="F190" s="274"/>
      <c r="G190" s="279">
        <f>IF(Inputs!$G$86="as generated",0,IF(G187&lt;=0,G184,0))</f>
        <v>0</v>
      </c>
      <c r="H190" s="279">
        <f>IF(Inputs!$G$86="as generated",0,IF(H187&lt;=0,H184,0))</f>
        <v>0</v>
      </c>
      <c r="I190" s="279">
        <f>IF(Inputs!$G$86="as generated",0,IF(I187&lt;=0,I184,0))</f>
        <v>0</v>
      </c>
      <c r="J190" s="279">
        <f>IF(Inputs!$G$86="as generated",0,IF(J187&lt;=0,J184,0))</f>
        <v>0</v>
      </c>
      <c r="K190" s="279">
        <f>IF(Inputs!$G$86="as generated",0,IF(K187&lt;=0,K184,0))</f>
        <v>0</v>
      </c>
      <c r="L190" s="279">
        <f>IF(Inputs!$G$86="as generated",0,IF(L187&lt;=0,L184,0))</f>
        <v>0</v>
      </c>
      <c r="M190" s="279">
        <f>IF(Inputs!$G$86="as generated",0,IF(M187&lt;=0,M184,0))</f>
        <v>0</v>
      </c>
      <c r="N190" s="279">
        <f>IF(Inputs!$G$86="as generated",0,IF(N187&lt;=0,N184,0))</f>
        <v>0</v>
      </c>
      <c r="O190" s="279">
        <f>IF(Inputs!$G$86="as generated",0,IF(O187&lt;=0,O184,0))</f>
        <v>0</v>
      </c>
      <c r="P190" s="279">
        <f>IF(Inputs!$G$86="as generated",0,IF(P187&lt;=0,P184,0))</f>
        <v>0</v>
      </c>
      <c r="Q190" s="279">
        <f>IF(Inputs!$G$86="as generated",0,IF(Q187&lt;=0,Q184,0))</f>
        <v>0</v>
      </c>
      <c r="R190" s="279">
        <f>IF(Inputs!$G$86="as generated",0,IF(R187&lt;=0,R184,0))</f>
        <v>0</v>
      </c>
      <c r="S190" s="279">
        <f>IF(Inputs!$G$86="as generated",0,IF(S187&lt;=0,S184,0))</f>
        <v>0</v>
      </c>
      <c r="T190" s="279">
        <f>IF(Inputs!$G$86="as generated",0,IF(T187&lt;=0,T184,0))</f>
        <v>0</v>
      </c>
      <c r="U190" s="279">
        <f>IF(Inputs!$G$86="as generated",0,IF(U187&lt;=0,U184,0))</f>
        <v>0</v>
      </c>
      <c r="V190" s="279">
        <f>IF(Inputs!$G$86="as generated",0,IF(V187&lt;=0,V184,0))</f>
        <v>0</v>
      </c>
      <c r="W190" s="279">
        <f>IF(Inputs!$G$86="as generated",0,IF(W187&lt;=0,W184,0))</f>
        <v>0</v>
      </c>
      <c r="X190" s="279">
        <f>IF(Inputs!$G$86="as generated",0,IF(X187&lt;=0,X184,0))</f>
        <v>0</v>
      </c>
      <c r="Y190" s="279">
        <f>IF(Inputs!$G$86="as generated",0,IF(Y187&lt;=0,Y184,0))</f>
        <v>0</v>
      </c>
      <c r="Z190" s="279">
        <f>IF(Inputs!$G$86="as generated",0,IF(Z187&lt;=0,Z184,0))</f>
        <v>0</v>
      </c>
      <c r="AA190" s="279">
        <f>IF(Inputs!$G$86="as generated",0,IF(AA187&lt;=0,AA184,0))</f>
        <v>0</v>
      </c>
      <c r="AB190" s="279">
        <f>IF(Inputs!$G$86="as generated",0,IF(AB187&lt;=0,AB184,0))</f>
        <v>0</v>
      </c>
      <c r="AC190" s="279">
        <f>IF(Inputs!$G$86="as generated",0,IF(AC187&lt;=0,AC184,0))</f>
        <v>0</v>
      </c>
      <c r="AD190" s="279">
        <f>IF(Inputs!$G$86="as generated",0,IF(AD187&lt;=0,AD184,0))</f>
        <v>0</v>
      </c>
      <c r="AE190" s="279">
        <f>IF(Inputs!$G$86="as generated",0,IF(AE187&lt;=0,AE184,0))</f>
        <v>0</v>
      </c>
      <c r="AF190" s="279">
        <f>IF(Inputs!$G$86="as generated",0,IF(AF187&lt;=0,AF184,0))</f>
        <v>0</v>
      </c>
      <c r="AG190" s="279">
        <f>IF(Inputs!$G$86="as generated",0,IF(AG187&lt;=0,AG184,0))</f>
        <v>0</v>
      </c>
      <c r="AH190" s="279">
        <f>IF(Inputs!$G$86="as generated",0,IF(AH187&lt;=0,AH184,0))</f>
        <v>0</v>
      </c>
      <c r="AI190" s="279">
        <f>IF(Inputs!$G$86="as generated",0,IF(AI187&lt;=0,AI184,0))</f>
        <v>0</v>
      </c>
      <c r="AJ190" s="279">
        <f>IF(Inputs!$G$86="as generated",0,IF(AJ187&lt;=0,AJ184,0))</f>
        <v>0</v>
      </c>
    </row>
    <row r="191" spans="2:36" s="29" customFormat="1" ht="16">
      <c r="B191" s="259" t="s">
        <v>277</v>
      </c>
      <c r="C191" s="259"/>
      <c r="D191" s="259"/>
      <c r="E191" s="259"/>
      <c r="F191" s="274"/>
      <c r="G191" s="279">
        <f>IF(Inputs!$G$86="as generated",0,IF(G$187&lt;0,MAX(G$187,-G$190),0))</f>
        <v>0</v>
      </c>
      <c r="H191" s="279">
        <f>IF(Inputs!$G$86="as generated",0,IF(H$187&lt;0,MAX(H$187,-G$192),0))</f>
        <v>0</v>
      </c>
      <c r="I191" s="279">
        <f>IF(Inputs!$G$86="as generated",0,IF(I$187&lt;0,MAX(I$187,-H$192),0))</f>
        <v>0</v>
      </c>
      <c r="J191" s="279">
        <f>IF(Inputs!$G$86="as generated",0,IF(J$187&lt;0,MAX(J$187,-I$192),0))</f>
        <v>0</v>
      </c>
      <c r="K191" s="279">
        <f>IF(Inputs!$G$86="as generated",0,IF(K$187&lt;0,MAX(K$187,-J$192),0))</f>
        <v>0</v>
      </c>
      <c r="L191" s="279">
        <f>IF(Inputs!$G$86="as generated",0,IF(L$187&lt;0,MAX(L$187,-K$192),0))</f>
        <v>0</v>
      </c>
      <c r="M191" s="279">
        <f>IF(Inputs!$G$86="as generated",0,IF(M$187&lt;0,MAX(M$187,-L$192),0))</f>
        <v>0</v>
      </c>
      <c r="N191" s="279">
        <f>IF(Inputs!$G$86="as generated",0,IF(N$187&lt;0,MAX(N$187,-M$192),0))</f>
        <v>0</v>
      </c>
      <c r="O191" s="279">
        <f>IF(Inputs!$G$86="as generated",0,IF(O$187&lt;0,MAX(O$187,-N$192),0))</f>
        <v>0</v>
      </c>
      <c r="P191" s="279">
        <f>IF(Inputs!$G$86="as generated",0,IF(P$187&lt;0,MAX(P$187,-O$192),0))</f>
        <v>0</v>
      </c>
      <c r="Q191" s="279">
        <f>IF(Inputs!$G$86="as generated",0,IF(Q$187&lt;0,MAX(Q$187,-P$192),0))</f>
        <v>0</v>
      </c>
      <c r="R191" s="279">
        <f>IF(Inputs!$G$86="as generated",0,IF(R$187&lt;0,MAX(R$187,-Q$192),0))</f>
        <v>0</v>
      </c>
      <c r="S191" s="279">
        <f>IF(Inputs!$G$86="as generated",0,IF(S$187&lt;0,MAX(S$187,-R$192),0))</f>
        <v>0</v>
      </c>
      <c r="T191" s="279">
        <f>IF(Inputs!$G$86="as generated",0,IF(T$187&lt;0,MAX(T$187,-S$192),0))</f>
        <v>0</v>
      </c>
      <c r="U191" s="279">
        <f>IF(Inputs!$G$86="as generated",0,IF(U$187&lt;0,MAX(U$187,-T$192),0))</f>
        <v>0</v>
      </c>
      <c r="V191" s="279">
        <f>IF(Inputs!$G$86="as generated",0,IF(V$187&lt;0,MAX(V$187,-U$192),0))</f>
        <v>0</v>
      </c>
      <c r="W191" s="279">
        <f>IF(Inputs!$G$86="as generated",0,IF(W$187&lt;0,MAX(W$187,-V$192),0))</f>
        <v>0</v>
      </c>
      <c r="X191" s="279">
        <f>IF(Inputs!$G$86="as generated",0,IF(X$187&lt;0,MAX(X$187,-W$192),0))</f>
        <v>0</v>
      </c>
      <c r="Y191" s="279">
        <f>IF(Inputs!$G$86="as generated",0,IF(Y$187&lt;0,MAX(Y$187,-X$192),0))</f>
        <v>0</v>
      </c>
      <c r="Z191" s="279">
        <f>IF(Inputs!$G$86="as generated",0,IF(Z$187&lt;0,MAX(Z$187,-Y$192),0))</f>
        <v>0</v>
      </c>
      <c r="AA191" s="279">
        <f>IF(Inputs!$G$86="as generated",0,IF(AA$187&lt;0,MAX(AA$187,-Z$192),0))</f>
        <v>0</v>
      </c>
      <c r="AB191" s="279">
        <f>IF(Inputs!$G$86="as generated",0,IF(AB$187&lt;0,MAX(AB$187,-AA$192),0))</f>
        <v>0</v>
      </c>
      <c r="AC191" s="279">
        <f>IF(Inputs!$G$86="as generated",0,IF(AC$187&lt;0,MAX(AC$187,-AB$192),0))</f>
        <v>0</v>
      </c>
      <c r="AD191" s="279">
        <f>IF(Inputs!$G$86="as generated",0,IF(AD$187&lt;0,MAX(AD$187,-AC$192),0))</f>
        <v>0</v>
      </c>
      <c r="AE191" s="279">
        <f>IF(Inputs!$G$86="as generated",0,IF(AE$187&lt;0,MAX(AE$187,-AD$192),0))</f>
        <v>0</v>
      </c>
      <c r="AF191" s="279">
        <f>IF(Inputs!$G$86="as generated",0,IF(AF$187&lt;0,MAX(AF$187,-AE$192),0))</f>
        <v>0</v>
      </c>
      <c r="AG191" s="279">
        <f>IF(Inputs!$G$86="as generated",0,IF(AG$187&lt;0,MAX(AG$187,-AF$192),0))</f>
        <v>0</v>
      </c>
      <c r="AH191" s="279">
        <f>IF(Inputs!$G$86="as generated",0,IF(AH$187&lt;0,MAX(AH$187,-AG$192),0))</f>
        <v>0</v>
      </c>
      <c r="AI191" s="279">
        <f>IF(Inputs!$G$86="as generated",0,IF(AI$187&lt;0,MAX(AI$187,-AH$192),0))</f>
        <v>0</v>
      </c>
      <c r="AJ191" s="279">
        <f>IF(Inputs!$G$86="as generated",0,IF(AJ$187&lt;0,MAX(AJ$187,-AI$192),0))</f>
        <v>0</v>
      </c>
    </row>
    <row r="192" spans="2:36" s="29" customFormat="1" ht="16">
      <c r="B192" s="259" t="s">
        <v>278</v>
      </c>
      <c r="C192" s="259"/>
      <c r="D192" s="259"/>
      <c r="E192" s="259"/>
      <c r="F192" s="279">
        <v>0</v>
      </c>
      <c r="G192" s="279">
        <f>SUM(G189:G191)</f>
        <v>0</v>
      </c>
      <c r="H192" s="279">
        <f t="shared" ref="H192:AJ192" si="60">SUM(H189:H191)</f>
        <v>0</v>
      </c>
      <c r="I192" s="279">
        <f t="shared" si="60"/>
        <v>0</v>
      </c>
      <c r="J192" s="279">
        <f t="shared" si="60"/>
        <v>0</v>
      </c>
      <c r="K192" s="279">
        <f t="shared" si="60"/>
        <v>0</v>
      </c>
      <c r="L192" s="279">
        <f t="shared" si="60"/>
        <v>0</v>
      </c>
      <c r="M192" s="279">
        <f t="shared" si="60"/>
        <v>0</v>
      </c>
      <c r="N192" s="279">
        <f t="shared" si="60"/>
        <v>0</v>
      </c>
      <c r="O192" s="279">
        <f t="shared" si="60"/>
        <v>0</v>
      </c>
      <c r="P192" s="279">
        <f t="shared" si="60"/>
        <v>0</v>
      </c>
      <c r="Q192" s="279">
        <f t="shared" si="60"/>
        <v>0</v>
      </c>
      <c r="R192" s="279">
        <f t="shared" si="60"/>
        <v>0</v>
      </c>
      <c r="S192" s="279">
        <f t="shared" si="60"/>
        <v>0</v>
      </c>
      <c r="T192" s="279">
        <f t="shared" si="60"/>
        <v>0</v>
      </c>
      <c r="U192" s="279">
        <f t="shared" si="60"/>
        <v>0</v>
      </c>
      <c r="V192" s="279">
        <f t="shared" si="60"/>
        <v>0</v>
      </c>
      <c r="W192" s="279">
        <f t="shared" si="60"/>
        <v>0</v>
      </c>
      <c r="X192" s="279">
        <f t="shared" si="60"/>
        <v>0</v>
      </c>
      <c r="Y192" s="279">
        <f t="shared" si="60"/>
        <v>0</v>
      </c>
      <c r="Z192" s="279">
        <f t="shared" si="60"/>
        <v>0</v>
      </c>
      <c r="AA192" s="279">
        <f t="shared" si="60"/>
        <v>0</v>
      </c>
      <c r="AB192" s="279">
        <f t="shared" si="60"/>
        <v>0</v>
      </c>
      <c r="AC192" s="279">
        <f t="shared" si="60"/>
        <v>0</v>
      </c>
      <c r="AD192" s="279">
        <f t="shared" si="60"/>
        <v>0</v>
      </c>
      <c r="AE192" s="279">
        <f t="shared" si="60"/>
        <v>0</v>
      </c>
      <c r="AF192" s="279">
        <f t="shared" si="60"/>
        <v>0</v>
      </c>
      <c r="AG192" s="279">
        <f t="shared" si="60"/>
        <v>0</v>
      </c>
      <c r="AH192" s="279">
        <f t="shared" si="60"/>
        <v>0</v>
      </c>
      <c r="AI192" s="279">
        <f t="shared" si="60"/>
        <v>0</v>
      </c>
      <c r="AJ192" s="279">
        <f t="shared" si="60"/>
        <v>0</v>
      </c>
    </row>
    <row r="193" spans="2:36" s="29" customFormat="1" ht="16">
      <c r="B193" s="259"/>
      <c r="C193" s="259"/>
      <c r="D193" s="259"/>
      <c r="E193" s="259"/>
      <c r="F193" s="274"/>
      <c r="G193" s="274"/>
      <c r="H193" s="285"/>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E193" s="259"/>
      <c r="AF193" s="259"/>
      <c r="AG193" s="259"/>
      <c r="AH193" s="259"/>
      <c r="AI193" s="259"/>
      <c r="AJ193" s="259"/>
    </row>
    <row r="194" spans="2:36" s="29" customFormat="1" ht="16">
      <c r="B194" s="258" t="s">
        <v>239</v>
      </c>
      <c r="C194" s="258"/>
      <c r="D194" s="258"/>
      <c r="E194" s="259"/>
      <c r="F194" s="274"/>
      <c r="G194" s="284"/>
      <c r="H194" s="285"/>
      <c r="I194" s="259"/>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59"/>
      <c r="AF194" s="259"/>
      <c r="AG194" s="259"/>
      <c r="AH194" s="259"/>
      <c r="AI194" s="259"/>
      <c r="AJ194" s="259"/>
    </row>
    <row r="195" spans="2:36" s="29" customFormat="1" ht="16">
      <c r="B195" s="259" t="s">
        <v>236</v>
      </c>
      <c r="C195" s="259"/>
      <c r="D195" s="259"/>
      <c r="E195" s="259"/>
      <c r="F195" s="274"/>
      <c r="G195" s="345">
        <f>IF(OR(Inputs!$G$84="No",Inputs!$Q$47="Performance-Based",Inputs!$Q$47="Neither"),0,IF(G$2&lt;=Inputs!$Q$50,($C$111*(Inputs!$Q$48*(1-Inputs!$G$85))*Inputs!$Q$49)/Inputs!$Q$50,0))</f>
        <v>0</v>
      </c>
      <c r="H195" s="345">
        <f>IF(OR(Inputs!$G$84="No",Inputs!$Q$47="Performance-Based",Inputs!$Q$47="Neither"),0,IF(H$2&lt;=Inputs!$Q$50,($C$111*(Inputs!$Q$48*(1-Inputs!$G$85))*Inputs!$Q$49)/Inputs!$Q$50,0))</f>
        <v>0</v>
      </c>
      <c r="I195" s="345">
        <f>IF(OR(Inputs!$G$84="No",Inputs!$Q$47="Performance-Based",Inputs!$Q$47="Neither"),0,IF(I$2&lt;=Inputs!$Q$50,($C$111*(Inputs!$Q$48*(1-Inputs!$G$85))*Inputs!$Q$49)/Inputs!$Q$50,0))</f>
        <v>0</v>
      </c>
      <c r="J195" s="345">
        <f>IF(OR(Inputs!$G$84="No",Inputs!$Q$47="Performance-Based",Inputs!$Q$47="Neither"),0,IF(J$2&lt;=Inputs!$Q$50,($C$111*(Inputs!$Q$48*(1-Inputs!$G$85))*Inputs!$Q$49)/Inputs!$Q$50,0))</f>
        <v>0</v>
      </c>
      <c r="K195" s="345">
        <f>IF(OR(Inputs!$G$84="No",Inputs!$Q$47="Performance-Based",Inputs!$Q$47="Neither"),0,IF(K$2&lt;=Inputs!$Q$50,($C$111*(Inputs!$Q$48*(1-Inputs!$G$85))*Inputs!$Q$49)/Inputs!$Q$50,0))</f>
        <v>0</v>
      </c>
      <c r="L195" s="345">
        <f>IF(OR(Inputs!$G$84="No",Inputs!$Q$47="Performance-Based",Inputs!$Q$47="Neither"),0,IF(L$2&lt;=Inputs!$Q$50,($C$111*(Inputs!$Q$48*(1-Inputs!$G$85))*Inputs!$Q$49)/Inputs!$Q$50,0))</f>
        <v>0</v>
      </c>
      <c r="M195" s="345">
        <f>IF(OR(Inputs!$G$84="No",Inputs!$Q$47="Performance-Based",Inputs!$Q$47="Neither"),0,IF(M$2&lt;=Inputs!$Q$50,($C$111*(Inputs!$Q$48*(1-Inputs!$G$85))*Inputs!$Q$49)/Inputs!$Q$50,0))</f>
        <v>0</v>
      </c>
      <c r="N195" s="345">
        <f>IF(OR(Inputs!$G$84="No",Inputs!$Q$47="Performance-Based",Inputs!$Q$47="Neither"),0,IF(N$2&lt;=Inputs!$Q$50,($C$111*(Inputs!$Q$48*(1-Inputs!$G$85))*Inputs!$Q$49)/Inputs!$Q$50,0))</f>
        <v>0</v>
      </c>
      <c r="O195" s="345">
        <f>IF(OR(Inputs!$G$84="No",Inputs!$Q$47="Performance-Based",Inputs!$Q$47="Neither"),0,IF(O$2&lt;=Inputs!$Q$50,($C$111*(Inputs!$Q$48*(1-Inputs!$G$85))*Inputs!$Q$49)/Inputs!$Q$50,0))</f>
        <v>0</v>
      </c>
      <c r="P195" s="345">
        <f>IF(OR(Inputs!$G$84="No",Inputs!$Q$47="Performance-Based",Inputs!$Q$47="Neither"),0,IF(P$2&lt;=Inputs!$Q$50,($C$111*(Inputs!$Q$48*(1-Inputs!$G$85))*Inputs!$Q$49)/Inputs!$Q$50,0))</f>
        <v>0</v>
      </c>
      <c r="Q195" s="345">
        <f>IF(OR(Inputs!$G$84="No",Inputs!$Q$47="Performance-Based",Inputs!$Q$47="Neither"),0,IF(Q$2&lt;=Inputs!$Q$50,($C$111*(Inputs!$Q$48*(1-Inputs!$G$85))*Inputs!$Q$49)/Inputs!$Q$50,0))</f>
        <v>0</v>
      </c>
      <c r="R195" s="345">
        <f>IF(OR(Inputs!$G$84="No",Inputs!$Q$47="Performance-Based",Inputs!$Q$47="Neither"),0,IF(R$2&lt;=Inputs!$Q$50,($C$111*(Inputs!$Q$48*(1-Inputs!$G$85))*Inputs!$Q$49)/Inputs!$Q$50,0))</f>
        <v>0</v>
      </c>
      <c r="S195" s="345">
        <f>IF(OR(Inputs!$G$84="No",Inputs!$Q$47="Performance-Based",Inputs!$Q$47="Neither"),0,IF(S$2&lt;=Inputs!$Q$50,($C$111*(Inputs!$Q$48*(1-Inputs!$G$85))*Inputs!$Q$49)/Inputs!$Q$50,0))</f>
        <v>0</v>
      </c>
      <c r="T195" s="345">
        <f>IF(OR(Inputs!$G$84="No",Inputs!$Q$47="Performance-Based",Inputs!$Q$47="Neither"),0,IF(T$2&lt;=Inputs!$Q$50,($C$111*(Inputs!$Q$48*(1-Inputs!$G$85))*Inputs!$Q$49)/Inputs!$Q$50,0))</f>
        <v>0</v>
      </c>
      <c r="U195" s="345">
        <f>IF(OR(Inputs!$G$84="No",Inputs!$Q$47="Performance-Based",Inputs!$Q$47="Neither"),0,IF(U$2&lt;=Inputs!$Q$50,($C$111*(Inputs!$Q$48*(1-Inputs!$G$85))*Inputs!$Q$49)/Inputs!$Q$50,0))</f>
        <v>0</v>
      </c>
      <c r="V195" s="345">
        <f>IF(OR(Inputs!$G$84="No",Inputs!$Q$47="Performance-Based",Inputs!$Q$47="Neither"),0,IF(V$2&lt;=Inputs!$Q$50,($C$111*(Inputs!$Q$48*(1-Inputs!$G$85))*Inputs!$Q$49)/Inputs!$Q$50,0))</f>
        <v>0</v>
      </c>
      <c r="W195" s="345">
        <f>IF(OR(Inputs!$G$84="No",Inputs!$Q$47="Performance-Based",Inputs!$Q$47="Neither"),0,IF(W$2&lt;=Inputs!$Q$50,($C$111*(Inputs!$Q$48*(1-Inputs!$G$85))*Inputs!$Q$49)/Inputs!$Q$50,0))</f>
        <v>0</v>
      </c>
      <c r="X195" s="345">
        <f>IF(OR(Inputs!$G$84="No",Inputs!$Q$47="Performance-Based",Inputs!$Q$47="Neither"),0,IF(X$2&lt;=Inputs!$Q$50,($C$111*(Inputs!$Q$48*(1-Inputs!$G$85))*Inputs!$Q$49)/Inputs!$Q$50,0))</f>
        <v>0</v>
      </c>
      <c r="Y195" s="345">
        <f>IF(OR(Inputs!$G$84="No",Inputs!$Q$47="Performance-Based",Inputs!$Q$47="Neither"),0,IF(Y$2&lt;=Inputs!$Q$50,($C$111*(Inputs!$Q$48*(1-Inputs!$G$85))*Inputs!$Q$49)/Inputs!$Q$50,0))</f>
        <v>0</v>
      </c>
      <c r="Z195" s="345">
        <f>IF(OR(Inputs!$G$84="No",Inputs!$Q$47="Performance-Based",Inputs!$Q$47="Neither"),0,IF(Z$2&lt;=Inputs!$Q$50,($C$111*(Inputs!$Q$48*(1-Inputs!$G$85))*Inputs!$Q$49)/Inputs!$Q$50,0))</f>
        <v>0</v>
      </c>
      <c r="AA195" s="345">
        <f>IF(OR(Inputs!$G$84="No",Inputs!$Q$47="Performance-Based",Inputs!$Q$47="Neither"),0,IF(AA$2&lt;=Inputs!$Q$50,($C$111*(Inputs!$Q$48*(1-Inputs!$G$85))*Inputs!$Q$49)/Inputs!$Q$50,0))</f>
        <v>0</v>
      </c>
      <c r="AB195" s="345">
        <f>IF(OR(Inputs!$G$84="No",Inputs!$Q$47="Performance-Based",Inputs!$Q$47="Neither"),0,IF(AB$2&lt;=Inputs!$Q$50,($C$111*(Inputs!$Q$48*(1-Inputs!$G$85))*Inputs!$Q$49)/Inputs!$Q$50,0))</f>
        <v>0</v>
      </c>
      <c r="AC195" s="345">
        <f>IF(OR(Inputs!$G$84="No",Inputs!$Q$47="Performance-Based",Inputs!$Q$47="Neither"),0,IF(AC$2&lt;=Inputs!$Q$50,($C$111*(Inputs!$Q$48*(1-Inputs!$G$85))*Inputs!$Q$49)/Inputs!$Q$50,0))</f>
        <v>0</v>
      </c>
      <c r="AD195" s="345">
        <f>IF(OR(Inputs!$G$84="No",Inputs!$Q$47="Performance-Based",Inputs!$Q$47="Neither"),0,IF(AD$2&lt;=Inputs!$Q$50,($C$111*(Inputs!$Q$48*(1-Inputs!$G$85))*Inputs!$Q$49)/Inputs!$Q$50,0))</f>
        <v>0</v>
      </c>
      <c r="AE195" s="345">
        <f>IF(OR(Inputs!$G$84="No",Inputs!$Q$47="Performance-Based",Inputs!$Q$47="Neither"),0,IF(AE$2&lt;=Inputs!$Q$50,($C$111*(Inputs!$Q$48*(1-Inputs!$G$85))*Inputs!$Q$49)/Inputs!$Q$50,0))</f>
        <v>0</v>
      </c>
      <c r="AF195" s="345">
        <f>IF(OR(Inputs!$G$84="No",Inputs!$Q$47="Performance-Based",Inputs!$Q$47="Neither"),0,IF(AF$2&lt;=Inputs!$Q$50,($C$111*(Inputs!$Q$48*(1-Inputs!$G$85))*Inputs!$Q$49)/Inputs!$Q$50,0))</f>
        <v>0</v>
      </c>
      <c r="AG195" s="345">
        <f>IF(OR(Inputs!$G$84="No",Inputs!$Q$47="Performance-Based",Inputs!$Q$47="Neither"),0,IF(AG$2&lt;=Inputs!$Q$50,($C$111*(Inputs!$Q$48*(1-Inputs!$G$85))*Inputs!$Q$49)/Inputs!$Q$50,0))</f>
        <v>0</v>
      </c>
      <c r="AH195" s="345">
        <f>IF(OR(Inputs!$G$84="No",Inputs!$Q$47="Performance-Based",Inputs!$Q$47="Neither"),0,IF(AH$2&lt;=Inputs!$Q$50,($C$111*(Inputs!$Q$48*(1-Inputs!$G$85))*Inputs!$Q$49)/Inputs!$Q$50,0))</f>
        <v>0</v>
      </c>
      <c r="AI195" s="345">
        <f>IF(OR(Inputs!$G$84="No",Inputs!$Q$47="Performance-Based",Inputs!$Q$47="Neither"),0,IF(AI$2&lt;=Inputs!$Q$50,($C$111*(Inputs!$Q$48*(1-Inputs!$G$85))*Inputs!$Q$49)/Inputs!$Q$50,0))</f>
        <v>0</v>
      </c>
      <c r="AJ195" s="345">
        <f>IF(OR(Inputs!$G$84="No",Inputs!$Q$47="Performance-Based",Inputs!$Q$47="Neither"),0,IF(AJ$2&lt;=Inputs!$Q$50,($C$111*(Inputs!$Q$48*(1-Inputs!$G$85))*Inputs!$Q$49)/Inputs!$Q$50,0))</f>
        <v>0</v>
      </c>
    </row>
    <row r="196" spans="2:36" s="29" customFormat="1" ht="16">
      <c r="B196" s="259" t="s">
        <v>195</v>
      </c>
      <c r="C196" s="259"/>
      <c r="D196" s="259"/>
      <c r="E196" s="259"/>
      <c r="F196" s="274"/>
      <c r="G196" s="279">
        <f>IF(OR(Inputs!$G$84="No",Inputs!$Q$47="Cost-Based",Inputs!$Q$47="Neither"),0,IF(Inputs!$Q$52="Tax Credit",IF(G$2&gt;Inputs!$Q$57,0,IF(Inputs!$Q$53=0,Inputs!$Q$55/100*G$13*Inputs!$Q$56*G$5,MIN(Inputs!$Q$53,Inputs!$Q$55/100*G$13*Inputs!$Q$56*G$5))),0))</f>
        <v>0</v>
      </c>
      <c r="H196" s="279">
        <f>IF(OR(Inputs!$G$84="No",Inputs!$Q$47="Cost-Based",Inputs!$Q$47="Neither"),0,IF(Inputs!$Q$52="Tax Credit",IF(H$2&gt;Inputs!$Q$57,0,IF(Inputs!$Q$53=0,Inputs!$Q$55/100*H$13*Inputs!$Q$56*H$5,MIN(Inputs!$Q$53,Inputs!$Q$55/100*H$13*Inputs!$Q$56*H$5))),0))</f>
        <v>0</v>
      </c>
      <c r="I196" s="279">
        <f>IF(OR(Inputs!$G$84="No",Inputs!$Q$47="Cost-Based",Inputs!$Q$47="Neither"),0,IF(Inputs!$Q$52="Tax Credit",IF(I$2&gt;Inputs!$Q$57,0,IF(Inputs!$Q$53=0,Inputs!$Q$55/100*I$13*Inputs!$Q$56*I$5,MIN(Inputs!$Q$53,Inputs!$Q$55/100*I$13*Inputs!$Q$56*I$5))),0))</f>
        <v>0</v>
      </c>
      <c r="J196" s="279">
        <f>IF(OR(Inputs!$G$84="No",Inputs!$Q$47="Cost-Based",Inputs!$Q$47="Neither"),0,IF(Inputs!$Q$52="Tax Credit",IF(J$2&gt;Inputs!$Q$57,0,IF(Inputs!$Q$53=0,Inputs!$Q$55/100*J$13*Inputs!$Q$56*J$5,MIN(Inputs!$Q$53,Inputs!$Q$55/100*J$13*Inputs!$Q$56*J$5))),0))</f>
        <v>0</v>
      </c>
      <c r="K196" s="279">
        <f>IF(OR(Inputs!$G$84="No",Inputs!$Q$47="Cost-Based",Inputs!$Q$47="Neither"),0,IF(Inputs!$Q$52="Tax Credit",IF(K$2&gt;Inputs!$Q$57,0,IF(Inputs!$Q$53=0,Inputs!$Q$55/100*K$13*Inputs!$Q$56*K$5,MIN(Inputs!$Q$53,Inputs!$Q$55/100*K$13*Inputs!$Q$56*K$5))),0))</f>
        <v>0</v>
      </c>
      <c r="L196" s="279">
        <f>IF(OR(Inputs!$G$84="No",Inputs!$Q$47="Cost-Based",Inputs!$Q$47="Neither"),0,IF(Inputs!$Q$52="Tax Credit",IF(L$2&gt;Inputs!$Q$57,0,IF(Inputs!$Q$53=0,Inputs!$Q$55/100*L$13*Inputs!$Q$56*L$5,MIN(Inputs!$Q$53,Inputs!$Q$55/100*L$13*Inputs!$Q$56*L$5))),0))</f>
        <v>0</v>
      </c>
      <c r="M196" s="279">
        <f>IF(OR(Inputs!$G$84="No",Inputs!$Q$47="Cost-Based",Inputs!$Q$47="Neither"),0,IF(Inputs!$Q$52="Tax Credit",IF(M$2&gt;Inputs!$Q$57,0,IF(Inputs!$Q$53=0,Inputs!$Q$55/100*M$13*Inputs!$Q$56*M$5,MIN(Inputs!$Q$53,Inputs!$Q$55/100*M$13*Inputs!$Q$56*M$5))),0))</f>
        <v>0</v>
      </c>
      <c r="N196" s="279">
        <f>IF(OR(Inputs!$G$84="No",Inputs!$Q$47="Cost-Based",Inputs!$Q$47="Neither"),0,IF(Inputs!$Q$52="Tax Credit",IF(N$2&gt;Inputs!$Q$57,0,IF(Inputs!$Q$53=0,Inputs!$Q$55/100*N$13*Inputs!$Q$56*N$5,MIN(Inputs!$Q$53,Inputs!$Q$55/100*N$13*Inputs!$Q$56*N$5))),0))</f>
        <v>0</v>
      </c>
      <c r="O196" s="279">
        <f>IF(OR(Inputs!$G$84="No",Inputs!$Q$47="Cost-Based",Inputs!$Q$47="Neither"),0,IF(Inputs!$Q$52="Tax Credit",IF(O$2&gt;Inputs!$Q$57,0,IF(Inputs!$Q$53=0,Inputs!$Q$55/100*O$13*Inputs!$Q$56*O$5,MIN(Inputs!$Q$53,Inputs!$Q$55/100*O$13*Inputs!$Q$56*O$5))),0))</f>
        <v>0</v>
      </c>
      <c r="P196" s="279">
        <f>IF(OR(Inputs!$G$84="No",Inputs!$Q$47="Cost-Based",Inputs!$Q$47="Neither"),0,IF(Inputs!$Q$52="Tax Credit",IF(P$2&gt;Inputs!$Q$57,0,IF(Inputs!$Q$53=0,Inputs!$Q$55/100*P$13*Inputs!$Q$56*P$5,MIN(Inputs!$Q$53,Inputs!$Q$55/100*P$13*Inputs!$Q$56*P$5))),0))</f>
        <v>0</v>
      </c>
      <c r="Q196" s="279">
        <f>IF(OR(Inputs!$G$84="No",Inputs!$Q$47="Cost-Based",Inputs!$Q$47="Neither"),0,IF(Inputs!$Q$52="Tax Credit",IF(Q$2&gt;Inputs!$Q$57,0,IF(Inputs!$Q$53=0,Inputs!$Q$55/100*Q$13*Inputs!$Q$56*Q$5,MIN(Inputs!$Q$53,Inputs!$Q$55/100*Q$13*Inputs!$Q$56*Q$5))),0))</f>
        <v>0</v>
      </c>
      <c r="R196" s="279">
        <f>IF(OR(Inputs!$G$84="No",Inputs!$Q$47="Cost-Based",Inputs!$Q$47="Neither"),0,IF(Inputs!$Q$52="Tax Credit",IF(R$2&gt;Inputs!$Q$57,0,IF(Inputs!$Q$53=0,Inputs!$Q$55/100*R$13*Inputs!$Q$56*R$5,MIN(Inputs!$Q$53,Inputs!$Q$55/100*R$13*Inputs!$Q$56*R$5))),0))</f>
        <v>0</v>
      </c>
      <c r="S196" s="279">
        <f>IF(OR(Inputs!$G$84="No",Inputs!$Q$47="Cost-Based",Inputs!$Q$47="Neither"),0,IF(Inputs!$Q$52="Tax Credit",IF(S$2&gt;Inputs!$Q$57,0,IF(Inputs!$Q$53=0,Inputs!$Q$55/100*S$13*Inputs!$Q$56*S$5,MIN(Inputs!$Q$53,Inputs!$Q$55/100*S$13*Inputs!$Q$56*S$5))),0))</f>
        <v>0</v>
      </c>
      <c r="T196" s="279">
        <f>IF(OR(Inputs!$G$84="No",Inputs!$Q$47="Cost-Based",Inputs!$Q$47="Neither"),0,IF(Inputs!$Q$52="Tax Credit",IF(T$2&gt;Inputs!$Q$57,0,IF(Inputs!$Q$53=0,Inputs!$Q$55/100*T$13*Inputs!$Q$56*T$5,MIN(Inputs!$Q$53,Inputs!$Q$55/100*T$13*Inputs!$Q$56*T$5))),0))</f>
        <v>0</v>
      </c>
      <c r="U196" s="279">
        <f>IF(OR(Inputs!$G$84="No",Inputs!$Q$47="Cost-Based",Inputs!$Q$47="Neither"),0,IF(Inputs!$Q$52="Tax Credit",IF(U$2&gt;Inputs!$Q$57,0,IF(Inputs!$Q$53=0,Inputs!$Q$55/100*U$13*Inputs!$Q$56*U$5,MIN(Inputs!$Q$53,Inputs!$Q$55/100*U$13*Inputs!$Q$56*U$5))),0))</f>
        <v>0</v>
      </c>
      <c r="V196" s="279">
        <f>IF(OR(Inputs!$G$84="No",Inputs!$Q$47="Cost-Based",Inputs!$Q$47="Neither"),0,IF(Inputs!$Q$52="Tax Credit",IF(V$2&gt;Inputs!$Q$57,0,IF(Inputs!$Q$53=0,Inputs!$Q$55/100*V$13*Inputs!$Q$56*V$5,MIN(Inputs!$Q$53,Inputs!$Q$55/100*V$13*Inputs!$Q$56*V$5))),0))</f>
        <v>0</v>
      </c>
      <c r="W196" s="279">
        <f>IF(OR(Inputs!$G$84="No",Inputs!$Q$47="Cost-Based",Inputs!$Q$47="Neither"),0,IF(Inputs!$Q$52="Tax Credit",IF(W$2&gt;Inputs!$Q$57,0,IF(Inputs!$Q$53=0,Inputs!$Q$55/100*W$13*Inputs!$Q$56*W$5,MIN(Inputs!$Q$53,Inputs!$Q$55/100*W$13*Inputs!$Q$56*W$5))),0))</f>
        <v>0</v>
      </c>
      <c r="X196" s="279">
        <f>IF(OR(Inputs!$G$84="No",Inputs!$Q$47="Cost-Based",Inputs!$Q$47="Neither"),0,IF(Inputs!$Q$52="Tax Credit",IF(X$2&gt;Inputs!$Q$57,0,IF(Inputs!$Q$53=0,Inputs!$Q$55/100*X$13*Inputs!$Q$56*X$5,MIN(Inputs!$Q$53,Inputs!$Q$55/100*X$13*Inputs!$Q$56*X$5))),0))</f>
        <v>0</v>
      </c>
      <c r="Y196" s="279">
        <f>IF(OR(Inputs!$G$84="No",Inputs!$Q$47="Cost-Based",Inputs!$Q$47="Neither"),0,IF(Inputs!$Q$52="Tax Credit",IF(Y$2&gt;Inputs!$Q$57,0,IF(Inputs!$Q$53=0,Inputs!$Q$55/100*Y$13*Inputs!$Q$56*Y$5,MIN(Inputs!$Q$53,Inputs!$Q$55/100*Y$13*Inputs!$Q$56*Y$5))),0))</f>
        <v>0</v>
      </c>
      <c r="Z196" s="279">
        <f>IF(OR(Inputs!$G$84="No",Inputs!$Q$47="Cost-Based",Inputs!$Q$47="Neither"),0,IF(Inputs!$Q$52="Tax Credit",IF(Z$2&gt;Inputs!$Q$57,0,IF(Inputs!$Q$53=0,Inputs!$Q$55/100*Z$13*Inputs!$Q$56*Z$5,MIN(Inputs!$Q$53,Inputs!$Q$55/100*Z$13*Inputs!$Q$56*Z$5))),0))</f>
        <v>0</v>
      </c>
      <c r="AA196" s="279">
        <f>IF(OR(Inputs!$G$84="No",Inputs!$Q$47="Cost-Based",Inputs!$Q$47="Neither"),0,IF(Inputs!$Q$52="Tax Credit",IF(AA$2&gt;Inputs!$Q$57,0,IF(Inputs!$Q$53=0,Inputs!$Q$55/100*AA$13*Inputs!$Q$56*AA$5,MIN(Inputs!$Q$53,Inputs!$Q$55/100*AA$13*Inputs!$Q$56*AA$5))),0))</f>
        <v>0</v>
      </c>
      <c r="AB196" s="279">
        <f>IF(OR(Inputs!$G$84="No",Inputs!$Q$47="Cost-Based",Inputs!$Q$47="Neither"),0,IF(Inputs!$Q$52="Tax Credit",IF(AB$2&gt;Inputs!$Q$57,0,IF(Inputs!$Q$53=0,Inputs!$Q$55/100*AB$13*Inputs!$Q$56*AB$5,MIN(Inputs!$Q$53,Inputs!$Q$55/100*AB$13*Inputs!$Q$56*AB$5))),0))</f>
        <v>0</v>
      </c>
      <c r="AC196" s="279">
        <f>IF(OR(Inputs!$G$84="No",Inputs!$Q$47="Cost-Based",Inputs!$Q$47="Neither"),0,IF(Inputs!$Q$52="Tax Credit",IF(AC$2&gt;Inputs!$Q$57,0,IF(Inputs!$Q$53=0,Inputs!$Q$55/100*AC$13*Inputs!$Q$56*AC$5,MIN(Inputs!$Q$53,Inputs!$Q$55/100*AC$13*Inputs!$Q$56*AC$5))),0))</f>
        <v>0</v>
      </c>
      <c r="AD196" s="279">
        <f>IF(OR(Inputs!$G$84="No",Inputs!$Q$47="Cost-Based",Inputs!$Q$47="Neither"),0,IF(Inputs!$Q$52="Tax Credit",IF(AD$2&gt;Inputs!$Q$57,0,IF(Inputs!$Q$53=0,Inputs!$Q$55/100*AD$13*Inputs!$Q$56*AD$5,MIN(Inputs!$Q$53,Inputs!$Q$55/100*AD$13*Inputs!$Q$56*AD$5))),0))</f>
        <v>0</v>
      </c>
      <c r="AE196" s="279">
        <f>IF(OR(Inputs!$G$84="No",Inputs!$Q$47="Cost-Based",Inputs!$Q$47="Neither"),0,IF(Inputs!$Q$52="Tax Credit",IF(AE$2&gt;Inputs!$Q$57,0,IF(Inputs!$Q$53=0,Inputs!$Q$55/100*AE$13*Inputs!$Q$56*AE$5,MIN(Inputs!$Q$53,Inputs!$Q$55/100*AE$13*Inputs!$Q$56*AE$5))),0))</f>
        <v>0</v>
      </c>
      <c r="AF196" s="279">
        <f>IF(OR(Inputs!$G$84="No",Inputs!$Q$47="Cost-Based",Inputs!$Q$47="Neither"),0,IF(Inputs!$Q$52="Tax Credit",IF(AF$2&gt;Inputs!$Q$57,0,IF(Inputs!$Q$53=0,Inputs!$Q$55/100*AF$13*Inputs!$Q$56*AF$5,MIN(Inputs!$Q$53,Inputs!$Q$55/100*AF$13*Inputs!$Q$56*AF$5))),0))</f>
        <v>0</v>
      </c>
      <c r="AG196" s="279">
        <f>IF(OR(Inputs!$G$84="No",Inputs!$Q$47="Cost-Based",Inputs!$Q$47="Neither"),0,IF(Inputs!$Q$52="Tax Credit",IF(AG$2&gt;Inputs!$Q$57,0,IF(Inputs!$Q$53=0,Inputs!$Q$55/100*AG$13*Inputs!$Q$56*AG$5,MIN(Inputs!$Q$53,Inputs!$Q$55/100*AG$13*Inputs!$Q$56*AG$5))),0))</f>
        <v>0</v>
      </c>
      <c r="AH196" s="279">
        <f>IF(OR(Inputs!$G$84="No",Inputs!$Q$47="Cost-Based",Inputs!$Q$47="Neither"),0,IF(Inputs!$Q$52="Tax Credit",IF(AH$2&gt;Inputs!$Q$57,0,IF(Inputs!$Q$53=0,Inputs!$Q$55/100*AH$13*Inputs!$Q$56*AH$5,MIN(Inputs!$Q$53,Inputs!$Q$55/100*AH$13*Inputs!$Q$56*AH$5))),0))</f>
        <v>0</v>
      </c>
      <c r="AI196" s="279">
        <f>IF(OR(Inputs!$G$84="No",Inputs!$Q$47="Cost-Based",Inputs!$Q$47="Neither"),0,IF(Inputs!$Q$52="Tax Credit",IF(AI$2&gt;Inputs!$Q$57,0,IF(Inputs!$Q$53=0,Inputs!$Q$55/100*AI$13*Inputs!$Q$56*AI$5,MIN(Inputs!$Q$53,Inputs!$Q$55/100*AI$13*Inputs!$Q$56*AI$5))),0))</f>
        <v>0</v>
      </c>
      <c r="AJ196" s="279">
        <f>IF(OR(Inputs!$G$84="No",Inputs!$Q$47="Cost-Based",Inputs!$Q$47="Neither"),0,IF(Inputs!$Q$52="Tax Credit",IF(AJ$2&gt;Inputs!$Q$57,0,IF(Inputs!$Q$53=0,Inputs!$Q$55/100*AJ$13*Inputs!$Q$56*AJ$5,MIN(Inputs!$Q$53,Inputs!$Q$55/100*AJ$13*Inputs!$Q$56*AJ$5))),0))</f>
        <v>0</v>
      </c>
    </row>
    <row r="197" spans="2:36" s="29" customFormat="1" ht="16">
      <c r="B197" s="259"/>
      <c r="C197" s="259"/>
      <c r="D197" s="259"/>
      <c r="E197" s="259"/>
      <c r="F197" s="274"/>
      <c r="G197" s="284"/>
      <c r="H197" s="285"/>
      <c r="I197" s="259"/>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259"/>
    </row>
    <row r="198" spans="2:36" s="29" customFormat="1" ht="16">
      <c r="B198" s="259" t="s">
        <v>237</v>
      </c>
      <c r="C198" s="259"/>
      <c r="D198" s="259"/>
      <c r="E198" s="259"/>
      <c r="F198" s="274"/>
      <c r="G198" s="279">
        <f>SUM(G195:G196)</f>
        <v>0</v>
      </c>
      <c r="H198" s="279">
        <f t="shared" ref="H198:AJ198" si="61">SUM(H195:H196)</f>
        <v>0</v>
      </c>
      <c r="I198" s="279">
        <f t="shared" si="61"/>
        <v>0</v>
      </c>
      <c r="J198" s="279">
        <f t="shared" si="61"/>
        <v>0</v>
      </c>
      <c r="K198" s="279">
        <f t="shared" si="61"/>
        <v>0</v>
      </c>
      <c r="L198" s="279">
        <f t="shared" si="61"/>
        <v>0</v>
      </c>
      <c r="M198" s="279">
        <f t="shared" si="61"/>
        <v>0</v>
      </c>
      <c r="N198" s="279">
        <f t="shared" si="61"/>
        <v>0</v>
      </c>
      <c r="O198" s="279">
        <f t="shared" si="61"/>
        <v>0</v>
      </c>
      <c r="P198" s="279">
        <f t="shared" si="61"/>
        <v>0</v>
      </c>
      <c r="Q198" s="279">
        <f t="shared" si="61"/>
        <v>0</v>
      </c>
      <c r="R198" s="279">
        <f t="shared" si="61"/>
        <v>0</v>
      </c>
      <c r="S198" s="279">
        <f t="shared" si="61"/>
        <v>0</v>
      </c>
      <c r="T198" s="279">
        <f t="shared" si="61"/>
        <v>0</v>
      </c>
      <c r="U198" s="279">
        <f t="shared" si="61"/>
        <v>0</v>
      </c>
      <c r="V198" s="279">
        <f t="shared" si="61"/>
        <v>0</v>
      </c>
      <c r="W198" s="279">
        <f t="shared" si="61"/>
        <v>0</v>
      </c>
      <c r="X198" s="279">
        <f t="shared" si="61"/>
        <v>0</v>
      </c>
      <c r="Y198" s="279">
        <f t="shared" si="61"/>
        <v>0</v>
      </c>
      <c r="Z198" s="279">
        <f t="shared" si="61"/>
        <v>0</v>
      </c>
      <c r="AA198" s="279">
        <f t="shared" si="61"/>
        <v>0</v>
      </c>
      <c r="AB198" s="279">
        <f t="shared" si="61"/>
        <v>0</v>
      </c>
      <c r="AC198" s="279">
        <f t="shared" si="61"/>
        <v>0</v>
      </c>
      <c r="AD198" s="279">
        <f t="shared" si="61"/>
        <v>0</v>
      </c>
      <c r="AE198" s="279">
        <f t="shared" si="61"/>
        <v>0</v>
      </c>
      <c r="AF198" s="279">
        <f t="shared" si="61"/>
        <v>0</v>
      </c>
      <c r="AG198" s="279">
        <f t="shared" si="61"/>
        <v>0</v>
      </c>
      <c r="AH198" s="279">
        <f t="shared" si="61"/>
        <v>0</v>
      </c>
      <c r="AI198" s="279">
        <f t="shared" si="61"/>
        <v>0</v>
      </c>
      <c r="AJ198" s="279">
        <f t="shared" si="61"/>
        <v>0</v>
      </c>
    </row>
    <row r="199" spans="2:36" s="29" customFormat="1" ht="16">
      <c r="B199" s="259"/>
      <c r="C199" s="259"/>
      <c r="D199" s="259"/>
      <c r="E199" s="259"/>
      <c r="F199" s="274"/>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row>
    <row r="200" spans="2:36" s="29" customFormat="1" ht="16">
      <c r="B200" s="346" t="s">
        <v>238</v>
      </c>
      <c r="C200" s="346"/>
      <c r="D200" s="346"/>
      <c r="E200" s="259"/>
      <c r="F200" s="274"/>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row>
    <row r="201" spans="2:36" s="29" customFormat="1" ht="16">
      <c r="B201" s="259" t="str">
        <f>B76</f>
        <v>State Income Taxes Saved / (Paid), before ITC/PTC</v>
      </c>
      <c r="C201" s="259"/>
      <c r="D201" s="259"/>
      <c r="E201" s="259"/>
      <c r="F201" s="274"/>
      <c r="G201" s="279" t="str">
        <f>IF(Inputs!$G$88="as generated","N/A",'Cash Flow'!G76)</f>
        <v>N/A</v>
      </c>
      <c r="H201" s="279" t="str">
        <f>IF(Inputs!$G$88="as generated","N/A",'Cash Flow'!H76)</f>
        <v>N/A</v>
      </c>
      <c r="I201" s="279" t="str">
        <f>IF(Inputs!$G$88="as generated","N/A",'Cash Flow'!I76)</f>
        <v>N/A</v>
      </c>
      <c r="J201" s="279" t="str">
        <f>IF(Inputs!$G$88="as generated","N/A",'Cash Flow'!J76)</f>
        <v>N/A</v>
      </c>
      <c r="K201" s="279" t="str">
        <f>IF(Inputs!$G$88="as generated","N/A",'Cash Flow'!K76)</f>
        <v>N/A</v>
      </c>
      <c r="L201" s="279" t="str">
        <f>IF(Inputs!$G$88="as generated","N/A",'Cash Flow'!L76)</f>
        <v>N/A</v>
      </c>
      <c r="M201" s="279" t="str">
        <f>IF(Inputs!$G$88="as generated","N/A",'Cash Flow'!M76)</f>
        <v>N/A</v>
      </c>
      <c r="N201" s="279" t="str">
        <f>IF(Inputs!$G$88="as generated","N/A",'Cash Flow'!N76)</f>
        <v>N/A</v>
      </c>
      <c r="O201" s="279" t="str">
        <f>IF(Inputs!$G$88="as generated","N/A",'Cash Flow'!O76)</f>
        <v>N/A</v>
      </c>
      <c r="P201" s="279" t="str">
        <f>IF(Inputs!$G$88="as generated","N/A",'Cash Flow'!P76)</f>
        <v>N/A</v>
      </c>
      <c r="Q201" s="279" t="str">
        <f>IF(Inputs!$G$88="as generated","N/A",'Cash Flow'!Q76)</f>
        <v>N/A</v>
      </c>
      <c r="R201" s="279" t="str">
        <f>IF(Inputs!$G$88="as generated","N/A",'Cash Flow'!R76)</f>
        <v>N/A</v>
      </c>
      <c r="S201" s="279" t="str">
        <f>IF(Inputs!$G$88="as generated","N/A",'Cash Flow'!S76)</f>
        <v>N/A</v>
      </c>
      <c r="T201" s="279" t="str">
        <f>IF(Inputs!$G$88="as generated","N/A",'Cash Flow'!T76)</f>
        <v>N/A</v>
      </c>
      <c r="U201" s="279" t="str">
        <f>IF(Inputs!$G$88="as generated","N/A",'Cash Flow'!U76)</f>
        <v>N/A</v>
      </c>
      <c r="V201" s="279" t="str">
        <f>IF(Inputs!$G$88="as generated","N/A",'Cash Flow'!V76)</f>
        <v>N/A</v>
      </c>
      <c r="W201" s="279" t="str">
        <f>IF(Inputs!$G$88="as generated","N/A",'Cash Flow'!W76)</f>
        <v>N/A</v>
      </c>
      <c r="X201" s="279" t="str">
        <f>IF(Inputs!$G$88="as generated","N/A",'Cash Flow'!X76)</f>
        <v>N/A</v>
      </c>
      <c r="Y201" s="279" t="str">
        <f>IF(Inputs!$G$88="as generated","N/A",'Cash Flow'!Y76)</f>
        <v>N/A</v>
      </c>
      <c r="Z201" s="279" t="str">
        <f>IF(Inputs!$G$88="as generated","N/A",'Cash Flow'!Z76)</f>
        <v>N/A</v>
      </c>
      <c r="AA201" s="279" t="str">
        <f>IF(Inputs!$G$88="as generated","N/A",'Cash Flow'!AA76)</f>
        <v>N/A</v>
      </c>
      <c r="AB201" s="279" t="str">
        <f>IF(Inputs!$G$88="as generated","N/A",'Cash Flow'!AB76)</f>
        <v>N/A</v>
      </c>
      <c r="AC201" s="279" t="str">
        <f>IF(Inputs!$G$88="as generated","N/A",'Cash Flow'!AC76)</f>
        <v>N/A</v>
      </c>
      <c r="AD201" s="279" t="str">
        <f>IF(Inputs!$G$88="as generated","N/A",'Cash Flow'!AD76)</f>
        <v>N/A</v>
      </c>
      <c r="AE201" s="279" t="str">
        <f>IF(Inputs!$G$88="as generated","N/A",'Cash Flow'!AE76)</f>
        <v>N/A</v>
      </c>
      <c r="AF201" s="279" t="str">
        <f>IF(Inputs!$G$88="as generated","N/A",'Cash Flow'!AF76)</f>
        <v>N/A</v>
      </c>
      <c r="AG201" s="279" t="str">
        <f>IF(Inputs!$G$88="as generated","N/A",'Cash Flow'!AG76)</f>
        <v>N/A</v>
      </c>
      <c r="AH201" s="279" t="str">
        <f>IF(Inputs!$G$88="as generated","N/A",'Cash Flow'!AH76)</f>
        <v>N/A</v>
      </c>
      <c r="AI201" s="279" t="str">
        <f>IF(Inputs!$G$88="as generated","N/A",'Cash Flow'!AI76)</f>
        <v>N/A</v>
      </c>
      <c r="AJ201" s="279" t="str">
        <f>IF(Inputs!$G$88="as generated","N/A",'Cash Flow'!AJ76)</f>
        <v>N/A</v>
      </c>
    </row>
    <row r="202" spans="2:36" s="29" customFormat="1" ht="16">
      <c r="B202" s="259"/>
      <c r="C202" s="259"/>
      <c r="D202" s="259"/>
      <c r="E202" s="259"/>
      <c r="F202" s="274"/>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E202" s="279"/>
      <c r="AF202" s="279"/>
      <c r="AG202" s="279"/>
      <c r="AH202" s="279"/>
      <c r="AI202" s="279"/>
      <c r="AJ202" s="279"/>
    </row>
    <row r="203" spans="2:36" s="29" customFormat="1" ht="16">
      <c r="B203" s="259" t="s">
        <v>275</v>
      </c>
      <c r="C203" s="259"/>
      <c r="D203" s="259"/>
      <c r="E203" s="259"/>
      <c r="F203" s="274"/>
      <c r="G203" s="279">
        <v>0</v>
      </c>
      <c r="H203" s="279">
        <f>IF(Inputs!$G$88="as generated",0,G206)</f>
        <v>0</v>
      </c>
      <c r="I203" s="279">
        <f>IF(Inputs!$G$88="as generated",0,H206)</f>
        <v>0</v>
      </c>
      <c r="J203" s="279">
        <f>IF(Inputs!$G$88="as generated",0,I206)</f>
        <v>0</v>
      </c>
      <c r="K203" s="279">
        <f>IF(Inputs!$G$88="as generated",0,J206)</f>
        <v>0</v>
      </c>
      <c r="L203" s="279">
        <f>IF(Inputs!$G$88="as generated",0,K206)</f>
        <v>0</v>
      </c>
      <c r="M203" s="279">
        <f>IF(Inputs!$G$88="as generated",0,L206)</f>
        <v>0</v>
      </c>
      <c r="N203" s="279">
        <f>IF(Inputs!$G$88="as generated",0,M206)</f>
        <v>0</v>
      </c>
      <c r="O203" s="279">
        <f>IF(Inputs!$G$88="as generated",0,N206)</f>
        <v>0</v>
      </c>
      <c r="P203" s="279">
        <f>IF(Inputs!$G$88="as generated",0,O206)</f>
        <v>0</v>
      </c>
      <c r="Q203" s="279">
        <f>IF(Inputs!$G$88="as generated",0,P206)</f>
        <v>0</v>
      </c>
      <c r="R203" s="279">
        <f>IF(Inputs!$G$88="as generated",0,Q206)</f>
        <v>0</v>
      </c>
      <c r="S203" s="279">
        <f>IF(Inputs!$G$88="as generated",0,R206)</f>
        <v>0</v>
      </c>
      <c r="T203" s="279">
        <f>IF(Inputs!$G$88="as generated",0,S206)</f>
        <v>0</v>
      </c>
      <c r="U203" s="279">
        <f>IF(Inputs!$G$88="as generated",0,T206)</f>
        <v>0</v>
      </c>
      <c r="V203" s="279">
        <f>IF(Inputs!$G$88="as generated",0,U206)</f>
        <v>0</v>
      </c>
      <c r="W203" s="279">
        <f>IF(Inputs!$G$88="as generated",0,V206)</f>
        <v>0</v>
      </c>
      <c r="X203" s="279">
        <f>IF(Inputs!$G$88="as generated",0,W206)</f>
        <v>0</v>
      </c>
      <c r="Y203" s="279">
        <f>IF(Inputs!$G$88="as generated",0,X206)</f>
        <v>0</v>
      </c>
      <c r="Z203" s="279">
        <f>IF(Inputs!$G$88="as generated",0,Y206)</f>
        <v>0</v>
      </c>
      <c r="AA203" s="279">
        <f>IF(Inputs!$G$88="as generated",0,Z206)</f>
        <v>0</v>
      </c>
      <c r="AB203" s="279">
        <f>IF(Inputs!$G$88="as generated",0,AA206)</f>
        <v>0</v>
      </c>
      <c r="AC203" s="279">
        <f>IF(Inputs!$G$88="as generated",0,AB206)</f>
        <v>0</v>
      </c>
      <c r="AD203" s="279">
        <f>IF(Inputs!$G$88="as generated",0,AC206)</f>
        <v>0</v>
      </c>
      <c r="AE203" s="279">
        <f>IF(Inputs!$G$88="as generated",0,AD206)</f>
        <v>0</v>
      </c>
      <c r="AF203" s="279">
        <f>IF(Inputs!$G$88="as generated",0,AE206)</f>
        <v>0</v>
      </c>
      <c r="AG203" s="279">
        <f>IF(Inputs!$G$88="as generated",0,AF206)</f>
        <v>0</v>
      </c>
      <c r="AH203" s="279">
        <f>IF(Inputs!$G$88="as generated",0,AG206)</f>
        <v>0</v>
      </c>
      <c r="AI203" s="279">
        <f>IF(Inputs!$G$88="as generated",0,AH206)</f>
        <v>0</v>
      </c>
      <c r="AJ203" s="279">
        <f>IF(Inputs!$G$88="as generated",0,AI206)</f>
        <v>0</v>
      </c>
    </row>
    <row r="204" spans="2:36" s="29" customFormat="1" ht="16">
      <c r="B204" s="259" t="s">
        <v>276</v>
      </c>
      <c r="C204" s="259"/>
      <c r="D204" s="259"/>
      <c r="E204" s="259"/>
      <c r="F204" s="274"/>
      <c r="G204" s="279">
        <f>IF(Inputs!$G$88="as generated",0,IF(G201&lt;=0,G198,0))</f>
        <v>0</v>
      </c>
      <c r="H204" s="279">
        <f>IF(Inputs!$G$88="as generated",0,IF(H201&lt;=0,H198,0))</f>
        <v>0</v>
      </c>
      <c r="I204" s="279">
        <f>IF(Inputs!$G$88="as generated",0,IF(I201&lt;=0,I198,0))</f>
        <v>0</v>
      </c>
      <c r="J204" s="279">
        <f>IF(Inputs!$G$88="as generated",0,IF(J201&lt;=0,J198,0))</f>
        <v>0</v>
      </c>
      <c r="K204" s="279">
        <f>IF(Inputs!$G$88="as generated",0,IF(K201&lt;=0,K198,0))</f>
        <v>0</v>
      </c>
      <c r="L204" s="279">
        <f>IF(Inputs!$G$88="as generated",0,IF(L201&lt;=0,L198,0))</f>
        <v>0</v>
      </c>
      <c r="M204" s="279">
        <f>IF(Inputs!$G$88="as generated",0,IF(M201&lt;=0,M198,0))</f>
        <v>0</v>
      </c>
      <c r="N204" s="279">
        <f>IF(Inputs!$G$88="as generated",0,IF(N201&lt;=0,N198,0))</f>
        <v>0</v>
      </c>
      <c r="O204" s="279">
        <f>IF(Inputs!$G$88="as generated",0,IF(O201&lt;=0,O198,0))</f>
        <v>0</v>
      </c>
      <c r="P204" s="279">
        <f>IF(Inputs!$G$88="as generated",0,IF(P201&lt;=0,P198,0))</f>
        <v>0</v>
      </c>
      <c r="Q204" s="279">
        <f>IF(Inputs!$G$88="as generated",0,IF(Q201&lt;=0,Q198,0))</f>
        <v>0</v>
      </c>
      <c r="R204" s="279">
        <f>IF(Inputs!$G$88="as generated",0,IF(R201&lt;=0,R198,0))</f>
        <v>0</v>
      </c>
      <c r="S204" s="279">
        <f>IF(Inputs!$G$88="as generated",0,IF(S201&lt;=0,S198,0))</f>
        <v>0</v>
      </c>
      <c r="T204" s="279">
        <f>IF(Inputs!$G$88="as generated",0,IF(T201&lt;=0,T198,0))</f>
        <v>0</v>
      </c>
      <c r="U204" s="279">
        <f>IF(Inputs!$G$88="as generated",0,IF(U201&lt;=0,U198,0))</f>
        <v>0</v>
      </c>
      <c r="V204" s="279">
        <f>IF(Inputs!$G$88="as generated",0,IF(V201&lt;=0,V198,0))</f>
        <v>0</v>
      </c>
      <c r="W204" s="279">
        <f>IF(Inputs!$G$88="as generated",0,IF(W201&lt;=0,W198,0))</f>
        <v>0</v>
      </c>
      <c r="X204" s="279">
        <f>IF(Inputs!$G$88="as generated",0,IF(X201&lt;=0,X198,0))</f>
        <v>0</v>
      </c>
      <c r="Y204" s="279">
        <f>IF(Inputs!$G$88="as generated",0,IF(Y201&lt;=0,Y198,0))</f>
        <v>0</v>
      </c>
      <c r="Z204" s="279">
        <f>IF(Inputs!$G$88="as generated",0,IF(Z201&lt;=0,Z198,0))</f>
        <v>0</v>
      </c>
      <c r="AA204" s="279">
        <f>IF(Inputs!$G$88="as generated",0,IF(AA201&lt;=0,AA198,0))</f>
        <v>0</v>
      </c>
      <c r="AB204" s="279">
        <f>IF(Inputs!$G$88="as generated",0,IF(AB201&lt;=0,AB198,0))</f>
        <v>0</v>
      </c>
      <c r="AC204" s="279">
        <f>IF(Inputs!$G$88="as generated",0,IF(AC201&lt;=0,AC198,0))</f>
        <v>0</v>
      </c>
      <c r="AD204" s="279">
        <f>IF(Inputs!$G$88="as generated",0,IF(AD201&lt;=0,AD198,0))</f>
        <v>0</v>
      </c>
      <c r="AE204" s="279">
        <f>IF(Inputs!$G$88="as generated",0,IF(AE201&lt;=0,AE198,0))</f>
        <v>0</v>
      </c>
      <c r="AF204" s="279">
        <f>IF(Inputs!$G$88="as generated",0,IF(AF201&lt;=0,AF198,0))</f>
        <v>0</v>
      </c>
      <c r="AG204" s="279">
        <f>IF(Inputs!$G$88="as generated",0,IF(AG201&lt;=0,AG198,0))</f>
        <v>0</v>
      </c>
      <c r="AH204" s="279">
        <f>IF(Inputs!$G$88="as generated",0,IF(AH201&lt;=0,AH198,0))</f>
        <v>0</v>
      </c>
      <c r="AI204" s="279">
        <f>IF(Inputs!$G$88="as generated",0,IF(AI201&lt;=0,AI198,0))</f>
        <v>0</v>
      </c>
      <c r="AJ204" s="279">
        <f>IF(Inputs!$G$88="as generated",0,IF(AJ201&lt;=0,AJ198,0))</f>
        <v>0</v>
      </c>
    </row>
    <row r="205" spans="2:36" s="29" customFormat="1" ht="16">
      <c r="B205" s="259" t="s">
        <v>277</v>
      </c>
      <c r="C205" s="259"/>
      <c r="D205" s="259"/>
      <c r="E205" s="259"/>
      <c r="F205" s="274"/>
      <c r="G205" s="279">
        <f>IF(Inputs!$G$88="as generated",0,IF(G$201&lt;0,MAX(G$201,-F$206),0))</f>
        <v>0</v>
      </c>
      <c r="H205" s="279">
        <f>IF(Inputs!$G$88="as generated",0,IF(H$201&lt;0,MAX(H$201,-G$206),0))</f>
        <v>0</v>
      </c>
      <c r="I205" s="279">
        <f>IF(Inputs!$G$88="as generated",0,IF(I$201&lt;0,MAX(I$201,-H$206),0))</f>
        <v>0</v>
      </c>
      <c r="J205" s="279">
        <f>IF(Inputs!$G$88="as generated",0,IF(J$201&lt;0,MAX(J$201,-I$206),0))</f>
        <v>0</v>
      </c>
      <c r="K205" s="279">
        <f>IF(Inputs!$G$88="as generated",0,IF(K$201&lt;0,MAX(K$201,-J$206),0))</f>
        <v>0</v>
      </c>
      <c r="L205" s="279">
        <f>IF(Inputs!$G$88="as generated",0,IF(L$201&lt;0,MAX(L$201,-K$206),0))</f>
        <v>0</v>
      </c>
      <c r="M205" s="279">
        <f>IF(Inputs!$G$88="as generated",0,IF(M$201&lt;0,MAX(M$201,-L$206),0))</f>
        <v>0</v>
      </c>
      <c r="N205" s="279">
        <f>IF(Inputs!$G$88="as generated",0,IF(N$201&lt;0,MAX(N$201,-M$206),0))</f>
        <v>0</v>
      </c>
      <c r="O205" s="279">
        <f>IF(Inputs!$G$88="as generated",0,IF(O$201&lt;0,MAX(O$201,-N$206),0))</f>
        <v>0</v>
      </c>
      <c r="P205" s="279">
        <f>IF(Inputs!$G$88="as generated",0,IF(P$201&lt;0,MAX(P$201,-O$206),0))</f>
        <v>0</v>
      </c>
      <c r="Q205" s="279">
        <f>IF(Inputs!$G$88="as generated",0,IF(Q$201&lt;0,MAX(Q$201,-P$206),0))</f>
        <v>0</v>
      </c>
      <c r="R205" s="279">
        <f>IF(Inputs!$G$88="as generated",0,IF(R$201&lt;0,MAX(R$201,-Q$206),0))</f>
        <v>0</v>
      </c>
      <c r="S205" s="279">
        <f>IF(Inputs!$G$88="as generated",0,IF(S$201&lt;0,MAX(S$201,-R$206),0))</f>
        <v>0</v>
      </c>
      <c r="T205" s="279">
        <f>IF(Inputs!$G$88="as generated",0,IF(T$201&lt;0,MAX(T$201,-S$206),0))</f>
        <v>0</v>
      </c>
      <c r="U205" s="279">
        <f>IF(Inputs!$G$88="as generated",0,IF(U$201&lt;0,MAX(U$201,-T$206),0))</f>
        <v>0</v>
      </c>
      <c r="V205" s="279">
        <f>IF(Inputs!$G$88="as generated",0,IF(V$201&lt;0,MAX(V$201,-U$206),0))</f>
        <v>0</v>
      </c>
      <c r="W205" s="279">
        <f>IF(Inputs!$G$88="as generated",0,IF(W$201&lt;0,MAX(W$201,-V$206),0))</f>
        <v>0</v>
      </c>
      <c r="X205" s="279">
        <f>IF(Inputs!$G$88="as generated",0,IF(X$201&lt;0,MAX(X$201,-W$206),0))</f>
        <v>0</v>
      </c>
      <c r="Y205" s="279">
        <f>IF(Inputs!$G$88="as generated",0,IF(Y$201&lt;0,MAX(Y$201,-X$206),0))</f>
        <v>0</v>
      </c>
      <c r="Z205" s="279">
        <f>IF(Inputs!$G$88="as generated",0,IF(Z$201&lt;0,MAX(Z$201,-Y$206),0))</f>
        <v>0</v>
      </c>
      <c r="AA205" s="279">
        <f>IF(Inputs!$G$88="as generated",0,IF(AA$201&lt;0,MAX(AA$201,-Z$206),0))</f>
        <v>0</v>
      </c>
      <c r="AB205" s="279">
        <f>IF(Inputs!$G$88="as generated",0,IF(AB$201&lt;0,MAX(AB$201,-AA$206),0))</f>
        <v>0</v>
      </c>
      <c r="AC205" s="279">
        <f>IF(Inputs!$G$88="as generated",0,IF(AC$201&lt;0,MAX(AC$201,-AB$206),0))</f>
        <v>0</v>
      </c>
      <c r="AD205" s="279">
        <f>IF(Inputs!$G$88="as generated",0,IF(AD$201&lt;0,MAX(AD$201,-AC$206),0))</f>
        <v>0</v>
      </c>
      <c r="AE205" s="279">
        <f>IF(Inputs!$G$88="as generated",0,IF(AE$201&lt;0,MAX(AE$201,-AD$206),0))</f>
        <v>0</v>
      </c>
      <c r="AF205" s="279">
        <f>IF(Inputs!$G$88="as generated",0,IF(AF$201&lt;0,MAX(AF$201,-AE$206),0))</f>
        <v>0</v>
      </c>
      <c r="AG205" s="279">
        <f>IF(Inputs!$G$88="as generated",0,IF(AG$201&lt;0,MAX(AG$201,-AF$206),0))</f>
        <v>0</v>
      </c>
      <c r="AH205" s="279">
        <f>IF(Inputs!$G$88="as generated",0,IF(AH$201&lt;0,MAX(AH$201,-AG$206),0))</f>
        <v>0</v>
      </c>
      <c r="AI205" s="279">
        <f>IF(Inputs!$G$88="as generated",0,IF(AI$201&lt;0,MAX(AI$201,-AH$206),0))</f>
        <v>0</v>
      </c>
      <c r="AJ205" s="279">
        <f>IF(Inputs!$G$88="as generated",0,IF(AJ$201&lt;0,MAX(AJ$201,-AI$206),0))</f>
        <v>0</v>
      </c>
    </row>
    <row r="206" spans="2:36" s="29" customFormat="1" ht="16">
      <c r="B206" s="259" t="s">
        <v>278</v>
      </c>
      <c r="C206" s="259"/>
      <c r="D206" s="259"/>
      <c r="E206" s="259"/>
      <c r="F206" s="279">
        <v>0</v>
      </c>
      <c r="G206" s="279">
        <f>SUM(G203:G205)</f>
        <v>0</v>
      </c>
      <c r="H206" s="279">
        <f t="shared" ref="H206:AJ206" si="62">SUM(H203:H205)</f>
        <v>0</v>
      </c>
      <c r="I206" s="279">
        <f t="shared" si="62"/>
        <v>0</v>
      </c>
      <c r="J206" s="279">
        <f t="shared" si="62"/>
        <v>0</v>
      </c>
      <c r="K206" s="279">
        <f t="shared" si="62"/>
        <v>0</v>
      </c>
      <c r="L206" s="279">
        <f t="shared" si="62"/>
        <v>0</v>
      </c>
      <c r="M206" s="279">
        <f t="shared" si="62"/>
        <v>0</v>
      </c>
      <c r="N206" s="279">
        <f t="shared" si="62"/>
        <v>0</v>
      </c>
      <c r="O206" s="279">
        <f t="shared" si="62"/>
        <v>0</v>
      </c>
      <c r="P206" s="279">
        <f t="shared" si="62"/>
        <v>0</v>
      </c>
      <c r="Q206" s="279">
        <f t="shared" si="62"/>
        <v>0</v>
      </c>
      <c r="R206" s="279">
        <f t="shared" si="62"/>
        <v>0</v>
      </c>
      <c r="S206" s="279">
        <f t="shared" si="62"/>
        <v>0</v>
      </c>
      <c r="T206" s="279">
        <f t="shared" si="62"/>
        <v>0</v>
      </c>
      <c r="U206" s="279">
        <f t="shared" si="62"/>
        <v>0</v>
      </c>
      <c r="V206" s="279">
        <f t="shared" si="62"/>
        <v>0</v>
      </c>
      <c r="W206" s="279">
        <f t="shared" si="62"/>
        <v>0</v>
      </c>
      <c r="X206" s="279">
        <f t="shared" si="62"/>
        <v>0</v>
      </c>
      <c r="Y206" s="279">
        <f t="shared" si="62"/>
        <v>0</v>
      </c>
      <c r="Z206" s="279">
        <f t="shared" si="62"/>
        <v>0</v>
      </c>
      <c r="AA206" s="279">
        <f t="shared" si="62"/>
        <v>0</v>
      </c>
      <c r="AB206" s="279">
        <f t="shared" si="62"/>
        <v>0</v>
      </c>
      <c r="AC206" s="279">
        <f t="shared" si="62"/>
        <v>0</v>
      </c>
      <c r="AD206" s="279">
        <f t="shared" si="62"/>
        <v>0</v>
      </c>
      <c r="AE206" s="279">
        <f t="shared" si="62"/>
        <v>0</v>
      </c>
      <c r="AF206" s="279">
        <f t="shared" si="62"/>
        <v>0</v>
      </c>
      <c r="AG206" s="279">
        <f t="shared" si="62"/>
        <v>0</v>
      </c>
      <c r="AH206" s="279">
        <f t="shared" si="62"/>
        <v>0</v>
      </c>
      <c r="AI206" s="279">
        <f t="shared" si="62"/>
        <v>0</v>
      </c>
      <c r="AJ206" s="279">
        <f t="shared" si="62"/>
        <v>0</v>
      </c>
    </row>
    <row r="207" spans="2:36" s="29" customFormat="1" ht="17" thickBot="1">
      <c r="B207" s="281"/>
      <c r="C207" s="281"/>
      <c r="D207" s="281"/>
      <c r="E207" s="281"/>
      <c r="F207" s="281"/>
      <c r="G207" s="282"/>
      <c r="H207" s="283"/>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row>
    <row r="208" spans="2:36">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E208" s="303"/>
      <c r="AF208" s="303"/>
      <c r="AG208" s="303"/>
      <c r="AH208" s="303"/>
      <c r="AI208" s="303"/>
      <c r="AJ208" s="303"/>
    </row>
    <row r="209" spans="2:36" ht="16">
      <c r="B209" s="258" t="s">
        <v>147</v>
      </c>
      <c r="C209" s="258"/>
      <c r="D209" s="258"/>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row>
    <row r="210" spans="2:36" ht="16">
      <c r="B210" s="259" t="s">
        <v>88</v>
      </c>
      <c r="C210" s="278"/>
      <c r="D210" s="278"/>
      <c r="E210" s="303"/>
      <c r="F210" s="321">
        <v>0</v>
      </c>
      <c r="G210" s="296">
        <f>F218</f>
        <v>336531.32449058129</v>
      </c>
      <c r="H210" s="296">
        <f t="shared" ref="H210:AJ210" si="63">G218</f>
        <v>336531.32449058129</v>
      </c>
      <c r="I210" s="296">
        <f t="shared" si="63"/>
        <v>336531.32449058129</v>
      </c>
      <c r="J210" s="296">
        <f t="shared" si="63"/>
        <v>336531.32449058129</v>
      </c>
      <c r="K210" s="296">
        <f t="shared" si="63"/>
        <v>336531.32449058129</v>
      </c>
      <c r="L210" s="296">
        <f t="shared" si="63"/>
        <v>336531.32449058129</v>
      </c>
      <c r="M210" s="296">
        <f t="shared" si="63"/>
        <v>336531.32449058129</v>
      </c>
      <c r="N210" s="296">
        <f t="shared" si="63"/>
        <v>336531.32449058129</v>
      </c>
      <c r="O210" s="296">
        <f t="shared" si="63"/>
        <v>336531.32449058129</v>
      </c>
      <c r="P210" s="296">
        <f t="shared" si="63"/>
        <v>336531.32449058129</v>
      </c>
      <c r="Q210" s="296">
        <f t="shared" si="63"/>
        <v>336531.32449058129</v>
      </c>
      <c r="R210" s="296">
        <f t="shared" si="63"/>
        <v>336531.32449058129</v>
      </c>
      <c r="S210" s="296">
        <f t="shared" si="63"/>
        <v>336531.32449058129</v>
      </c>
      <c r="T210" s="296">
        <f t="shared" si="63"/>
        <v>336531.32449058129</v>
      </c>
      <c r="U210" s="296">
        <f t="shared" si="63"/>
        <v>213141.38735006595</v>
      </c>
      <c r="V210" s="296">
        <f t="shared" si="63"/>
        <v>213141.38735006595</v>
      </c>
      <c r="W210" s="296">
        <f t="shared" si="63"/>
        <v>213141.38735006595</v>
      </c>
      <c r="X210" s="296">
        <f t="shared" si="63"/>
        <v>213141.38735006595</v>
      </c>
      <c r="Y210" s="296">
        <f t="shared" si="63"/>
        <v>213141.38735006595</v>
      </c>
      <c r="Z210" s="296">
        <f t="shared" si="63"/>
        <v>213141.38735006595</v>
      </c>
      <c r="AA210" s="296">
        <f t="shared" si="63"/>
        <v>-2.9103830456733704E-11</v>
      </c>
      <c r="AB210" s="296">
        <f t="shared" si="63"/>
        <v>0</v>
      </c>
      <c r="AC210" s="296">
        <f t="shared" si="63"/>
        <v>0</v>
      </c>
      <c r="AD210" s="296">
        <f t="shared" si="63"/>
        <v>0</v>
      </c>
      <c r="AE210" s="296">
        <f t="shared" si="63"/>
        <v>0</v>
      </c>
      <c r="AF210" s="296">
        <f t="shared" si="63"/>
        <v>0</v>
      </c>
      <c r="AG210" s="296">
        <f t="shared" si="63"/>
        <v>0</v>
      </c>
      <c r="AH210" s="296">
        <f t="shared" si="63"/>
        <v>0</v>
      </c>
      <c r="AI210" s="296">
        <f t="shared" si="63"/>
        <v>0</v>
      </c>
      <c r="AJ210" s="296">
        <f t="shared" si="63"/>
        <v>0</v>
      </c>
    </row>
    <row r="211" spans="2:36" ht="16">
      <c r="B211" s="278" t="s">
        <v>38</v>
      </c>
      <c r="C211" s="278"/>
      <c r="D211" s="278"/>
      <c r="E211" s="303"/>
      <c r="F211" s="296">
        <f>Inputs!$Q$81</f>
        <v>123389.93714051534</v>
      </c>
      <c r="G211" s="296">
        <f>IF(G$2=Inputs!$G$63+1,-$F$211,0)</f>
        <v>0</v>
      </c>
      <c r="H211" s="296">
        <f>IF(H$2=Inputs!$G$63+1,-$F$211,0)</f>
        <v>0</v>
      </c>
      <c r="I211" s="296">
        <f>IF(I$2=Inputs!$G$63+1,-$F$211,0)</f>
        <v>0</v>
      </c>
      <c r="J211" s="296">
        <f>IF(J$2=Inputs!$G$63+1,-$F$211,0)</f>
        <v>0</v>
      </c>
      <c r="K211" s="296">
        <f>IF(K$2=Inputs!$G$63+1,-$F$211,0)</f>
        <v>0</v>
      </c>
      <c r="L211" s="296">
        <f>IF(L$2=Inputs!$G$63+1,-$F$211,0)</f>
        <v>0</v>
      </c>
      <c r="M211" s="296">
        <f>IF(M$2=Inputs!$G$63+1,-$F$211,0)</f>
        <v>0</v>
      </c>
      <c r="N211" s="296">
        <f>IF(N$2=Inputs!$G$63+1,-$F$211,0)</f>
        <v>0</v>
      </c>
      <c r="O211" s="296">
        <f>IF(O$2=Inputs!$G$63+1,-$F$211,0)</f>
        <v>0</v>
      </c>
      <c r="P211" s="296">
        <f>IF(P$2=Inputs!$G$63+1,-$F$211,0)</f>
        <v>0</v>
      </c>
      <c r="Q211" s="296">
        <f>IF(Q$2=Inputs!$G$63+1,-$F$211,0)</f>
        <v>0</v>
      </c>
      <c r="R211" s="296">
        <f>IF(R$2=Inputs!$G$63+1,-$F$211,0)</f>
        <v>0</v>
      </c>
      <c r="S211" s="296">
        <f>IF(S$2=Inputs!$G$63+1,-$F$211,0)</f>
        <v>0</v>
      </c>
      <c r="T211" s="296">
        <f>IF(T$2=Inputs!$G$63+1,-$F$211,0)</f>
        <v>-123389.93714051534</v>
      </c>
      <c r="U211" s="296">
        <f>IF(U$2=Inputs!$G$63+1,-$F$211,0)</f>
        <v>0</v>
      </c>
      <c r="V211" s="296">
        <f>IF(V$2=Inputs!$G$63+1,-$F$211,0)</f>
        <v>0</v>
      </c>
      <c r="W211" s="296">
        <f>IF(W$2=Inputs!$G$63+1,-$F$211,0)</f>
        <v>0</v>
      </c>
      <c r="X211" s="296">
        <f>IF(X$2=Inputs!$G$63+1,-$F$211,0)</f>
        <v>0</v>
      </c>
      <c r="Y211" s="296">
        <f>IF(Y$2=Inputs!$G$63+1,-$F$211,0)</f>
        <v>0</v>
      </c>
      <c r="Z211" s="296">
        <f>IF(Z$2=Inputs!$G$63+1,-$F$211,0)</f>
        <v>0</v>
      </c>
      <c r="AA211" s="296">
        <f>IF(AA$2=Inputs!$G$63+1,-$F$211,0)</f>
        <v>0</v>
      </c>
      <c r="AB211" s="296">
        <f>IF(AB$2=Inputs!$G$63+1,-$F$211,0)</f>
        <v>0</v>
      </c>
      <c r="AC211" s="296">
        <f>IF(AC$2=Inputs!$G$63+1,-$F$211,0)</f>
        <v>0</v>
      </c>
      <c r="AD211" s="296">
        <f>IF(AD$2=Inputs!$G$63+1,-$F$211,0)</f>
        <v>0</v>
      </c>
      <c r="AE211" s="296">
        <f>IF(AE$2=Inputs!$G$63+1,-$F$211,0)</f>
        <v>0</v>
      </c>
      <c r="AF211" s="296">
        <f>IF(AF$2=Inputs!$G$63+1,-$F$211,0)</f>
        <v>0</v>
      </c>
      <c r="AG211" s="296">
        <f>IF(AG$2=Inputs!$G$63+1,-$F$211,0)</f>
        <v>0</v>
      </c>
      <c r="AH211" s="296">
        <f>IF(AH$2=Inputs!$G$63+1,-$F$211,0)</f>
        <v>0</v>
      </c>
      <c r="AI211" s="296">
        <f>IF(AI$2=Inputs!$G$63+1,-$F$211,0)</f>
        <v>0</v>
      </c>
      <c r="AJ211" s="296">
        <f>IF(AJ$2=Inputs!$G$63+1,-$F$211,0)</f>
        <v>0</v>
      </c>
    </row>
    <row r="212" spans="2:36" ht="16">
      <c r="B212" s="278" t="s">
        <v>182</v>
      </c>
      <c r="C212" s="278"/>
      <c r="D212" s="278"/>
      <c r="E212" s="303"/>
      <c r="F212" s="296">
        <f>Inputs!$Q$84</f>
        <v>213141.38735006598</v>
      </c>
      <c r="G212" s="296">
        <f>IF(G$2=Inputs!$G$18,-$F$212,0)</f>
        <v>0</v>
      </c>
      <c r="H212" s="296">
        <f>IF(H$2=Inputs!$G$18,-$F$212,0)</f>
        <v>0</v>
      </c>
      <c r="I212" s="296">
        <f>IF(I$2=Inputs!$G$18,-$F$212,0)</f>
        <v>0</v>
      </c>
      <c r="J212" s="296">
        <f>IF(J$2=Inputs!$G$18,-$F$212,0)</f>
        <v>0</v>
      </c>
      <c r="K212" s="296">
        <f>IF(K$2=Inputs!$G$18,-$F$212,0)</f>
        <v>0</v>
      </c>
      <c r="L212" s="296">
        <f>IF(L$2=Inputs!$G$18,-$F$212,0)</f>
        <v>0</v>
      </c>
      <c r="M212" s="296">
        <f>IF(M$2=Inputs!$G$18,-$F$212,0)</f>
        <v>0</v>
      </c>
      <c r="N212" s="296">
        <f>IF(N$2=Inputs!$G$18,-$F$212,0)</f>
        <v>0</v>
      </c>
      <c r="O212" s="296">
        <f>IF(O$2=Inputs!$G$18,-$F$212,0)</f>
        <v>0</v>
      </c>
      <c r="P212" s="296">
        <f>IF(P$2=Inputs!$G$18,-$F$212,0)</f>
        <v>0</v>
      </c>
      <c r="Q212" s="296">
        <f>IF(Q$2=Inputs!$G$18,-$F$212,0)</f>
        <v>0</v>
      </c>
      <c r="R212" s="296">
        <f>IF(R$2=Inputs!$G$18,-$F$212,0)</f>
        <v>0</v>
      </c>
      <c r="S212" s="296">
        <f>IF(S$2=Inputs!$G$18,-$F$212,0)</f>
        <v>0</v>
      </c>
      <c r="T212" s="296">
        <f>IF(T$2=Inputs!$G$18,-$F$212,0)</f>
        <v>0</v>
      </c>
      <c r="U212" s="296">
        <f>IF(U$2=Inputs!$G$18,-$F$212,0)</f>
        <v>0</v>
      </c>
      <c r="V212" s="296">
        <f>IF(V$2=Inputs!$G$18,-$F$212,0)</f>
        <v>0</v>
      </c>
      <c r="W212" s="296">
        <f>IF(W$2=Inputs!$G$18,-$F$212,0)</f>
        <v>0</v>
      </c>
      <c r="X212" s="296">
        <f>IF(X$2=Inputs!$G$18,-$F$212,0)</f>
        <v>0</v>
      </c>
      <c r="Y212" s="296">
        <f>IF(Y$2=Inputs!$G$18,-$F$212,0)</f>
        <v>0</v>
      </c>
      <c r="Z212" s="296">
        <f>IF(Z$2=Inputs!$G$18,-$F$212,0)</f>
        <v>-213141.38735006598</v>
      </c>
      <c r="AA212" s="296">
        <f>IF(AA$2=Inputs!$G$18,-$F$212,0)</f>
        <v>0</v>
      </c>
      <c r="AB212" s="296">
        <f>IF(AB$2=Inputs!$G$18,-$F$212,0)</f>
        <v>0</v>
      </c>
      <c r="AC212" s="296">
        <f>IF(AC$2=Inputs!$G$18,-$F$212,0)</f>
        <v>0</v>
      </c>
      <c r="AD212" s="296">
        <f>IF(AD$2=Inputs!$G$18,-$F$212,0)</f>
        <v>0</v>
      </c>
      <c r="AE212" s="296">
        <f>IF(AE$2=Inputs!$G$18,-$F$212,0)</f>
        <v>0</v>
      </c>
      <c r="AF212" s="296">
        <f>IF(AF$2=Inputs!$G$18,-$F$212,0)</f>
        <v>0</v>
      </c>
      <c r="AG212" s="296">
        <f>IF(AG$2=Inputs!$G$18,-$F$212,0)</f>
        <v>0</v>
      </c>
      <c r="AH212" s="296">
        <f>IF(AH$2=Inputs!$G$18,-$F$212,0)</f>
        <v>0</v>
      </c>
      <c r="AI212" s="296">
        <f>IF(AI$2=Inputs!$G$18,-$F$212,0)</f>
        <v>0</v>
      </c>
      <c r="AJ212" s="296">
        <f>IF(AJ$2=Inputs!$G$18,-$F$212,0)</f>
        <v>0</v>
      </c>
    </row>
    <row r="213" spans="2:36" ht="16">
      <c r="B213" s="278" t="s">
        <v>363</v>
      </c>
      <c r="C213" s="278"/>
      <c r="D213" s="669" t="s">
        <v>367</v>
      </c>
      <c r="E213" s="670">
        <v>10</v>
      </c>
      <c r="F213" s="321">
        <v>0</v>
      </c>
      <c r="G213" s="296">
        <f>IF(AND(G$2&lt;Inputs!$Q$64,(G$2+$E$213)&gt;=Inputs!$Q$64),$E$141/MIN($E213,(Inputs!$Q$64-1)),IF(G$2=Inputs!$Q$64,-($E$141),0))</f>
        <v>0</v>
      </c>
      <c r="H213" s="296">
        <f>IF(AND(H$2&lt;Inputs!$Q$64,(H$2+$E$213)&gt;=Inputs!$Q$64),$E$141/MIN($E213,(Inputs!$Q$64-1)),IF(H$2=Inputs!$Q$64,-($E$141),0))</f>
        <v>0</v>
      </c>
      <c r="I213" s="296">
        <f>IF(AND(I$2&lt;Inputs!$Q$64,(I$2+$E$213)&gt;=Inputs!$Q$64),$E$141/MIN($E213,(Inputs!$Q$64-1)),IF(I$2=Inputs!$Q$64,-($E$141),0))</f>
        <v>0</v>
      </c>
      <c r="J213" s="296">
        <f>IF(AND(J$2&lt;Inputs!$Q$64,(J$2+$E$213)&gt;=Inputs!$Q$64),$E$141/MIN($E213,(Inputs!$Q$64-1)),IF(J$2=Inputs!$Q$64,-($E$141),0))</f>
        <v>0</v>
      </c>
      <c r="K213" s="296">
        <f>IF(AND(K$2&lt;Inputs!$Q$64,(K$2+$E$213)&gt;=Inputs!$Q$64),$E$141/MIN($E213,(Inputs!$Q$64-1)),IF(K$2=Inputs!$Q$64,-($E$141),0))</f>
        <v>0</v>
      </c>
      <c r="L213" s="296">
        <f>IF(AND(L$2&lt;Inputs!$Q$64,(L$2+$E$213)&gt;=Inputs!$Q$64),$E$141/MIN($E213,(Inputs!$Q$64-1)),IF(L$2=Inputs!$Q$64,-($E$141),0))</f>
        <v>0</v>
      </c>
      <c r="M213" s="296">
        <f>IF(AND(M$2&lt;Inputs!$Q$64,(M$2+$E$213)&gt;=Inputs!$Q$64),$E$141/MIN($E213,(Inputs!$Q$64-1)),IF(M$2=Inputs!$Q$64,-($E$141),0))</f>
        <v>0</v>
      </c>
      <c r="N213" s="296">
        <f>IF(AND(N$2&lt;Inputs!$Q$64,(N$2+$E$213)&gt;=Inputs!$Q$64),$E$141/MIN($E213,(Inputs!$Q$64-1)),IF(N$2=Inputs!$Q$64,-($E$141),0))</f>
        <v>0</v>
      </c>
      <c r="O213" s="296">
        <f>IF(AND(O$2&lt;Inputs!$Q$64,(O$2+$E$213)&gt;=Inputs!$Q$64),$E$141/MIN($E213,(Inputs!$Q$64-1)),IF(O$2=Inputs!$Q$64,-($E$141),0))</f>
        <v>0</v>
      </c>
      <c r="P213" s="296">
        <f>IF(AND(P$2&lt;Inputs!$Q$64,(P$2+$E$213)&gt;=Inputs!$Q$64),$E$141/MIN($E213,(Inputs!$Q$64-1)),IF(P$2=Inputs!$Q$64,-($E$141),0))</f>
        <v>0</v>
      </c>
      <c r="Q213" s="296">
        <f>IF(AND(Q$2&lt;Inputs!$Q$64,(Q$2+$E$213)&gt;=Inputs!$Q$64),$E$141/MIN($E213,(Inputs!$Q$64-1)),IF(Q$2=Inputs!$Q$64,-($E$141),0))</f>
        <v>0</v>
      </c>
      <c r="R213" s="296">
        <f>IF(AND(R$2&lt;Inputs!$Q$64,(R$2+$E$213)&gt;=Inputs!$Q$64),$E$141/MIN($E213,(Inputs!$Q$64-1)),IF(R$2=Inputs!$Q$64,-($E$141),0))</f>
        <v>0</v>
      </c>
      <c r="S213" s="296">
        <f>IF(AND(S$2&lt;Inputs!$Q$64,(S$2+$E$213)&gt;=Inputs!$Q$64),$E$141/MIN($E213,(Inputs!$Q$64-1)),IF(S$2=Inputs!$Q$64,-($E$141),0))</f>
        <v>0</v>
      </c>
      <c r="T213" s="296">
        <f>IF(AND(T$2&lt;Inputs!$Q$64,(T$2+$E$213)&gt;=Inputs!$Q$64),$E$141/MIN($E213,(Inputs!$Q$64-1)),IF(T$2=Inputs!$Q$64,-($E$141),0))</f>
        <v>0</v>
      </c>
      <c r="U213" s="296">
        <f>IF(AND(U$2&lt;Inputs!$Q$64,(U$2+$E$213)&gt;=Inputs!$Q$64),$E$141/MIN($E213,(Inputs!$Q$64-1)),IF(U$2=Inputs!$Q$64,-($E$141),0))</f>
        <v>0</v>
      </c>
      <c r="V213" s="296">
        <f>IF(AND(V$2&lt;Inputs!$Q$64,(V$2+$E$213)&gt;=Inputs!$Q$64),$E$141/MIN($E213,(Inputs!$Q$64-1)),IF(V$2=Inputs!$Q$64,-($E$141),0))</f>
        <v>0</v>
      </c>
      <c r="W213" s="296">
        <f>IF(AND(W$2&lt;Inputs!$Q$64,(W$2+$E$213)&gt;=Inputs!$Q$64),$E$141/MIN($E213,(Inputs!$Q$64-1)),IF(W$2=Inputs!$Q$64,-($E$141),0))</f>
        <v>0</v>
      </c>
      <c r="X213" s="296">
        <f>IF(AND(X$2&lt;Inputs!$Q$64,(X$2+$E$213)&gt;=Inputs!$Q$64),$E$141/MIN($E213,(Inputs!$Q$64-1)),IF(X$2=Inputs!$Q$64,-($E$141),0))</f>
        <v>0</v>
      </c>
      <c r="Y213" s="296">
        <f>IF(AND(Y$2&lt;Inputs!$Q$64,(Y$2+$E$213)&gt;=Inputs!$Q$64),$E$141/MIN($E213,(Inputs!$Q$64-1)),IF(Y$2=Inputs!$Q$64,-($E$141),0))</f>
        <v>0</v>
      </c>
      <c r="Z213" s="296">
        <f>IF(AND(Z$2&lt;Inputs!$Q$64,(Z$2+$E$213)&gt;=Inputs!$Q$64),$E$141/MIN($E213,(Inputs!$Q$64-1)),IF(Z$2=Inputs!$Q$64,-($E$141),0))</f>
        <v>0</v>
      </c>
      <c r="AA213" s="296">
        <f>IF(AND(AA$2&lt;Inputs!$Q$64,(AA$2+$E$213)&gt;=Inputs!$Q$64),$E$141/MIN($E213,(Inputs!$Q$64-1)),IF(AA$2=Inputs!$Q$64,-($E$141),0))</f>
        <v>0</v>
      </c>
      <c r="AB213" s="296">
        <f>IF(AND(AB$2&lt;Inputs!$Q$64,(AB$2+$E$213)&gt;=Inputs!$Q$64),$E$141/MIN($E213,(Inputs!$Q$64-1)),IF(AB$2=Inputs!$Q$64,-($E$141),0))</f>
        <v>0</v>
      </c>
      <c r="AC213" s="296">
        <f>IF(AND(AC$2&lt;Inputs!$Q$64,(AC$2+$E$213)&gt;=Inputs!$Q$64),$E$141/MIN($E213,(Inputs!$Q$64-1)),IF(AC$2=Inputs!$Q$64,-($E$141),0))</f>
        <v>0</v>
      </c>
      <c r="AD213" s="296">
        <f>IF(AND(AD$2&lt;Inputs!$Q$64,(AD$2+$E$213)&gt;=Inputs!$Q$64),$E$141/MIN($E213,(Inputs!$Q$64-1)),IF(AD$2=Inputs!$Q$64,-($E$141),0))</f>
        <v>0</v>
      </c>
      <c r="AE213" s="296">
        <f>IF(AND(AE$2&lt;Inputs!$Q$64,(AE$2+$E$213)&gt;=Inputs!$Q$64),$E$141/MIN($E213,(Inputs!$Q$64-1)),IF(AE$2=Inputs!$Q$64,-($E$141),0))</f>
        <v>0</v>
      </c>
      <c r="AF213" s="296">
        <f>IF(AND(AF$2&lt;Inputs!$Q$64,(AF$2+$E$213)&gt;=Inputs!$Q$64),$E$141/MIN($E213,(Inputs!$Q$64-1)),IF(AF$2=Inputs!$Q$64,-($E$141),0))</f>
        <v>0</v>
      </c>
      <c r="AG213" s="296">
        <f>IF(AND(AG$2&lt;Inputs!$Q$64,(AG$2+$E$213)&gt;=Inputs!$Q$64),$E$141/MIN($E213,(Inputs!$Q$64-1)),IF(AG$2=Inputs!$Q$64,-($E$141),0))</f>
        <v>0</v>
      </c>
      <c r="AH213" s="296">
        <f>IF(AND(AH$2&lt;Inputs!$Q$64,(AH$2+$E$213)&gt;=Inputs!$Q$64),$E$141/MIN($E213,(Inputs!$Q$64-1)),IF(AH$2=Inputs!$Q$64,-($E$141),0))</f>
        <v>0</v>
      </c>
      <c r="AI213" s="296">
        <f>IF(AND(AI$2&lt;Inputs!$Q$64,(AI$2+$E$213)&gt;=Inputs!$Q$64),$E$141/MIN($E213,(Inputs!$Q$64-1)),IF(AI$2=Inputs!$Q$64,-($E$141),0))</f>
        <v>0</v>
      </c>
      <c r="AJ213" s="296">
        <f>IF(AND(AJ$2&lt;Inputs!$Q$64,(AJ$2+$E$213)&gt;=Inputs!$Q$64),$E$141/MIN($E213,(Inputs!$Q$64-1)),IF(AJ$2=Inputs!$Q$64,-($E$141),0))</f>
        <v>0</v>
      </c>
    </row>
    <row r="214" spans="2:36" ht="16">
      <c r="B214" s="278" t="s">
        <v>364</v>
      </c>
      <c r="C214" s="278"/>
      <c r="D214" s="669" t="s">
        <v>367</v>
      </c>
      <c r="E214" s="670">
        <v>10</v>
      </c>
      <c r="F214" s="321">
        <v>0</v>
      </c>
      <c r="G214" s="296">
        <f>IF(AND(G$2&lt;Inputs!$Q$66,(G$2+$E$214)&gt;=Inputs!$Q$66),$E$144/MIN($E214,(Inputs!$Q$66-1)),IF(G$2=Inputs!$Q$66,-($E$144),0))</f>
        <v>0</v>
      </c>
      <c r="H214" s="296">
        <f>IF(AND(H$2&lt;Inputs!$Q$66,(H$2+$E$214)&gt;=Inputs!$Q$66),$E$144/MIN($E214,(Inputs!$Q$66-1)),IF(H$2=Inputs!$Q$66,-($E$144),0))</f>
        <v>0</v>
      </c>
      <c r="I214" s="296">
        <f>IF(AND(I$2&lt;Inputs!$Q$66,(I$2+$E$214)&gt;=Inputs!$Q$66),$E$144/MIN($E214,(Inputs!$Q$66-1)),IF(I$2=Inputs!$Q$66,-($E$144),0))</f>
        <v>0</v>
      </c>
      <c r="J214" s="296">
        <f>IF(AND(J$2&lt;Inputs!$Q$66,(J$2+$E$214)&gt;=Inputs!$Q$66),$E$144/MIN($E214,(Inputs!$Q$66-1)),IF(J$2=Inputs!$Q$66,-($E$144),0))</f>
        <v>0</v>
      </c>
      <c r="K214" s="296">
        <f>IF(AND(K$2&lt;Inputs!$Q$66,(K$2+$E$214)&gt;=Inputs!$Q$66),$E$144/MIN($E214,(Inputs!$Q$66-1)),IF(K$2=Inputs!$Q$66,-($E$144),0))</f>
        <v>0</v>
      </c>
      <c r="L214" s="296">
        <f>IF(AND(L$2&lt;Inputs!$Q$66,(L$2+$E$214)&gt;=Inputs!$Q$66),$E$144/MIN($E214,(Inputs!$Q$66-1)),IF(L$2=Inputs!$Q$66,-($E$144),0))</f>
        <v>0</v>
      </c>
      <c r="M214" s="296">
        <f>IF(AND(M$2&lt;Inputs!$Q$66,(M$2+$E$214)&gt;=Inputs!$Q$66),$E$144/MIN($E214,(Inputs!$Q$66-1)),IF(M$2=Inputs!$Q$66,-($E$144),0))</f>
        <v>0</v>
      </c>
      <c r="N214" s="296">
        <f>IF(AND(N$2&lt;Inputs!$Q$66,(N$2+$E$214)&gt;=Inputs!$Q$66),$E$144/MIN($E214,(Inputs!$Q$66-1)),IF(N$2=Inputs!$Q$66,-($E$144),0))</f>
        <v>0</v>
      </c>
      <c r="O214" s="296">
        <f>IF(AND(O$2&lt;Inputs!$Q$66,(O$2+$E$214)&gt;=Inputs!$Q$66),$E$144/MIN($E214,(Inputs!$Q$66-1)),IF(O$2=Inputs!$Q$66,-($E$144),0))</f>
        <v>0</v>
      </c>
      <c r="P214" s="296">
        <f>IF(AND(P$2&lt;Inputs!$Q$66,(P$2+$E$214)&gt;=Inputs!$Q$66),$E$144/MIN($E214,(Inputs!$Q$66-1)),IF(P$2=Inputs!$Q$66,-($E$144),0))</f>
        <v>0</v>
      </c>
      <c r="Q214" s="296">
        <f>IF(AND(Q$2&lt;Inputs!$Q$66,(Q$2+$E$214)&gt;=Inputs!$Q$66),$E$144/MIN($E214,(Inputs!$Q$66-1)),IF(Q$2=Inputs!$Q$66,-($E$144),0))</f>
        <v>0</v>
      </c>
      <c r="R214" s="296">
        <f>IF(AND(R$2&lt;Inputs!$Q$66,(R$2+$E$214)&gt;=Inputs!$Q$66),$E$144/MIN($E214,(Inputs!$Q$66-1)),IF(R$2=Inputs!$Q$66,-($E$144),0))</f>
        <v>0</v>
      </c>
      <c r="S214" s="296">
        <f>IF(AND(S$2&lt;Inputs!$Q$66,(S$2+$E$214)&gt;=Inputs!$Q$66),$E$144/MIN($E214,(Inputs!$Q$66-1)),IF(S$2=Inputs!$Q$66,-($E$144),0))</f>
        <v>0</v>
      </c>
      <c r="T214" s="296">
        <f>IF(AND(T$2&lt;Inputs!$Q$66,(T$2+$E$214)&gt;=Inputs!$Q$66),$E$144/MIN($E214,(Inputs!$Q$66-1)),IF(T$2=Inputs!$Q$66,-($E$144),0))</f>
        <v>0</v>
      </c>
      <c r="U214" s="296">
        <f>IF(AND(U$2&lt;Inputs!$Q$66,(U$2+$E$214)&gt;=Inputs!$Q$66),$E$144/MIN($E214,(Inputs!$Q$66-1)),IF(U$2=Inputs!$Q$66,-($E$144),0))</f>
        <v>0</v>
      </c>
      <c r="V214" s="296">
        <f>IF(AND(V$2&lt;Inputs!$Q$66,(V$2+$E$214)&gt;=Inputs!$Q$66),$E$144/MIN($E214,(Inputs!$Q$66-1)),IF(V$2=Inputs!$Q$66,-($E$144),0))</f>
        <v>0</v>
      </c>
      <c r="W214" s="296">
        <f>IF(AND(W$2&lt;Inputs!$Q$66,(W$2+$E$214)&gt;=Inputs!$Q$66),$E$144/MIN($E214,(Inputs!$Q$66-1)),IF(W$2=Inputs!$Q$66,-($E$144),0))</f>
        <v>0</v>
      </c>
      <c r="X214" s="296">
        <f>IF(AND(X$2&lt;Inputs!$Q$66,(X$2+$E$214)&gt;=Inputs!$Q$66),$E$144/MIN($E214,(Inputs!$Q$66-1)),IF(X$2=Inputs!$Q$66,-($E$144),0))</f>
        <v>0</v>
      </c>
      <c r="Y214" s="296">
        <f>IF(AND(Y$2&lt;Inputs!$Q$66,(Y$2+$E$214)&gt;=Inputs!$Q$66),$E$144/MIN($E214,(Inputs!$Q$66-1)),IF(Y$2=Inputs!$Q$66,-($E$144),0))</f>
        <v>0</v>
      </c>
      <c r="Z214" s="296">
        <f>IF(AND(Z$2&lt;Inputs!$Q$66,(Z$2+$E$214)&gt;=Inputs!$Q$66),$E$144/MIN($E214,(Inputs!$Q$66-1)),IF(Z$2=Inputs!$Q$66,-($E$144),0))</f>
        <v>0</v>
      </c>
      <c r="AA214" s="296">
        <f>IF(AND(AA$2&lt;Inputs!$Q$66,(AA$2+$E$214)&gt;=Inputs!$Q$66),$E$144/MIN($E214,(Inputs!$Q$66-1)),IF(AA$2=Inputs!$Q$66,-($E$144),0))</f>
        <v>0</v>
      </c>
      <c r="AB214" s="296">
        <f>IF(AND(AB$2&lt;Inputs!$Q$66,(AB$2+$E$214)&gt;=Inputs!$Q$66),$E$144/MIN($E214,(Inputs!$Q$66-1)),IF(AB$2=Inputs!$Q$66,-($E$144),0))</f>
        <v>0</v>
      </c>
      <c r="AC214" s="296">
        <f>IF(AND(AC$2&lt;Inputs!$Q$66,(AC$2+$E$214)&gt;=Inputs!$Q$66),$E$144/MIN($E214,(Inputs!$Q$66-1)),IF(AC$2=Inputs!$Q$66,-($E$144),0))</f>
        <v>0</v>
      </c>
      <c r="AD214" s="296">
        <f>IF(AND(AD$2&lt;Inputs!$Q$66,(AD$2+$E$214)&gt;=Inputs!$Q$66),$E$144/MIN($E214,(Inputs!$Q$66-1)),IF(AD$2=Inputs!$Q$66,-($E$144),0))</f>
        <v>0</v>
      </c>
      <c r="AE214" s="296">
        <f>IF(AND(AE$2&lt;Inputs!$Q$66,(AE$2+$E$214)&gt;=Inputs!$Q$66),$E$144/MIN($E214,(Inputs!$Q$66-1)),IF(AE$2=Inputs!$Q$66,-($E$144),0))</f>
        <v>0</v>
      </c>
      <c r="AF214" s="296">
        <f>IF(AND(AF$2&lt;Inputs!$Q$66,(AF$2+$E$214)&gt;=Inputs!$Q$66),$E$144/MIN($E214,(Inputs!$Q$66-1)),IF(AF$2=Inputs!$Q$66,-($E$144),0))</f>
        <v>0</v>
      </c>
      <c r="AG214" s="296">
        <f>IF(AND(AG$2&lt;Inputs!$Q$66,(AG$2+$E$214)&gt;=Inputs!$Q$66),$E$144/MIN($E214,(Inputs!$Q$66-1)),IF(AG$2=Inputs!$Q$66,-($E$144),0))</f>
        <v>0</v>
      </c>
      <c r="AH214" s="296">
        <f>IF(AND(AH$2&lt;Inputs!$Q$66,(AH$2+$E$214)&gt;=Inputs!$Q$66),$E$144/MIN($E214,(Inputs!$Q$66-1)),IF(AH$2=Inputs!$Q$66,-($E$144),0))</f>
        <v>0</v>
      </c>
      <c r="AI214" s="296">
        <f>IF(AND(AI$2&lt;Inputs!$Q$66,(AI$2+$E$214)&gt;=Inputs!$Q$66),$E$144/MIN($E214,(Inputs!$Q$66-1)),IF(AI$2=Inputs!$Q$66,-($E$144),0))</f>
        <v>0</v>
      </c>
      <c r="AJ214" s="296">
        <f>IF(AND(AJ$2&lt;Inputs!$Q$66,(AJ$2+$E$214)&gt;=Inputs!$Q$66),$E$144/MIN($E214,(Inputs!$Q$66-1)),IF(AJ$2=Inputs!$Q$66,-($E$144),0))</f>
        <v>0</v>
      </c>
    </row>
    <row r="215" spans="2:36" ht="16">
      <c r="B215" s="278" t="s">
        <v>365</v>
      </c>
      <c r="C215" s="278"/>
      <c r="D215" s="669" t="s">
        <v>367</v>
      </c>
      <c r="E215" s="670">
        <v>10</v>
      </c>
      <c r="F215" s="321">
        <v>0</v>
      </c>
      <c r="G215" s="296">
        <f>IF(AND(G$2&lt;Inputs!$Q$68,(G$2+$E$215)&gt;=Inputs!$Q$68),$E$147/MIN($E215,(Inputs!$Q$68-1)),IF(G$2=Inputs!$Q$68,-($E$147),0))</f>
        <v>0</v>
      </c>
      <c r="H215" s="296">
        <f>IF(AND(H$2&lt;Inputs!$Q$68,(H$2+$E$215)&gt;=Inputs!$Q$68),$E$147/MIN($E215,(Inputs!$Q$68-1)),IF(H$2=Inputs!$Q$68,-($E$147),0))</f>
        <v>0</v>
      </c>
      <c r="I215" s="296">
        <f>IF(AND(I$2&lt;Inputs!$Q$68,(I$2+$E$215)&gt;=Inputs!$Q$68),$E$147/MIN($E215,(Inputs!$Q$68-1)),IF(I$2=Inputs!$Q$68,-($E$147),0))</f>
        <v>0</v>
      </c>
      <c r="J215" s="296">
        <f>IF(AND(J$2&lt;Inputs!$Q$68,(J$2+$E$215)&gt;=Inputs!$Q$68),$E$147/MIN($E215,(Inputs!$Q$68-1)),IF(J$2=Inputs!$Q$68,-($E$147),0))</f>
        <v>0</v>
      </c>
      <c r="K215" s="296">
        <f>IF(AND(K$2&lt;Inputs!$Q$68,(K$2+$E$215)&gt;=Inputs!$Q$68),$E$147/MIN($E215,(Inputs!$Q$68-1)),IF(K$2=Inputs!$Q$68,-($E$147),0))</f>
        <v>0</v>
      </c>
      <c r="L215" s="296">
        <f>IF(AND(L$2&lt;Inputs!$Q$68,(L$2+$E$215)&gt;=Inputs!$Q$68),$E$147/MIN($E215,(Inputs!$Q$68-1)),IF(L$2=Inputs!$Q$68,-($E$147),0))</f>
        <v>0</v>
      </c>
      <c r="M215" s="296">
        <f>IF(AND(M$2&lt;Inputs!$Q$68,(M$2+$E$215)&gt;=Inputs!$Q$68),$E$147/MIN($E215,(Inputs!$Q$68-1)),IF(M$2=Inputs!$Q$68,-($E$147),0))</f>
        <v>0</v>
      </c>
      <c r="N215" s="296">
        <f>IF(AND(N$2&lt;Inputs!$Q$68,(N$2+$E$215)&gt;=Inputs!$Q$68),$E$147/MIN($E215,(Inputs!$Q$68-1)),IF(N$2=Inputs!$Q$68,-($E$147),0))</f>
        <v>0</v>
      </c>
      <c r="O215" s="296">
        <f>IF(AND(O$2&lt;Inputs!$Q$68,(O$2+$E$215)&gt;=Inputs!$Q$68),$E$147/MIN($E215,(Inputs!$Q$68-1)),IF(O$2=Inputs!$Q$68,-($E$147),0))</f>
        <v>0</v>
      </c>
      <c r="P215" s="296">
        <f>IF(AND(P$2&lt;Inputs!$Q$68,(P$2+$E$215)&gt;=Inputs!$Q$68),$E$147/MIN($E215,(Inputs!$Q$68-1)),IF(P$2=Inputs!$Q$68,-($E$147),0))</f>
        <v>0</v>
      </c>
      <c r="Q215" s="296">
        <f>IF(AND(Q$2&lt;Inputs!$Q$68,(Q$2+$E$215)&gt;=Inputs!$Q$68),$E$147/MIN($E215,(Inputs!$Q$68-1)),IF(Q$2=Inputs!$Q$68,-($E$147),0))</f>
        <v>0</v>
      </c>
      <c r="R215" s="296">
        <f>IF(AND(R$2&lt;Inputs!$Q$68,(R$2+$E$215)&gt;=Inputs!$Q$68),$E$147/MIN($E215,(Inputs!$Q$68-1)),IF(R$2=Inputs!$Q$68,-($E$147),0))</f>
        <v>0</v>
      </c>
      <c r="S215" s="296">
        <f>IF(AND(S$2&lt;Inputs!$Q$68,(S$2+$E$215)&gt;=Inputs!$Q$68),$E$147/MIN($E215,(Inputs!$Q$68-1)),IF(S$2=Inputs!$Q$68,-($E$147),0))</f>
        <v>0</v>
      </c>
      <c r="T215" s="296">
        <f>IF(AND(T$2&lt;Inputs!$Q$68,(T$2+$E$215)&gt;=Inputs!$Q$68),$E$147/MIN($E215,(Inputs!$Q$68-1)),IF(T$2=Inputs!$Q$68,-($E$147),0))</f>
        <v>0</v>
      </c>
      <c r="U215" s="296">
        <f>IF(AND(U$2&lt;Inputs!$Q$68,(U$2+$E$215)&gt;=Inputs!$Q$68),$E$147/MIN($E215,(Inputs!$Q$68-1)),IF(U$2=Inputs!$Q$68,-($E$147),0))</f>
        <v>0</v>
      </c>
      <c r="V215" s="296">
        <f>IF(AND(V$2&lt;Inputs!$Q$68,(V$2+$E$215)&gt;=Inputs!$Q$68),$E$147/MIN($E215,(Inputs!$Q$68-1)),IF(V$2=Inputs!$Q$68,-($E$147),0))</f>
        <v>0</v>
      </c>
      <c r="W215" s="296">
        <f>IF(AND(W$2&lt;Inputs!$Q$68,(W$2+$E$215)&gt;=Inputs!$Q$68),$E$147/MIN($E215,(Inputs!$Q$68-1)),IF(W$2=Inputs!$Q$68,-($E$147),0))</f>
        <v>0</v>
      </c>
      <c r="X215" s="296">
        <f>IF(AND(X$2&lt;Inputs!$Q$68,(X$2+$E$215)&gt;=Inputs!$Q$68),$E$147/MIN($E215,(Inputs!$Q$68-1)),IF(X$2=Inputs!$Q$68,-($E$147),0))</f>
        <v>0</v>
      </c>
      <c r="Y215" s="296">
        <f>IF(AND(Y$2&lt;Inputs!$Q$68,(Y$2+$E$215)&gt;=Inputs!$Q$68),$E$147/MIN($E215,(Inputs!$Q$68-1)),IF(Y$2=Inputs!$Q$68,-($E$147),0))</f>
        <v>0</v>
      </c>
      <c r="Z215" s="296">
        <f>IF(AND(Z$2&lt;Inputs!$Q$68,(Z$2+$E$215)&gt;=Inputs!$Q$68),$E$147/MIN($E215,(Inputs!$Q$68-1)),IF(Z$2=Inputs!$Q$68,-($E$147),0))</f>
        <v>0</v>
      </c>
      <c r="AA215" s="296">
        <f>IF(AND(AA$2&lt;Inputs!$Q$68,(AA$2+$E$215)&gt;=Inputs!$Q$68),$E$147/MIN($E215,(Inputs!$Q$68-1)),IF(AA$2=Inputs!$Q$68,-($E$147),0))</f>
        <v>0</v>
      </c>
      <c r="AB215" s="296">
        <f>IF(AND(AB$2&lt;Inputs!$Q$68,(AB$2+$E$215)&gt;=Inputs!$Q$68),$E$147/MIN($E215,(Inputs!$Q$68-1)),IF(AB$2=Inputs!$Q$68,-($E$147),0))</f>
        <v>0</v>
      </c>
      <c r="AC215" s="296">
        <f>IF(AND(AC$2&lt;Inputs!$Q$68,(AC$2+$E$215)&gt;=Inputs!$Q$68),$E$147/MIN($E215,(Inputs!$Q$68-1)),IF(AC$2=Inputs!$Q$68,-($E$147),0))</f>
        <v>0</v>
      </c>
      <c r="AD215" s="296">
        <f>IF(AND(AD$2&lt;Inputs!$Q$68,(AD$2+$E$215)&gt;=Inputs!$Q$68),$E$147/MIN($E215,(Inputs!$Q$68-1)),IF(AD$2=Inputs!$Q$68,-($E$147),0))</f>
        <v>0</v>
      </c>
      <c r="AE215" s="296">
        <f>IF(AND(AE$2&lt;Inputs!$Q$68,(AE$2+$E$215)&gt;=Inputs!$Q$68),$E$147/MIN($E215,(Inputs!$Q$68-1)),IF(AE$2=Inputs!$Q$68,-($E$147),0))</f>
        <v>0</v>
      </c>
      <c r="AF215" s="296">
        <f>IF(AND(AF$2&lt;Inputs!$Q$68,(AF$2+$E$215)&gt;=Inputs!$Q$68),$E$147/MIN($E215,(Inputs!$Q$68-1)),IF(AF$2=Inputs!$Q$68,-($E$147),0))</f>
        <v>0</v>
      </c>
      <c r="AG215" s="296">
        <f>IF(AND(AG$2&lt;Inputs!$Q$68,(AG$2+$E$215)&gt;=Inputs!$Q$68),$E$147/MIN($E215,(Inputs!$Q$68-1)),IF(AG$2=Inputs!$Q$68,-($E$147),0))</f>
        <v>0</v>
      </c>
      <c r="AH215" s="296">
        <f>IF(AND(AH$2&lt;Inputs!$Q$68,(AH$2+$E$215)&gt;=Inputs!$Q$68),$E$147/MIN($E215,(Inputs!$Q$68-1)),IF(AH$2=Inputs!$Q$68,-($E$147),0))</f>
        <v>0</v>
      </c>
      <c r="AI215" s="296">
        <f>IF(AND(AI$2&lt;Inputs!$Q$68,(AI$2+$E$215)&gt;=Inputs!$Q$68),$E$147/MIN($E215,(Inputs!$Q$68-1)),IF(AI$2=Inputs!$Q$68,-($E$147),0))</f>
        <v>0</v>
      </c>
      <c r="AJ215" s="296">
        <f>IF(AND(AJ$2&lt;Inputs!$Q$68,(AJ$2+$E$215)&gt;=Inputs!$Q$68),$E$147/MIN($E215,(Inputs!$Q$68-1)),IF(AJ$2=Inputs!$Q$68,-($E$147),0))</f>
        <v>0</v>
      </c>
    </row>
    <row r="216" spans="2:36" ht="16">
      <c r="B216" s="278" t="s">
        <v>366</v>
      </c>
      <c r="C216" s="278"/>
      <c r="D216" s="669" t="s">
        <v>367</v>
      </c>
      <c r="E216" s="670">
        <v>10</v>
      </c>
      <c r="F216" s="321">
        <v>0</v>
      </c>
      <c r="G216" s="296">
        <f>IF(AND(G$2&lt;Inputs!$Q$70,(G$2+$E$216)&gt;=Inputs!$Q$70),$E$150/MIN($E216,(Inputs!$Q$70-1)),IF(G$2=Inputs!$Q$70,-($E$150),0))</f>
        <v>0</v>
      </c>
      <c r="H216" s="296">
        <f>IF(AND(H$2&lt;Inputs!$Q$70,(H$2+$E$216)&gt;=Inputs!$Q$70),$E$150/MIN($E216,(Inputs!$Q$70-1)),IF(H$2=Inputs!$Q$70,-($E$150),0))</f>
        <v>0</v>
      </c>
      <c r="I216" s="296">
        <f>IF(AND(I$2&lt;Inputs!$Q$70,(I$2+$E$216)&gt;=Inputs!$Q$70),$E$150/MIN($E216,(Inputs!$Q$70-1)),IF(I$2=Inputs!$Q$70,-($E$150),0))</f>
        <v>0</v>
      </c>
      <c r="J216" s="296">
        <f>IF(AND(J$2&lt;Inputs!$Q$70,(J$2+$E$216)&gt;=Inputs!$Q$70),$E$150/MIN($E216,(Inputs!$Q$70-1)),IF(J$2=Inputs!$Q$70,-($E$150),0))</f>
        <v>0</v>
      </c>
      <c r="K216" s="296">
        <f>IF(AND(K$2&lt;Inputs!$Q$70,(K$2+$E$216)&gt;=Inputs!$Q$70),$E$150/MIN($E216,(Inputs!$Q$70-1)),IF(K$2=Inputs!$Q$70,-($E$150),0))</f>
        <v>0</v>
      </c>
      <c r="L216" s="296">
        <f>IF(AND(L$2&lt;Inputs!$Q$70,(L$2+$E$216)&gt;=Inputs!$Q$70),$E$150/MIN($E216,(Inputs!$Q$70-1)),IF(L$2=Inputs!$Q$70,-($E$150),0))</f>
        <v>0</v>
      </c>
      <c r="M216" s="296">
        <f>IF(AND(M$2&lt;Inputs!$Q$70,(M$2+$E$216)&gt;=Inputs!$Q$70),$E$150/MIN($E216,(Inputs!$Q$70-1)),IF(M$2=Inputs!$Q$70,-($E$150),0))</f>
        <v>0</v>
      </c>
      <c r="N216" s="296">
        <f>IF(AND(N$2&lt;Inputs!$Q$70,(N$2+$E$216)&gt;=Inputs!$Q$70),$E$150/MIN($E216,(Inputs!$Q$70-1)),IF(N$2=Inputs!$Q$70,-($E$150),0))</f>
        <v>0</v>
      </c>
      <c r="O216" s="296">
        <f>IF(AND(O$2&lt;Inputs!$Q$70,(O$2+$E$216)&gt;=Inputs!$Q$70),$E$150/MIN($E216,(Inputs!$Q$70-1)),IF(O$2=Inputs!$Q$70,-($E$150),0))</f>
        <v>0</v>
      </c>
      <c r="P216" s="296">
        <f>IF(AND(P$2&lt;Inputs!$Q$70,(P$2+$E$216)&gt;=Inputs!$Q$70),$E$150/MIN($E216,(Inputs!$Q$70-1)),IF(P$2=Inputs!$Q$70,-($E$150),0))</f>
        <v>0</v>
      </c>
      <c r="Q216" s="296">
        <f>IF(AND(Q$2&lt;Inputs!$Q$70,(Q$2+$E$216)&gt;=Inputs!$Q$70),$E$150/MIN($E216,(Inputs!$Q$70-1)),IF(Q$2=Inputs!$Q$70,-($E$150),0))</f>
        <v>0</v>
      </c>
      <c r="R216" s="296">
        <f>IF(AND(R$2&lt;Inputs!$Q$70,(R$2+$E$216)&gt;=Inputs!$Q$70),$E$150/MIN($E216,(Inputs!$Q$70-1)),IF(R$2=Inputs!$Q$70,-($E$150),0))</f>
        <v>0</v>
      </c>
      <c r="S216" s="296">
        <f>IF(AND(S$2&lt;Inputs!$Q$70,(S$2+$E$216)&gt;=Inputs!$Q$70),$E$150/MIN($E216,(Inputs!$Q$70-1)),IF(S$2=Inputs!$Q$70,-($E$150),0))</f>
        <v>0</v>
      </c>
      <c r="T216" s="296">
        <f>IF(AND(T$2&lt;Inputs!$Q$70,(T$2+$E$216)&gt;=Inputs!$Q$70),$E$150/MIN($E216,(Inputs!$Q$70-1)),IF(T$2=Inputs!$Q$70,-($E$150),0))</f>
        <v>0</v>
      </c>
      <c r="U216" s="296">
        <f>IF(AND(U$2&lt;Inputs!$Q$70,(U$2+$E$216)&gt;=Inputs!$Q$70),$E$150/MIN($E216,(Inputs!$Q$70-1)),IF(U$2=Inputs!$Q$70,-($E$150),0))</f>
        <v>0</v>
      </c>
      <c r="V216" s="296">
        <f>IF(AND(V$2&lt;Inputs!$Q$70,(V$2+$E$216)&gt;=Inputs!$Q$70),$E$150/MIN($E216,(Inputs!$Q$70-1)),IF(V$2=Inputs!$Q$70,-($E$150),0))</f>
        <v>0</v>
      </c>
      <c r="W216" s="296">
        <f>IF(AND(W$2&lt;Inputs!$Q$70,(W$2+$E$216)&gt;=Inputs!$Q$70),$E$150/MIN($E216,(Inputs!$Q$70-1)),IF(W$2=Inputs!$Q$70,-($E$150),0))</f>
        <v>0</v>
      </c>
      <c r="X216" s="296">
        <f>IF(AND(X$2&lt;Inputs!$Q$70,(X$2+$E$216)&gt;=Inputs!$Q$70),$E$150/MIN($E216,(Inputs!$Q$70-1)),IF(X$2=Inputs!$Q$70,-($E$150),0))</f>
        <v>0</v>
      </c>
      <c r="Y216" s="296">
        <f>IF(AND(Y$2&lt;Inputs!$Q$70,(Y$2+$E$216)&gt;=Inputs!$Q$70),$E$150/MIN($E216,(Inputs!$Q$70-1)),IF(Y$2=Inputs!$Q$70,-($E$150),0))</f>
        <v>0</v>
      </c>
      <c r="Z216" s="296">
        <f>IF(AND(Z$2&lt;Inputs!$Q$70,(Z$2+$E$216)&gt;=Inputs!$Q$70),$E$150/MIN($E216,(Inputs!$Q$70-1)),IF(Z$2=Inputs!$Q$70,-($E$150),0))</f>
        <v>0</v>
      </c>
      <c r="AA216" s="296">
        <f>IF(AND(AA$2&lt;Inputs!$Q$70,(AA$2+$E$216)&gt;=Inputs!$Q$70),$E$150/MIN($E216,(Inputs!$Q$70-1)),IF(AA$2=Inputs!$Q$70,-($E$150),0))</f>
        <v>0</v>
      </c>
      <c r="AB216" s="296">
        <f>IF(AND(AB$2&lt;Inputs!$Q$70,(AB$2+$E$216)&gt;=Inputs!$Q$70),$E$150/MIN($E216,(Inputs!$Q$70-1)),IF(AB$2=Inputs!$Q$70,-($E$150),0))</f>
        <v>0</v>
      </c>
      <c r="AC216" s="296">
        <f>IF(AND(AC$2&lt;Inputs!$Q$70,(AC$2+$E$216)&gt;=Inputs!$Q$70),$E$150/MIN($E216,(Inputs!$Q$70-1)),IF(AC$2=Inputs!$Q$70,-($E$150),0))</f>
        <v>0</v>
      </c>
      <c r="AD216" s="296">
        <f>IF(AND(AD$2&lt;Inputs!$Q$70,(AD$2+$E$216)&gt;=Inputs!$Q$70),$E$150/MIN($E216,(Inputs!$Q$70-1)),IF(AD$2=Inputs!$Q$70,-($E$150),0))</f>
        <v>0</v>
      </c>
      <c r="AE216" s="296">
        <f>IF(AND(AE$2&lt;Inputs!$Q$70,(AE$2+$E$216)&gt;=Inputs!$Q$70),$E$150/MIN($E216,(Inputs!$Q$70-1)),IF(AE$2=Inputs!$Q$70,-($E$150),0))</f>
        <v>0</v>
      </c>
      <c r="AF216" s="296">
        <f>IF(AND(AF$2&lt;Inputs!$Q$70,(AF$2+$E$216)&gt;=Inputs!$Q$70),$E$150/MIN($E216,(Inputs!$Q$70-1)),IF(AF$2=Inputs!$Q$70,-($E$150),0))</f>
        <v>0</v>
      </c>
      <c r="AG216" s="296">
        <f>IF(AND(AG$2&lt;Inputs!$Q$70,(AG$2+$E$216)&gt;=Inputs!$Q$70),$E$150/MIN($E216,(Inputs!$Q$70-1)),IF(AG$2=Inputs!$Q$70,-($E$150),0))</f>
        <v>0</v>
      </c>
      <c r="AH216" s="296">
        <f>IF(AND(AH$2&lt;Inputs!$Q$70,(AH$2+$E$216)&gt;=Inputs!$Q$70),$E$150/MIN($E216,(Inputs!$Q$70-1)),IF(AH$2=Inputs!$Q$70,-($E$150),0))</f>
        <v>0</v>
      </c>
      <c r="AI216" s="296">
        <f>IF(AND(AI$2&lt;Inputs!$Q$70,(AI$2+$E$216)&gt;=Inputs!$Q$70),$E$150/MIN($E216,(Inputs!$Q$70-1)),IF(AI$2=Inputs!$Q$70,-($E$150),0))</f>
        <v>0</v>
      </c>
      <c r="AJ216" s="296">
        <f>IF(AND(AJ$2&lt;Inputs!$Q$70,(AJ$2+$E$216)&gt;=Inputs!$Q$70),$E$150/MIN($E216,(Inputs!$Q$70-1)),IF(AJ$2=Inputs!$Q$70,-($E$150),0))</f>
        <v>0</v>
      </c>
    </row>
    <row r="217" spans="2:36" ht="16">
      <c r="B217" s="278" t="s">
        <v>43</v>
      </c>
      <c r="C217" s="278"/>
      <c r="D217" s="278"/>
      <c r="E217" s="303"/>
      <c r="F217" s="321">
        <v>0</v>
      </c>
      <c r="G217" s="296">
        <f>IF(OR(G$2&gt;Inputs!$G$18,Inputs!$Q$75="salvage"),0,Inputs!$Q$76/Inputs!$Q$22)</f>
        <v>0</v>
      </c>
      <c r="H217" s="296">
        <f>IF(OR(H$2&gt;Inputs!$G$18,Inputs!$Q$75="salvage"),0,Inputs!$Q$76/Inputs!$Q$22)</f>
        <v>0</v>
      </c>
      <c r="I217" s="296">
        <f>IF(OR(I$2&gt;Inputs!$G$18,Inputs!$Q$75="salvage"),0,Inputs!$Q$76/Inputs!$Q$22)</f>
        <v>0</v>
      </c>
      <c r="J217" s="296">
        <f>IF(OR(J$2&gt;Inputs!$G$18,Inputs!$Q$75="salvage"),0,Inputs!$Q$76/Inputs!$Q$22)</f>
        <v>0</v>
      </c>
      <c r="K217" s="296">
        <f>IF(OR(K$2&gt;Inputs!$G$18,Inputs!$Q$75="salvage"),0,Inputs!$Q$76/Inputs!$Q$22)</f>
        <v>0</v>
      </c>
      <c r="L217" s="296">
        <f>IF(OR(L$2&gt;Inputs!$G$18,Inputs!$Q$75="salvage"),0,Inputs!$Q$76/Inputs!$Q$22)</f>
        <v>0</v>
      </c>
      <c r="M217" s="296">
        <f>IF(OR(M$2&gt;Inputs!$G$18,Inputs!$Q$75="salvage"),0,Inputs!$Q$76/Inputs!$Q$22)</f>
        <v>0</v>
      </c>
      <c r="N217" s="296">
        <f>IF(OR(N$2&gt;Inputs!$G$18,Inputs!$Q$75="salvage"),0,Inputs!$Q$76/Inputs!$Q$22)</f>
        <v>0</v>
      </c>
      <c r="O217" s="296">
        <f>IF(OR(O$2&gt;Inputs!$G$18,Inputs!$Q$75="salvage"),0,Inputs!$Q$76/Inputs!$Q$22)</f>
        <v>0</v>
      </c>
      <c r="P217" s="296">
        <f>IF(OR(P$2&gt;Inputs!$G$18,Inputs!$Q$75="salvage"),0,Inputs!$Q$76/Inputs!$Q$22)</f>
        <v>0</v>
      </c>
      <c r="Q217" s="296">
        <f>IF(OR(Q$2&gt;Inputs!$G$18,Inputs!$Q$75="salvage"),0,Inputs!$Q$76/Inputs!$Q$22)</f>
        <v>0</v>
      </c>
      <c r="R217" s="296">
        <f>IF(OR(R$2&gt;Inputs!$G$18,Inputs!$Q$75="salvage"),0,Inputs!$Q$76/Inputs!$Q$22)</f>
        <v>0</v>
      </c>
      <c r="S217" s="296">
        <f>IF(OR(S$2&gt;Inputs!$G$18,Inputs!$Q$75="salvage"),0,Inputs!$Q$76/Inputs!$Q$22)</f>
        <v>0</v>
      </c>
      <c r="T217" s="296">
        <f>IF(OR(T$2&gt;Inputs!$G$18,Inputs!$Q$75="salvage"),0,Inputs!$Q$76/Inputs!$Q$22)</f>
        <v>0</v>
      </c>
      <c r="U217" s="296">
        <f>IF(OR(U$2&gt;Inputs!$G$18,Inputs!$Q$75="salvage"),0,Inputs!$Q$76/Inputs!$Q$22)</f>
        <v>0</v>
      </c>
      <c r="V217" s="296">
        <f>IF(OR(V$2&gt;Inputs!$G$18,Inputs!$Q$75="salvage"),0,Inputs!$Q$76/Inputs!$Q$22)</f>
        <v>0</v>
      </c>
      <c r="W217" s="296">
        <f>IF(OR(W$2&gt;Inputs!$G$18,Inputs!$Q$75="salvage"),0,Inputs!$Q$76/Inputs!$Q$22)</f>
        <v>0</v>
      </c>
      <c r="X217" s="296">
        <f>IF(OR(X$2&gt;Inputs!$G$18,Inputs!$Q$75="salvage"),0,Inputs!$Q$76/Inputs!$Q$22)</f>
        <v>0</v>
      </c>
      <c r="Y217" s="296">
        <f>IF(OR(Y$2&gt;Inputs!$G$18,Inputs!$Q$75="salvage"),0,Inputs!$Q$76/Inputs!$Q$22)</f>
        <v>0</v>
      </c>
      <c r="Z217" s="296">
        <f>IF(OR(Z$2&gt;Inputs!$G$18,Inputs!$Q$75="salvage"),0,Inputs!$Q$76/Inputs!$Q$22)</f>
        <v>0</v>
      </c>
      <c r="AA217" s="296">
        <f>IF(OR(AA$2&gt;Inputs!$G$18,Inputs!$Q$75="salvage"),0,Inputs!$Q$76/Inputs!$Q$22)</f>
        <v>0</v>
      </c>
      <c r="AB217" s="296">
        <f>IF(OR(AB$2&gt;Inputs!$G$18,Inputs!$Q$75="salvage"),0,Inputs!$Q$76/Inputs!$Q$22)</f>
        <v>0</v>
      </c>
      <c r="AC217" s="296">
        <f>IF(OR(AC$2&gt;Inputs!$G$18,Inputs!$Q$75="salvage"),0,Inputs!$Q$76/Inputs!$Q$22)</f>
        <v>0</v>
      </c>
      <c r="AD217" s="296">
        <f>IF(OR(AD$2&gt;Inputs!$G$18,Inputs!$Q$75="salvage"),0,Inputs!$Q$76/Inputs!$Q$22)</f>
        <v>0</v>
      </c>
      <c r="AE217" s="296">
        <f>IF(OR(AE$2&gt;Inputs!$G$18,Inputs!$Q$75="salvage"),0,Inputs!$Q$76/Inputs!$Q$22)</f>
        <v>0</v>
      </c>
      <c r="AF217" s="296">
        <f>IF(OR(AF$2&gt;Inputs!$G$18,Inputs!$Q$75="salvage"),0,Inputs!$Q$76/Inputs!$Q$22)</f>
        <v>0</v>
      </c>
      <c r="AG217" s="296">
        <f>IF(OR(AG$2&gt;Inputs!$G$18,Inputs!$Q$75="salvage"),0,Inputs!$Q$76/Inputs!$Q$22)</f>
        <v>0</v>
      </c>
      <c r="AH217" s="296">
        <f>IF(OR(AH$2&gt;Inputs!$G$18,Inputs!$Q$75="salvage"),0,Inputs!$Q$76/Inputs!$Q$22)</f>
        <v>0</v>
      </c>
      <c r="AI217" s="296">
        <f>IF(OR(AI$2&gt;Inputs!$G$18,Inputs!$Q$75="salvage"),0,Inputs!$Q$76/Inputs!$Q$22)</f>
        <v>0</v>
      </c>
      <c r="AJ217" s="296">
        <f>IF(OR(AJ$2&gt;Inputs!$G$18,Inputs!$Q$75="salvage"),0,Inputs!$Q$76/Inputs!$Q$22)</f>
        <v>0</v>
      </c>
    </row>
    <row r="218" spans="2:36" ht="16">
      <c r="B218" s="259" t="s">
        <v>90</v>
      </c>
      <c r="C218" s="259"/>
      <c r="D218" s="259"/>
      <c r="E218" s="303"/>
      <c r="F218" s="296">
        <f>IF(F$2&gt;Inputs!$G$18,0,SUM(F210:F217))</f>
        <v>336531.32449058129</v>
      </c>
      <c r="G218" s="296">
        <f>IF(G$2&gt;Inputs!$G$18,0,SUM(G210:G217))</f>
        <v>336531.32449058129</v>
      </c>
      <c r="H218" s="296">
        <f>IF(H$2&gt;Inputs!$G$18,0,SUM(H210:H217))</f>
        <v>336531.32449058129</v>
      </c>
      <c r="I218" s="296">
        <f>IF(I$2&gt;Inputs!$G$18,0,SUM(I210:I217))</f>
        <v>336531.32449058129</v>
      </c>
      <c r="J218" s="296">
        <f>IF(J$2&gt;Inputs!$G$18,0,SUM(J210:J217))</f>
        <v>336531.32449058129</v>
      </c>
      <c r="K218" s="296">
        <f>IF(K$2&gt;Inputs!$G$18,0,SUM(K210:K217))</f>
        <v>336531.32449058129</v>
      </c>
      <c r="L218" s="296">
        <f>IF(L$2&gt;Inputs!$G$18,0,SUM(L210:L217))</f>
        <v>336531.32449058129</v>
      </c>
      <c r="M218" s="296">
        <f>IF(M$2&gt;Inputs!$G$18,0,SUM(M210:M217))</f>
        <v>336531.32449058129</v>
      </c>
      <c r="N218" s="296">
        <f>IF(N$2&gt;Inputs!$G$18,0,SUM(N210:N217))</f>
        <v>336531.32449058129</v>
      </c>
      <c r="O218" s="296">
        <f>IF(O$2&gt;Inputs!$G$18,0,SUM(O210:O217))</f>
        <v>336531.32449058129</v>
      </c>
      <c r="P218" s="296">
        <f>IF(P$2&gt;Inputs!$G$18,0,SUM(P210:P217))</f>
        <v>336531.32449058129</v>
      </c>
      <c r="Q218" s="296">
        <f>IF(Q$2&gt;Inputs!$G$18,0,SUM(Q210:Q217))</f>
        <v>336531.32449058129</v>
      </c>
      <c r="R218" s="296">
        <f>IF(R$2&gt;Inputs!$G$18,0,SUM(R210:R217))</f>
        <v>336531.32449058129</v>
      </c>
      <c r="S218" s="296">
        <f>IF(S$2&gt;Inputs!$G$18,0,SUM(S210:S217))</f>
        <v>336531.32449058129</v>
      </c>
      <c r="T218" s="296">
        <f>IF(T$2&gt;Inputs!$G$18,0,SUM(T210:T217))</f>
        <v>213141.38735006595</v>
      </c>
      <c r="U218" s="296">
        <f>IF(U$2&gt;Inputs!$G$18,0,SUM(U210:U217))</f>
        <v>213141.38735006595</v>
      </c>
      <c r="V218" s="296">
        <f>IF(V$2&gt;Inputs!$G$18,0,SUM(V210:V217))</f>
        <v>213141.38735006595</v>
      </c>
      <c r="W218" s="296">
        <f>IF(W$2&gt;Inputs!$G$18,0,SUM(W210:W217))</f>
        <v>213141.38735006595</v>
      </c>
      <c r="X218" s="296">
        <f>IF(X$2&gt;Inputs!$G$18,0,SUM(X210:X217))</f>
        <v>213141.38735006595</v>
      </c>
      <c r="Y218" s="296">
        <f>IF(Y$2&gt;Inputs!$G$18,0,SUM(Y210:Y217))</f>
        <v>213141.38735006595</v>
      </c>
      <c r="Z218" s="296">
        <f>IF(Z$2&gt;Inputs!$G$18,0,SUM(Z210:Z217))</f>
        <v>-2.9103830456733704E-11</v>
      </c>
      <c r="AA218" s="296">
        <f>IF(AA$2&gt;Inputs!$G$18,0,SUM(AA210:AA217))</f>
        <v>0</v>
      </c>
      <c r="AB218" s="296">
        <f>IF(AB$2&gt;Inputs!$G$18,0,SUM(AB210:AB217))</f>
        <v>0</v>
      </c>
      <c r="AC218" s="296">
        <f>IF(AC$2&gt;Inputs!$G$18,0,SUM(AC210:AC217))</f>
        <v>0</v>
      </c>
      <c r="AD218" s="296">
        <f>IF(AD$2&gt;Inputs!$G$18,0,SUM(AD210:AD217))</f>
        <v>0</v>
      </c>
      <c r="AE218" s="296">
        <f>IF(AE$2&gt;Inputs!$G$18,0,SUM(AE210:AE217))</f>
        <v>0</v>
      </c>
      <c r="AF218" s="296">
        <f>IF(AF$2&gt;Inputs!$G$18,0,SUM(AF210:AF217))</f>
        <v>0</v>
      </c>
      <c r="AG218" s="296">
        <f>IF(AG$2&gt;Inputs!$G$18,0,SUM(AG210:AG217))</f>
        <v>0</v>
      </c>
      <c r="AH218" s="296">
        <f>IF(AH$2&gt;Inputs!$G$18,0,SUM(AH210:AH217))</f>
        <v>0</v>
      </c>
      <c r="AI218" s="296">
        <f>IF(AI$2&gt;Inputs!$G$18,0,SUM(AI210:AI217))</f>
        <v>0</v>
      </c>
      <c r="AJ218" s="296">
        <f>IF(AJ$2&gt;Inputs!$G$18,0,SUM(AJ210:AJ217))</f>
        <v>0</v>
      </c>
    </row>
    <row r="219" spans="2:36" ht="16">
      <c r="B219" s="258"/>
      <c r="C219" s="258"/>
      <c r="D219" s="258"/>
      <c r="E219" s="303"/>
      <c r="F219" s="296"/>
      <c r="G219" s="296"/>
      <c r="H219" s="296"/>
      <c r="I219" s="296"/>
      <c r="J219" s="296"/>
      <c r="K219" s="296"/>
      <c r="L219" s="296"/>
      <c r="M219" s="296"/>
      <c r="N219" s="303"/>
      <c r="O219" s="303"/>
      <c r="P219" s="303"/>
      <c r="Q219" s="303"/>
      <c r="R219" s="303"/>
      <c r="S219" s="303"/>
      <c r="T219" s="303"/>
      <c r="U219" s="303"/>
      <c r="V219" s="303"/>
      <c r="W219" s="303"/>
      <c r="X219" s="303"/>
      <c r="Y219" s="303"/>
      <c r="Z219" s="303"/>
      <c r="AA219" s="303"/>
      <c r="AB219" s="303"/>
      <c r="AC219" s="303"/>
      <c r="AD219" s="303"/>
      <c r="AE219" s="303"/>
      <c r="AF219" s="303"/>
      <c r="AG219" s="303"/>
      <c r="AH219" s="303"/>
      <c r="AI219" s="303"/>
      <c r="AJ219" s="303"/>
    </row>
    <row r="220" spans="2:36" ht="16">
      <c r="B220" s="259" t="s">
        <v>183</v>
      </c>
      <c r="C220" s="259"/>
      <c r="D220" s="259"/>
      <c r="E220" s="303"/>
      <c r="F220" s="296"/>
      <c r="G220" s="296">
        <f>AVERAGE(G210,G218)*Inputs!$Q$85</f>
        <v>5047.9698673587191</v>
      </c>
      <c r="H220" s="296">
        <f>AVERAGE(H210,H218)*Inputs!$Q$85</f>
        <v>5047.9698673587191</v>
      </c>
      <c r="I220" s="296">
        <f>AVERAGE(I210,I218)*Inputs!$Q$85</f>
        <v>5047.9698673587191</v>
      </c>
      <c r="J220" s="296">
        <f>AVERAGE(J210,J218)*Inputs!$Q$85</f>
        <v>5047.9698673587191</v>
      </c>
      <c r="K220" s="296">
        <f>AVERAGE(K210,K218)*Inputs!$Q$85</f>
        <v>5047.9698673587191</v>
      </c>
      <c r="L220" s="296">
        <f>AVERAGE(L210,L218)*Inputs!$Q$85</f>
        <v>5047.9698673587191</v>
      </c>
      <c r="M220" s="296">
        <f>AVERAGE(M210,M218)*Inputs!$Q$85</f>
        <v>5047.9698673587191</v>
      </c>
      <c r="N220" s="296">
        <f>AVERAGE(N210,N218)*Inputs!$Q$85</f>
        <v>5047.9698673587191</v>
      </c>
      <c r="O220" s="296">
        <f>AVERAGE(O210,O218)*Inputs!$Q$85</f>
        <v>5047.9698673587191</v>
      </c>
      <c r="P220" s="296">
        <f>AVERAGE(P210,P218)*Inputs!$Q$85</f>
        <v>5047.9698673587191</v>
      </c>
      <c r="Q220" s="296">
        <f>AVERAGE(Q210,Q218)*Inputs!$Q$85</f>
        <v>5047.9698673587191</v>
      </c>
      <c r="R220" s="296">
        <f>AVERAGE(R210,R218)*Inputs!$Q$85</f>
        <v>5047.9698673587191</v>
      </c>
      <c r="S220" s="296">
        <f>AVERAGE(S210,S218)*Inputs!$Q$85</f>
        <v>5047.9698673587191</v>
      </c>
      <c r="T220" s="296">
        <f>AVERAGE(T210,T218)*Inputs!$Q$85</f>
        <v>4122.5453388048545</v>
      </c>
      <c r="U220" s="296">
        <f>AVERAGE(U210,U218)*Inputs!$Q$85</f>
        <v>3197.1208102509891</v>
      </c>
      <c r="V220" s="296">
        <f>AVERAGE(V210,V218)*Inputs!$Q$85</f>
        <v>3197.1208102509891</v>
      </c>
      <c r="W220" s="296">
        <f>AVERAGE(W210,W218)*Inputs!$Q$85</f>
        <v>3197.1208102509891</v>
      </c>
      <c r="X220" s="296">
        <f>AVERAGE(X210,X218)*Inputs!$Q$85</f>
        <v>3197.1208102509891</v>
      </c>
      <c r="Y220" s="296">
        <f>AVERAGE(Y210,Y218)*Inputs!$Q$85</f>
        <v>3197.1208102509891</v>
      </c>
      <c r="Z220" s="296">
        <f>AVERAGE(Z210,Z218)*Inputs!$Q$85</f>
        <v>1598.5604051254943</v>
      </c>
      <c r="AA220" s="296">
        <f>AVERAGE(AA210,AA218)*Inputs!$Q$85</f>
        <v>-2.1827872842550277E-13</v>
      </c>
      <c r="AB220" s="296">
        <f>AVERAGE(AB210,AB218)*Inputs!$Q$85</f>
        <v>0</v>
      </c>
      <c r="AC220" s="296">
        <f>AVERAGE(AC210,AC218)*Inputs!$Q$85</f>
        <v>0</v>
      </c>
      <c r="AD220" s="296">
        <f>AVERAGE(AD210,AD218)*Inputs!$Q$85</f>
        <v>0</v>
      </c>
      <c r="AE220" s="296">
        <f>AVERAGE(AE210,AE218)*Inputs!$Q$85</f>
        <v>0</v>
      </c>
      <c r="AF220" s="296">
        <f>AVERAGE(AF210,AF218)*Inputs!$Q$85</f>
        <v>0</v>
      </c>
      <c r="AG220" s="296">
        <f>AVERAGE(AG210,AG218)*Inputs!$Q$85</f>
        <v>0</v>
      </c>
      <c r="AH220" s="296">
        <f>AVERAGE(AH210,AH218)*Inputs!$Q$85</f>
        <v>0</v>
      </c>
      <c r="AI220" s="296">
        <f>AVERAGE(AI210,AI218)*Inputs!$Q$85</f>
        <v>0</v>
      </c>
      <c r="AJ220" s="296">
        <f>AVERAGE(AJ210,AJ218)*Inputs!$Q$85</f>
        <v>0</v>
      </c>
    </row>
    <row r="221" spans="2:36" ht="16">
      <c r="B221" s="259" t="s">
        <v>184</v>
      </c>
      <c r="C221" s="259"/>
      <c r="D221" s="259"/>
      <c r="E221" s="303"/>
      <c r="F221" s="303"/>
      <c r="G221" s="296">
        <f>SUM(G211:G217)</f>
        <v>0</v>
      </c>
      <c r="H221" s="296">
        <f t="shared" ref="H221:AJ221" si="64">SUM(H211:H217)</f>
        <v>0</v>
      </c>
      <c r="I221" s="296">
        <f t="shared" si="64"/>
        <v>0</v>
      </c>
      <c r="J221" s="296">
        <f t="shared" si="64"/>
        <v>0</v>
      </c>
      <c r="K221" s="296">
        <f t="shared" si="64"/>
        <v>0</v>
      </c>
      <c r="L221" s="296">
        <f t="shared" si="64"/>
        <v>0</v>
      </c>
      <c r="M221" s="296">
        <f t="shared" si="64"/>
        <v>0</v>
      </c>
      <c r="N221" s="296">
        <f t="shared" si="64"/>
        <v>0</v>
      </c>
      <c r="O221" s="296">
        <f t="shared" si="64"/>
        <v>0</v>
      </c>
      <c r="P221" s="296">
        <f t="shared" si="64"/>
        <v>0</v>
      </c>
      <c r="Q221" s="296">
        <f t="shared" si="64"/>
        <v>0</v>
      </c>
      <c r="R221" s="296">
        <f t="shared" si="64"/>
        <v>0</v>
      </c>
      <c r="S221" s="296">
        <f t="shared" si="64"/>
        <v>0</v>
      </c>
      <c r="T221" s="296">
        <f t="shared" si="64"/>
        <v>-123389.93714051534</v>
      </c>
      <c r="U221" s="296">
        <f t="shared" si="64"/>
        <v>0</v>
      </c>
      <c r="V221" s="296">
        <f t="shared" si="64"/>
        <v>0</v>
      </c>
      <c r="W221" s="296">
        <f t="shared" si="64"/>
        <v>0</v>
      </c>
      <c r="X221" s="296">
        <f t="shared" si="64"/>
        <v>0</v>
      </c>
      <c r="Y221" s="296">
        <f t="shared" si="64"/>
        <v>0</v>
      </c>
      <c r="Z221" s="296">
        <f t="shared" si="64"/>
        <v>-213141.38735006598</v>
      </c>
      <c r="AA221" s="296">
        <f t="shared" si="64"/>
        <v>0</v>
      </c>
      <c r="AB221" s="296">
        <f t="shared" si="64"/>
        <v>0</v>
      </c>
      <c r="AC221" s="296">
        <f t="shared" si="64"/>
        <v>0</v>
      </c>
      <c r="AD221" s="296">
        <f t="shared" si="64"/>
        <v>0</v>
      </c>
      <c r="AE221" s="296">
        <f t="shared" si="64"/>
        <v>0</v>
      </c>
      <c r="AF221" s="296">
        <f t="shared" si="64"/>
        <v>0</v>
      </c>
      <c r="AG221" s="296">
        <f t="shared" si="64"/>
        <v>0</v>
      </c>
      <c r="AH221" s="296">
        <f t="shared" si="64"/>
        <v>0</v>
      </c>
      <c r="AI221" s="296">
        <f t="shared" si="64"/>
        <v>0</v>
      </c>
      <c r="AJ221" s="296">
        <f t="shared" si="64"/>
        <v>0</v>
      </c>
    </row>
    <row r="222" spans="2:36" ht="17" thickBot="1">
      <c r="B222" s="304"/>
      <c r="C222" s="304"/>
      <c r="D222" s="304"/>
      <c r="E222" s="305"/>
      <c r="F222" s="306"/>
      <c r="G222" s="306"/>
      <c r="H222" s="306"/>
      <c r="I222" s="306"/>
      <c r="J222" s="306"/>
      <c r="K222" s="306"/>
      <c r="L222" s="306"/>
      <c r="M222" s="306"/>
      <c r="N222" s="306"/>
      <c r="O222" s="306"/>
      <c r="P222" s="306"/>
      <c r="Q222" s="306"/>
      <c r="R222" s="306"/>
      <c r="S222" s="306"/>
      <c r="T222" s="306"/>
      <c r="U222" s="306"/>
      <c r="V222" s="306"/>
      <c r="W222" s="306"/>
      <c r="X222" s="306"/>
      <c r="Y222" s="306"/>
      <c r="Z222" s="306"/>
      <c r="AA222" s="306"/>
      <c r="AB222" s="306"/>
      <c r="AC222" s="306"/>
      <c r="AD222" s="306"/>
      <c r="AE222" s="306"/>
      <c r="AF222" s="306"/>
      <c r="AG222" s="306"/>
      <c r="AH222" s="306"/>
      <c r="AI222" s="306"/>
      <c r="AJ222" s="306"/>
    </row>
    <row r="223" spans="2:36" ht="16">
      <c r="B223" s="294"/>
      <c r="C223" s="294"/>
      <c r="D223" s="294"/>
      <c r="E223" s="303"/>
      <c r="F223" s="296"/>
      <c r="G223" s="415"/>
      <c r="H223" s="296"/>
      <c r="I223" s="296"/>
      <c r="J223" s="296"/>
      <c r="K223" s="296"/>
      <c r="L223" s="296"/>
      <c r="M223" s="296"/>
      <c r="N223" s="296"/>
      <c r="O223" s="296"/>
      <c r="P223" s="296"/>
      <c r="Q223" s="296"/>
      <c r="R223" s="296"/>
      <c r="S223" s="296"/>
      <c r="T223" s="296"/>
      <c r="U223" s="296"/>
      <c r="V223" s="296"/>
      <c r="W223" s="296"/>
      <c r="X223" s="296"/>
      <c r="Y223" s="296"/>
      <c r="Z223" s="296"/>
      <c r="AA223" s="296"/>
      <c r="AB223" s="296"/>
      <c r="AC223" s="296"/>
      <c r="AD223" s="296"/>
      <c r="AE223" s="296"/>
      <c r="AF223" s="296"/>
      <c r="AG223" s="296"/>
      <c r="AH223" s="296"/>
      <c r="AI223" s="296"/>
      <c r="AJ223" s="296"/>
    </row>
    <row r="224" spans="2:36" ht="17">
      <c r="B224" s="423" t="s">
        <v>268</v>
      </c>
      <c r="C224" s="423"/>
      <c r="D224" s="423"/>
      <c r="E224" s="303"/>
      <c r="F224" s="296"/>
      <c r="G224" s="416" t="s">
        <v>269</v>
      </c>
      <c r="H224" s="296"/>
      <c r="I224" s="296"/>
      <c r="J224" s="303"/>
      <c r="K224" s="416" t="s">
        <v>269</v>
      </c>
      <c r="L224" s="296"/>
      <c r="M224" s="296"/>
      <c r="N224" s="303"/>
      <c r="O224" s="416" t="s">
        <v>269</v>
      </c>
      <c r="P224" s="296"/>
      <c r="Q224" s="296"/>
      <c r="R224" s="416" t="s">
        <v>271</v>
      </c>
      <c r="S224" s="416" t="s">
        <v>272</v>
      </c>
      <c r="T224" s="303"/>
      <c r="U224" s="303"/>
      <c r="V224" s="296"/>
      <c r="W224" s="296"/>
      <c r="X224" s="296"/>
      <c r="Y224" s="296"/>
      <c r="Z224" s="296"/>
      <c r="AA224" s="296"/>
      <c r="AB224" s="296"/>
      <c r="AC224" s="296"/>
      <c r="AD224" s="296"/>
      <c r="AE224" s="296"/>
      <c r="AF224" s="296"/>
      <c r="AG224" s="296"/>
      <c r="AH224" s="296"/>
      <c r="AI224" s="296"/>
      <c r="AJ224" s="296"/>
    </row>
    <row r="225" spans="2:36" ht="16">
      <c r="B225" s="294" t="s">
        <v>273</v>
      </c>
      <c r="C225" s="294"/>
      <c r="D225" s="294"/>
      <c r="E225" s="303"/>
      <c r="F225" s="296"/>
      <c r="G225" s="296">
        <f>$D$84</f>
        <v>6306.4943027656354</v>
      </c>
      <c r="H225" s="296"/>
      <c r="I225" s="296"/>
      <c r="J225" s="303"/>
      <c r="K225" s="296">
        <f>$D$84</f>
        <v>6306.4943027656354</v>
      </c>
      <c r="L225" s="296"/>
      <c r="M225" s="296"/>
      <c r="N225" s="303"/>
      <c r="O225" s="296">
        <f>$D$84</f>
        <v>6306.4943027656354</v>
      </c>
      <c r="P225" s="296"/>
      <c r="Q225" s="296"/>
      <c r="R225" s="417">
        <f>LOOKUP(MIN($P$226:$P$236),$O$226:$O$236,$N$226:$N$236)</f>
        <v>11.299999999999999</v>
      </c>
      <c r="S225" s="417">
        <f>LOOKUP(MAX($Q$226:$Q$236),$O$226:$O$236,$N$226:$N$236)</f>
        <v>11.399999999999999</v>
      </c>
      <c r="T225" s="462"/>
      <c r="U225" s="303"/>
      <c r="V225" s="296"/>
      <c r="W225" s="296"/>
      <c r="X225" s="296"/>
      <c r="Y225" s="296"/>
      <c r="Z225" s="296"/>
      <c r="AA225" s="296"/>
      <c r="AB225" s="296"/>
      <c r="AC225" s="296"/>
      <c r="AD225" s="296"/>
      <c r="AE225" s="296"/>
      <c r="AF225" s="296"/>
      <c r="AG225" s="296"/>
      <c r="AH225" s="296"/>
      <c r="AI225" s="296"/>
      <c r="AJ225" s="296"/>
    </row>
    <row r="226" spans="2:36" ht="16">
      <c r="B226" s="294"/>
      <c r="C226" s="294"/>
      <c r="D226" s="294"/>
      <c r="E226" s="303"/>
      <c r="F226" s="418">
        <v>0</v>
      </c>
      <c r="G226" s="296">
        <f t="dataTable" ref="G226:G236" dt2D="0" dtr="0" r1="G84" ca="1"/>
        <v>-1626388.234529244</v>
      </c>
      <c r="H226" s="296"/>
      <c r="I226" s="296"/>
      <c r="J226" s="419">
        <f>LOOKUP(MIN($H$226:$H$236),$G$226:$G$236,$F$226:$F$236)</f>
        <v>10</v>
      </c>
      <c r="K226" s="296">
        <f t="dataTable" ref="K226:K236" dt2D="0" dtr="0" r1="G84" ca="1"/>
        <v>-187890.67608694473</v>
      </c>
      <c r="L226" s="296"/>
      <c r="M226" s="296"/>
      <c r="N226" s="419">
        <f>LOOKUP(MIN($L$226:$L$236),$K$226:$K$236,$J$226:$J$236)</f>
        <v>11</v>
      </c>
      <c r="O226" s="296">
        <f t="dataTable" ref="O226:O236" dt2D="0" dtr="0" r1="G84"/>
        <v>-44040.920242714441</v>
      </c>
      <c r="P226" s="296"/>
      <c r="Q226" s="296"/>
      <c r="R226" s="296"/>
      <c r="S226" s="296"/>
      <c r="T226" s="296"/>
      <c r="U226" s="296"/>
      <c r="V226" s="296"/>
      <c r="W226" s="296"/>
      <c r="X226" s="296"/>
      <c r="Y226" s="296"/>
      <c r="Z226" s="296"/>
      <c r="AA226" s="296"/>
      <c r="AB226" s="296"/>
      <c r="AC226" s="296"/>
      <c r="AD226" s="296"/>
      <c r="AE226" s="296"/>
      <c r="AF226" s="296"/>
      <c r="AG226" s="296"/>
      <c r="AH226" s="296"/>
      <c r="AI226" s="296"/>
      <c r="AJ226" s="296"/>
    </row>
    <row r="227" spans="2:36" ht="17">
      <c r="B227" s="303"/>
      <c r="C227" s="303"/>
      <c r="D227" s="303"/>
      <c r="E227" s="303"/>
      <c r="F227" s="418">
        <v>10</v>
      </c>
      <c r="G227" s="296">
        <v>-187890.67608694473</v>
      </c>
      <c r="H227" s="296">
        <f t="shared" ref="H227:H236" si="65">IF(AND($G227&lt;0,$G228&gt;0),$G227,"")</f>
        <v>-187890.67608694473</v>
      </c>
      <c r="I227" s="296" t="str">
        <f t="shared" ref="I227:I236" si="66">IF(AND($G227&gt;0,$G226&lt;0),$G227,"")</f>
        <v/>
      </c>
      <c r="J227" s="419">
        <f>J226+1</f>
        <v>11</v>
      </c>
      <c r="K227" s="296">
        <v>-44040.920242714441</v>
      </c>
      <c r="L227" s="296">
        <f t="shared" ref="L227:L236" si="67">IF(AND($K227&lt;0,$K228&gt;0),$K227,"")</f>
        <v>-44040.920242714441</v>
      </c>
      <c r="M227" s="296" t="str">
        <f t="shared" ref="M227:M236" si="68">IF(AND($K227&gt;0,$K226&lt;0),$K227,"")</f>
        <v/>
      </c>
      <c r="N227" s="419">
        <f>N226+0.1</f>
        <v>11.1</v>
      </c>
      <c r="O227" s="296">
        <v>-29655.944658291646</v>
      </c>
      <c r="P227" s="296" t="str">
        <f>IF(AND($O227&lt;0,$O228&gt;0),$O227,"")</f>
        <v/>
      </c>
      <c r="Q227" s="296" t="str">
        <f>IF(AND($O227&gt;0,$O226&lt;0),$O227,"")</f>
        <v/>
      </c>
      <c r="R227" s="296"/>
      <c r="S227" s="296"/>
      <c r="T227" s="296"/>
      <c r="U227" s="296"/>
      <c r="V227" s="296"/>
      <c r="W227" s="296"/>
      <c r="X227" s="296"/>
      <c r="Y227" s="296"/>
      <c r="Z227" s="296"/>
      <c r="AA227" s="296"/>
      <c r="AB227" s="296"/>
      <c r="AC227" s="296"/>
      <c r="AD227" s="296"/>
      <c r="AE227" s="296"/>
      <c r="AF227" s="296"/>
      <c r="AG227" s="296"/>
      <c r="AH227" s="296"/>
      <c r="AI227" s="296"/>
      <c r="AJ227" s="296"/>
    </row>
    <row r="228" spans="2:36" ht="17">
      <c r="B228" s="303"/>
      <c r="C228" s="303"/>
      <c r="D228" s="303"/>
      <c r="E228" s="303"/>
      <c r="F228" s="418">
        <v>20</v>
      </c>
      <c r="G228" s="296">
        <v>1250606.8823553547</v>
      </c>
      <c r="H228" s="296" t="str">
        <f t="shared" si="65"/>
        <v/>
      </c>
      <c r="I228" s="296">
        <f t="shared" si="66"/>
        <v>1250606.8823553547</v>
      </c>
      <c r="J228" s="419">
        <f t="shared" ref="J228:J235" si="69">J227+1</f>
        <v>12</v>
      </c>
      <c r="K228" s="296">
        <v>99808.835601515573</v>
      </c>
      <c r="L228" s="296" t="str">
        <f t="shared" si="67"/>
        <v/>
      </c>
      <c r="M228" s="296">
        <f t="shared" si="68"/>
        <v>99808.835601515573</v>
      </c>
      <c r="N228" s="419">
        <f t="shared" ref="N228:N235" si="70">N227+0.1</f>
        <v>11.2</v>
      </c>
      <c r="O228" s="296">
        <v>-15270.969073868515</v>
      </c>
      <c r="P228" s="296" t="str">
        <f t="shared" ref="P228:P236" si="71">IF(AND($O228&lt;0,$O229&gt;0),$O228,"")</f>
        <v/>
      </c>
      <c r="Q228" s="296" t="str">
        <f t="shared" ref="Q228:Q236" si="72">IF(AND($O228&gt;0,$O227&lt;0),$O228,"")</f>
        <v/>
      </c>
      <c r="R228" s="296"/>
      <c r="S228" s="296"/>
      <c r="T228" s="296"/>
      <c r="U228" s="296"/>
      <c r="V228" s="296"/>
      <c r="W228" s="296"/>
      <c r="X228" s="296"/>
      <c r="Y228" s="296"/>
      <c r="Z228" s="296"/>
      <c r="AA228" s="296"/>
      <c r="AB228" s="296"/>
      <c r="AC228" s="296"/>
      <c r="AD228" s="296"/>
      <c r="AE228" s="296"/>
      <c r="AF228" s="296"/>
      <c r="AG228" s="296"/>
      <c r="AH228" s="296"/>
      <c r="AI228" s="296"/>
      <c r="AJ228" s="296"/>
    </row>
    <row r="229" spans="2:36" ht="17">
      <c r="B229" s="303"/>
      <c r="C229" s="303"/>
      <c r="D229" s="303"/>
      <c r="E229" s="303"/>
      <c r="F229" s="418">
        <v>30</v>
      </c>
      <c r="G229" s="296">
        <v>2689104.4407976549</v>
      </c>
      <c r="H229" s="296" t="str">
        <f t="shared" si="65"/>
        <v/>
      </c>
      <c r="I229" s="296" t="str">
        <f t="shared" si="66"/>
        <v/>
      </c>
      <c r="J229" s="419">
        <f t="shared" si="69"/>
        <v>13</v>
      </c>
      <c r="K229" s="296">
        <v>243658.59144574535</v>
      </c>
      <c r="L229" s="296" t="str">
        <f t="shared" si="67"/>
        <v/>
      </c>
      <c r="M229" s="296" t="str">
        <f t="shared" si="68"/>
        <v/>
      </c>
      <c r="N229" s="419">
        <f t="shared" si="70"/>
        <v>11.299999999999999</v>
      </c>
      <c r="O229" s="296">
        <v>-885.99348944569874</v>
      </c>
      <c r="P229" s="296">
        <f t="shared" si="71"/>
        <v>-885.99348944569874</v>
      </c>
      <c r="Q229" s="296" t="str">
        <f t="shared" si="72"/>
        <v/>
      </c>
      <c r="R229" s="296"/>
      <c r="S229" s="296"/>
      <c r="T229" s="296"/>
      <c r="U229" s="296"/>
      <c r="V229" s="296"/>
      <c r="W229" s="296"/>
      <c r="X229" s="296"/>
      <c r="Y229" s="296"/>
      <c r="Z229" s="296"/>
      <c r="AA229" s="296"/>
      <c r="AB229" s="296"/>
      <c r="AC229" s="296"/>
      <c r="AD229" s="296"/>
      <c r="AE229" s="296"/>
      <c r="AF229" s="296"/>
      <c r="AG229" s="296"/>
      <c r="AH229" s="296"/>
      <c r="AI229" s="296"/>
      <c r="AJ229" s="296"/>
    </row>
    <row r="230" spans="2:36" ht="17">
      <c r="B230" s="303"/>
      <c r="C230" s="303"/>
      <c r="D230" s="303"/>
      <c r="E230" s="303"/>
      <c r="F230" s="418">
        <v>40</v>
      </c>
      <c r="G230" s="296">
        <v>4127601.9992399542</v>
      </c>
      <c r="H230" s="296" t="str">
        <f t="shared" si="65"/>
        <v/>
      </c>
      <c r="I230" s="296" t="str">
        <f t="shared" si="66"/>
        <v/>
      </c>
      <c r="J230" s="419">
        <f t="shared" si="69"/>
        <v>14</v>
      </c>
      <c r="K230" s="296">
        <v>387508.34728997521</v>
      </c>
      <c r="L230" s="296" t="str">
        <f t="shared" si="67"/>
        <v/>
      </c>
      <c r="M230" s="296" t="str">
        <f t="shared" si="68"/>
        <v/>
      </c>
      <c r="N230" s="419">
        <f t="shared" si="70"/>
        <v>11.399999999999999</v>
      </c>
      <c r="O230" s="296">
        <v>13498.982094977111</v>
      </c>
      <c r="P230" s="296" t="str">
        <f t="shared" si="71"/>
        <v/>
      </c>
      <c r="Q230" s="296">
        <f t="shared" si="72"/>
        <v>13498.982094977111</v>
      </c>
      <c r="R230" s="296"/>
      <c r="S230" s="296"/>
      <c r="T230" s="296"/>
      <c r="U230" s="296"/>
      <c r="V230" s="296"/>
      <c r="W230" s="296"/>
      <c r="X230" s="296"/>
      <c r="Y230" s="296"/>
      <c r="Z230" s="296"/>
      <c r="AA230" s="296"/>
      <c r="AB230" s="296"/>
      <c r="AC230" s="296"/>
      <c r="AD230" s="296"/>
      <c r="AE230" s="296"/>
      <c r="AF230" s="296"/>
      <c r="AG230" s="296"/>
      <c r="AH230" s="296"/>
      <c r="AI230" s="296"/>
      <c r="AJ230" s="296"/>
    </row>
    <row r="231" spans="2:36" ht="17">
      <c r="B231" s="303"/>
      <c r="C231" s="303"/>
      <c r="D231" s="303"/>
      <c r="E231" s="303"/>
      <c r="F231" s="418">
        <v>50</v>
      </c>
      <c r="G231" s="296">
        <v>5566099.5576822562</v>
      </c>
      <c r="H231" s="296" t="str">
        <f t="shared" si="65"/>
        <v/>
      </c>
      <c r="I231" s="296" t="str">
        <f t="shared" si="66"/>
        <v/>
      </c>
      <c r="J231" s="419">
        <f t="shared" si="69"/>
        <v>15</v>
      </c>
      <c r="K231" s="296">
        <v>531358.10313420498</v>
      </c>
      <c r="L231" s="296" t="str">
        <f t="shared" si="67"/>
        <v/>
      </c>
      <c r="M231" s="296" t="str">
        <f t="shared" si="68"/>
        <v/>
      </c>
      <c r="N231" s="419">
        <f t="shared" si="70"/>
        <v>11.499999999999998</v>
      </c>
      <c r="O231" s="296">
        <v>27883.957679400031</v>
      </c>
      <c r="P231" s="296" t="str">
        <f t="shared" si="71"/>
        <v/>
      </c>
      <c r="Q231" s="296" t="str">
        <f t="shared" si="72"/>
        <v/>
      </c>
      <c r="R231" s="296"/>
      <c r="S231" s="296"/>
      <c r="T231" s="296"/>
      <c r="U231" s="296"/>
      <c r="V231" s="296"/>
      <c r="W231" s="296"/>
      <c r="X231" s="296"/>
      <c r="Y231" s="296"/>
      <c r="Z231" s="296"/>
      <c r="AA231" s="296"/>
      <c r="AB231" s="296"/>
      <c r="AC231" s="296"/>
      <c r="AD231" s="296"/>
      <c r="AE231" s="296"/>
      <c r="AF231" s="296"/>
      <c r="AG231" s="296"/>
      <c r="AH231" s="296"/>
      <c r="AI231" s="296"/>
      <c r="AJ231" s="296"/>
    </row>
    <row r="232" spans="2:36" ht="17">
      <c r="B232" s="303"/>
      <c r="C232" s="303"/>
      <c r="D232" s="303"/>
      <c r="E232" s="303"/>
      <c r="F232" s="418">
        <v>60</v>
      </c>
      <c r="G232" s="296">
        <v>7004597.1161245555</v>
      </c>
      <c r="H232" s="296" t="str">
        <f t="shared" si="65"/>
        <v/>
      </c>
      <c r="I232" s="296" t="str">
        <f t="shared" si="66"/>
        <v/>
      </c>
      <c r="J232" s="419">
        <f t="shared" si="69"/>
        <v>16</v>
      </c>
      <c r="K232" s="296">
        <v>675207.85897843528</v>
      </c>
      <c r="L232" s="296" t="str">
        <f t="shared" si="67"/>
        <v/>
      </c>
      <c r="M232" s="296" t="str">
        <f t="shared" si="68"/>
        <v/>
      </c>
      <c r="N232" s="419">
        <f t="shared" si="70"/>
        <v>11.599999999999998</v>
      </c>
      <c r="O232" s="296">
        <v>42268.933263823019</v>
      </c>
      <c r="P232" s="296" t="str">
        <f t="shared" si="71"/>
        <v/>
      </c>
      <c r="Q232" s="296" t="str">
        <f t="shared" si="72"/>
        <v/>
      </c>
      <c r="R232" s="296"/>
      <c r="S232" s="296"/>
      <c r="T232" s="296"/>
      <c r="U232" s="296"/>
      <c r="V232" s="296"/>
      <c r="W232" s="296"/>
      <c r="X232" s="296"/>
      <c r="Y232" s="296"/>
      <c r="Z232" s="296"/>
      <c r="AA232" s="296"/>
      <c r="AB232" s="296"/>
      <c r="AC232" s="296"/>
      <c r="AD232" s="296"/>
      <c r="AE232" s="296"/>
      <c r="AF232" s="296"/>
      <c r="AG232" s="296"/>
      <c r="AH232" s="296"/>
      <c r="AI232" s="296"/>
      <c r="AJ232" s="296"/>
    </row>
    <row r="233" spans="2:36" ht="17">
      <c r="B233" s="303"/>
      <c r="C233" s="303"/>
      <c r="D233" s="303"/>
      <c r="E233" s="303"/>
      <c r="F233" s="418">
        <v>70</v>
      </c>
      <c r="G233" s="296">
        <v>8443094.6745668538</v>
      </c>
      <c r="H233" s="296" t="str">
        <f t="shared" si="65"/>
        <v/>
      </c>
      <c r="I233" s="296" t="str">
        <f t="shared" si="66"/>
        <v/>
      </c>
      <c r="J233" s="419">
        <f t="shared" si="69"/>
        <v>17</v>
      </c>
      <c r="K233" s="296">
        <v>819057.61482266523</v>
      </c>
      <c r="L233" s="296" t="str">
        <f t="shared" si="67"/>
        <v/>
      </c>
      <c r="M233" s="296" t="str">
        <f t="shared" si="68"/>
        <v/>
      </c>
      <c r="N233" s="419">
        <f t="shared" si="70"/>
        <v>11.699999999999998</v>
      </c>
      <c r="O233" s="296">
        <v>56653.90884824629</v>
      </c>
      <c r="P233" s="296" t="str">
        <f t="shared" si="71"/>
        <v/>
      </c>
      <c r="Q233" s="296" t="str">
        <f t="shared" si="72"/>
        <v/>
      </c>
      <c r="R233" s="296"/>
      <c r="S233" s="296"/>
      <c r="T233" s="296"/>
      <c r="U233" s="296"/>
      <c r="V233" s="296"/>
      <c r="W233" s="296"/>
      <c r="X233" s="296"/>
      <c r="Y233" s="296"/>
      <c r="Z233" s="296"/>
      <c r="AA233" s="296"/>
      <c r="AB233" s="296"/>
      <c r="AC233" s="296"/>
      <c r="AD233" s="296"/>
      <c r="AE233" s="296"/>
      <c r="AF233" s="296"/>
      <c r="AG233" s="296"/>
      <c r="AH233" s="296"/>
      <c r="AI233" s="296"/>
      <c r="AJ233" s="296"/>
    </row>
    <row r="234" spans="2:36" ht="17">
      <c r="B234" s="303"/>
      <c r="C234" s="303"/>
      <c r="D234" s="303"/>
      <c r="E234" s="303"/>
      <c r="F234" s="418">
        <v>80</v>
      </c>
      <c r="G234" s="296">
        <v>9881592.2330091596</v>
      </c>
      <c r="H234" s="296" t="str">
        <f t="shared" si="65"/>
        <v/>
      </c>
      <c r="I234" s="296" t="str">
        <f t="shared" si="66"/>
        <v/>
      </c>
      <c r="J234" s="419">
        <f t="shared" si="69"/>
        <v>18</v>
      </c>
      <c r="K234" s="296">
        <v>962907.37066689483</v>
      </c>
      <c r="L234" s="296" t="str">
        <f t="shared" si="67"/>
        <v/>
      </c>
      <c r="M234" s="296" t="str">
        <f t="shared" si="68"/>
        <v/>
      </c>
      <c r="N234" s="419">
        <f t="shared" si="70"/>
        <v>11.799999999999997</v>
      </c>
      <c r="O234" s="296">
        <v>71038.884432669234</v>
      </c>
      <c r="P234" s="296" t="str">
        <f t="shared" si="71"/>
        <v/>
      </c>
      <c r="Q234" s="296" t="str">
        <f t="shared" si="72"/>
        <v/>
      </c>
      <c r="R234" s="296"/>
      <c r="S234" s="296"/>
      <c r="T234" s="296"/>
      <c r="U234" s="296"/>
      <c r="V234" s="296"/>
      <c r="W234" s="296"/>
      <c r="X234" s="296"/>
      <c r="Y234" s="296"/>
      <c r="Z234" s="296"/>
      <c r="AA234" s="296"/>
      <c r="AB234" s="296"/>
      <c r="AC234" s="296"/>
      <c r="AD234" s="296"/>
      <c r="AE234" s="296"/>
      <c r="AF234" s="296"/>
      <c r="AG234" s="296"/>
      <c r="AH234" s="296"/>
      <c r="AI234" s="296"/>
      <c r="AJ234" s="296"/>
    </row>
    <row r="235" spans="2:36" ht="17">
      <c r="B235" s="303"/>
      <c r="C235" s="303"/>
      <c r="D235" s="303"/>
      <c r="E235" s="303"/>
      <c r="F235" s="418">
        <v>90</v>
      </c>
      <c r="G235" s="296">
        <v>11320089.791451458</v>
      </c>
      <c r="H235" s="296" t="str">
        <f t="shared" si="65"/>
        <v/>
      </c>
      <c r="I235" s="296" t="str">
        <f t="shared" si="66"/>
        <v/>
      </c>
      <c r="J235" s="419">
        <f t="shared" si="69"/>
        <v>19</v>
      </c>
      <c r="K235" s="296">
        <v>1106757.1265111251</v>
      </c>
      <c r="L235" s="296" t="str">
        <f t="shared" si="67"/>
        <v/>
      </c>
      <c r="M235" s="296" t="str">
        <f t="shared" si="68"/>
        <v/>
      </c>
      <c r="N235" s="419">
        <f t="shared" si="70"/>
        <v>11.899999999999997</v>
      </c>
      <c r="O235" s="296">
        <v>85423.860017091822</v>
      </c>
      <c r="P235" s="296" t="str">
        <f t="shared" si="71"/>
        <v/>
      </c>
      <c r="Q235" s="296" t="str">
        <f t="shared" si="72"/>
        <v/>
      </c>
      <c r="R235" s="296"/>
      <c r="S235" s="296"/>
      <c r="T235" s="296"/>
      <c r="U235" s="296"/>
      <c r="V235" s="296"/>
      <c r="W235" s="296"/>
      <c r="X235" s="296"/>
      <c r="Y235" s="296"/>
      <c r="Z235" s="296"/>
      <c r="AA235" s="296"/>
      <c r="AB235" s="296"/>
      <c r="AC235" s="296"/>
      <c r="AD235" s="296"/>
      <c r="AE235" s="296"/>
      <c r="AF235" s="296"/>
      <c r="AG235" s="296"/>
      <c r="AH235" s="296"/>
      <c r="AI235" s="296"/>
      <c r="AJ235" s="296"/>
    </row>
    <row r="236" spans="2:36" ht="17">
      <c r="B236" s="303"/>
      <c r="C236" s="303"/>
      <c r="D236" s="303"/>
      <c r="E236" s="303"/>
      <c r="F236" s="418">
        <v>100</v>
      </c>
      <c r="G236" s="296">
        <v>12758587.349893756</v>
      </c>
      <c r="H236" s="296" t="str">
        <f t="shared" si="65"/>
        <v/>
      </c>
      <c r="I236" s="296" t="str">
        <f t="shared" si="66"/>
        <v/>
      </c>
      <c r="J236" s="419">
        <f>LOOKUP(MAX($I$226:$I$236),$G$226:$G$236,$F$226:$F$236)</f>
        <v>20</v>
      </c>
      <c r="K236" s="296">
        <v>1250606.8823553547</v>
      </c>
      <c r="L236" s="296" t="str">
        <f t="shared" si="67"/>
        <v/>
      </c>
      <c r="M236" s="296" t="str">
        <f t="shared" si="68"/>
        <v/>
      </c>
      <c r="N236" s="419">
        <f>LOOKUP(MAX($M$226:$M$236),$K$226:$K$236,$J$226:$J$236)</f>
        <v>12</v>
      </c>
      <c r="O236" s="296">
        <v>99808.835601515573</v>
      </c>
      <c r="P236" s="296" t="str">
        <f t="shared" si="71"/>
        <v/>
      </c>
      <c r="Q236" s="296" t="str">
        <f t="shared" si="72"/>
        <v/>
      </c>
      <c r="R236" s="296"/>
      <c r="S236" s="296"/>
      <c r="T236" s="296"/>
      <c r="U236" s="296"/>
      <c r="V236" s="296"/>
      <c r="W236" s="296"/>
      <c r="X236" s="296"/>
      <c r="Y236" s="296"/>
      <c r="Z236" s="296"/>
      <c r="AA236" s="296"/>
      <c r="AB236" s="296"/>
      <c r="AC236" s="296"/>
      <c r="AD236" s="296"/>
      <c r="AE236" s="296"/>
      <c r="AF236" s="296"/>
      <c r="AG236" s="296"/>
      <c r="AH236" s="296"/>
      <c r="AI236" s="296"/>
      <c r="AJ236" s="296"/>
    </row>
    <row r="237" spans="2:36" ht="16" thickBot="1">
      <c r="B237" s="305"/>
      <c r="C237" s="305"/>
      <c r="D237" s="305"/>
      <c r="E237" s="305"/>
      <c r="F237" s="422"/>
      <c r="G237" s="305"/>
      <c r="H237" s="305"/>
      <c r="I237" s="305"/>
      <c r="J237" s="305"/>
      <c r="K237" s="305"/>
      <c r="L237" s="305"/>
      <c r="M237" s="305"/>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c r="AI237" s="305"/>
      <c r="AJ237" s="305"/>
    </row>
    <row r="238" spans="2:36" s="420" customFormat="1">
      <c r="F238" s="421"/>
    </row>
    <row r="239" spans="2:36">
      <c r="F239" s="414"/>
    </row>
    <row r="240" spans="2:36">
      <c r="F240" s="414"/>
    </row>
    <row r="241" spans="6:6">
      <c r="F241" s="414"/>
    </row>
    <row r="242" spans="6:6">
      <c r="F242" s="414"/>
    </row>
    <row r="243" spans="6:6">
      <c r="F243" s="414"/>
    </row>
    <row r="244" spans="6:6">
      <c r="F244" s="414"/>
    </row>
    <row r="245" spans="6:6">
      <c r="F245" s="414"/>
    </row>
    <row r="246" spans="6:6">
      <c r="F246" s="414"/>
    </row>
    <row r="247" spans="6:6">
      <c r="F247" s="414"/>
    </row>
    <row r="248" spans="6:6">
      <c r="F248" s="414"/>
    </row>
    <row r="249" spans="6:6">
      <c r="F249" s="414"/>
    </row>
  </sheetData>
  <mergeCells count="3">
    <mergeCell ref="C108:E108"/>
    <mergeCell ref="B82:C82"/>
    <mergeCell ref="B84:C84"/>
  </mergeCells>
  <conditionalFormatting sqref="B27:B28">
    <cfRule type="expression" dxfId="4" priority="2">
      <formula>$G$37="Simple"</formula>
    </cfRule>
  </conditionalFormatting>
  <conditionalFormatting sqref="B27:B28">
    <cfRule type="expression" dxfId="3" priority="1">
      <formula>$G$37="Simple"</formula>
    </cfRule>
  </conditionalFormatting>
  <dataValidations disablePrompts="1" count="1">
    <dataValidation type="list" allowBlank="1" showInputMessage="1" showErrorMessage="1" sqref="E65644 HW65644 RS65644 ABO65644 ALK65644 AVG65644 BFC65644 BOY65644 BYU65644 CIQ65644 CSM65644 DCI65644 DME65644 DWA65644 EFW65644 EPS65644 EZO65644 FJK65644 FTG65644 GDC65644 GMY65644 GWU65644 HGQ65644 HQM65644 IAI65644 IKE65644 IUA65644 JDW65644 JNS65644 JXO65644 KHK65644 KRG65644 LBC65644 LKY65644 LUU65644 MEQ65644 MOM65644 MYI65644 NIE65644 NSA65644 OBW65644 OLS65644 OVO65644 PFK65644 PPG65644 PZC65644 QIY65644 QSU65644 RCQ65644 RMM65644 RWI65644 SGE65644 SQA65644 SZW65644 TJS65644 TTO65644 UDK65644 UNG65644 UXC65644 VGY65644 VQU65644 WAQ65644 WKM65644 WUI65644 HW131180 RS131180 ABO131180 ALK131180 AVG131180 BFC131180 BOY131180 BYU131180 CIQ131180 CSM131180 DCI131180 DME131180 DWA131180 EFW131180 EPS131180 EZO131180 FJK131180 FTG131180 GDC131180 GMY131180 GWU131180 HGQ131180 HQM131180 IAI131180 IKE131180 IUA131180 JDW131180 JNS131180 JXO131180 KHK131180 KRG131180 LBC131180 LKY131180 LUU131180 MEQ131180 MOM131180 MYI131180 NIE131180 NSA131180 OBW131180 OLS131180 OVO131180 PFK131180 PPG131180 PZC131180 QIY131180 QSU131180 RCQ131180 RMM131180 RWI131180 SGE131180 SQA131180 SZW131180 TJS131180 TTO131180 UDK131180 UNG131180 UXC131180 VGY131180 VQU131180 WAQ131180 WKM131180 WUI131180 HW196716 RS196716 ABO196716 ALK196716 AVG196716 BFC196716 BOY196716 BYU196716 CIQ196716 CSM196716 DCI196716 DME196716 DWA196716 EFW196716 EPS196716 EZO196716 FJK196716 FTG196716 GDC196716 GMY196716 GWU196716 HGQ196716 HQM196716 IAI196716 IKE196716 IUA196716 JDW196716 JNS196716 JXO196716 KHK196716 KRG196716 LBC196716 LKY196716 LUU196716 MEQ196716 MOM196716 MYI196716 NIE196716 NSA196716 OBW196716 OLS196716 OVO196716 PFK196716 PPG196716 PZC196716 QIY196716 QSU196716 RCQ196716 RMM196716 RWI196716 SGE196716 SQA196716 SZW196716 TJS196716 TTO196716 UDK196716 UNG196716 UXC196716 VGY196716 VQU196716 WAQ196716 WKM196716 WUI196716 HW262252 RS262252 ABO262252 ALK262252 AVG262252 BFC262252 BOY262252 BYU262252 CIQ262252 CSM262252 DCI262252 DME262252 DWA262252 EFW262252 EPS262252 EZO262252 FJK262252 FTG262252 GDC262252 GMY262252 GWU262252 HGQ262252 HQM262252 IAI262252 IKE262252 IUA262252 JDW262252 JNS262252 JXO262252 KHK262252 KRG262252 LBC262252 LKY262252 LUU262252 MEQ262252 MOM262252 MYI262252 NIE262252 NSA262252 OBW262252 OLS262252 OVO262252 PFK262252 PPG262252 PZC262252 QIY262252 QSU262252 RCQ262252 RMM262252 RWI262252 SGE262252 SQA262252 SZW262252 TJS262252 TTO262252 UDK262252 UNG262252 UXC262252 VGY262252 VQU262252 WAQ262252 WKM262252 WUI262252 HW327788 RS327788 ABO327788 ALK327788 AVG327788 BFC327788 BOY327788 BYU327788 CIQ327788 CSM327788 DCI327788 DME327788 DWA327788 EFW327788 EPS327788 EZO327788 FJK327788 FTG327788 GDC327788 GMY327788 GWU327788 HGQ327788 HQM327788 IAI327788 IKE327788 IUA327788 JDW327788 JNS327788 JXO327788 KHK327788 KRG327788 LBC327788 LKY327788 LUU327788 MEQ327788 MOM327788 MYI327788 NIE327788 NSA327788 OBW327788 OLS327788 OVO327788 PFK327788 PPG327788 PZC327788 QIY327788 QSU327788 RCQ327788 RMM327788 RWI327788 SGE327788 SQA327788 SZW327788 TJS327788 TTO327788 UDK327788 UNG327788 UXC327788 VGY327788 VQU327788 WAQ327788 WKM327788 WUI327788 HW393324 RS393324 ABO393324 ALK393324 AVG393324 BFC393324 BOY393324 BYU393324 CIQ393324 CSM393324 DCI393324 DME393324 DWA393324 EFW393324 EPS393324 EZO393324 FJK393324 FTG393324 GDC393324 GMY393324 GWU393324 HGQ393324 HQM393324 IAI393324 IKE393324 IUA393324 JDW393324 JNS393324 JXO393324 KHK393324 KRG393324 LBC393324 LKY393324 LUU393324 MEQ393324 MOM393324 MYI393324 NIE393324 NSA393324 OBW393324 OLS393324 OVO393324 PFK393324 PPG393324 PZC393324 QIY393324 QSU393324 RCQ393324 RMM393324 RWI393324 SGE393324 SQA393324 SZW393324 TJS393324 TTO393324 UDK393324 UNG393324 UXC393324 VGY393324 VQU393324 WAQ393324 WKM393324 WUI393324 HW458860 RS458860 ABO458860 ALK458860 AVG458860 BFC458860 BOY458860 BYU458860 CIQ458860 CSM458860 DCI458860 DME458860 DWA458860 EFW458860 EPS458860 EZO458860 FJK458860 FTG458860 GDC458860 GMY458860 GWU458860 HGQ458860 HQM458860 IAI458860 IKE458860 IUA458860 JDW458860 JNS458860 JXO458860 KHK458860 KRG458860 LBC458860 LKY458860 LUU458860 MEQ458860 MOM458860 MYI458860 NIE458860 NSA458860 OBW458860 OLS458860 OVO458860 PFK458860 PPG458860 PZC458860 QIY458860 QSU458860 RCQ458860 RMM458860 RWI458860 SGE458860 SQA458860 SZW458860 TJS458860 TTO458860 UDK458860 UNG458860 UXC458860 VGY458860 VQU458860 WAQ458860 WKM458860 WUI458860 HW524396 RS524396 ABO524396 ALK524396 AVG524396 BFC524396 BOY524396 BYU524396 CIQ524396 CSM524396 DCI524396 DME524396 DWA524396 EFW524396 EPS524396 EZO524396 FJK524396 FTG524396 GDC524396 GMY524396 GWU524396 HGQ524396 HQM524396 IAI524396 IKE524396 IUA524396 JDW524396 JNS524396 JXO524396 KHK524396 KRG524396 LBC524396 LKY524396 LUU524396 MEQ524396 MOM524396 MYI524396 NIE524396 NSA524396 OBW524396 OLS524396 OVO524396 PFK524396 PPG524396 PZC524396 QIY524396 QSU524396 RCQ524396 RMM524396 RWI524396 SGE524396 SQA524396 SZW524396 TJS524396 TTO524396 UDK524396 UNG524396 UXC524396 VGY524396 VQU524396 WAQ524396 WKM524396 WUI524396 HW589932 RS589932 ABO589932 ALK589932 AVG589932 BFC589932 BOY589932 BYU589932 CIQ589932 CSM589932 DCI589932 DME589932 DWA589932 EFW589932 EPS589932 EZO589932 FJK589932 FTG589932 GDC589932 GMY589932 GWU589932 HGQ589932 HQM589932 IAI589932 IKE589932 IUA589932 JDW589932 JNS589932 JXO589932 KHK589932 KRG589932 LBC589932 LKY589932 LUU589932 MEQ589932 MOM589932 MYI589932 NIE589932 NSA589932 OBW589932 OLS589932 OVO589932 PFK589932 PPG589932 PZC589932 QIY589932 QSU589932 RCQ589932 RMM589932 RWI589932 SGE589932 SQA589932 SZW589932 TJS589932 TTO589932 UDK589932 UNG589932 UXC589932 VGY589932 VQU589932 WAQ589932 WKM589932 WUI589932 HW655468 RS655468 ABO655468 ALK655468 AVG655468 BFC655468 BOY655468 BYU655468 CIQ655468 CSM655468 DCI655468 DME655468 DWA655468 EFW655468 EPS655468 EZO655468 FJK655468 FTG655468 GDC655468 GMY655468 GWU655468 HGQ655468 HQM655468 IAI655468 IKE655468 IUA655468 JDW655468 JNS655468 JXO655468 KHK655468 KRG655468 LBC655468 LKY655468 LUU655468 MEQ655468 MOM655468 MYI655468 NIE655468 NSA655468 OBW655468 OLS655468 OVO655468 PFK655468 PPG655468 PZC655468 QIY655468 QSU655468 RCQ655468 RMM655468 RWI655468 SGE655468 SQA655468 SZW655468 TJS655468 TTO655468 UDK655468 UNG655468 UXC655468 VGY655468 VQU655468 WAQ655468 WKM655468 WUI655468 HW721004 RS721004 ABO721004 ALK721004 AVG721004 BFC721004 BOY721004 BYU721004 CIQ721004 CSM721004 DCI721004 DME721004 DWA721004 EFW721004 EPS721004 EZO721004 FJK721004 FTG721004 GDC721004 GMY721004 GWU721004 HGQ721004 HQM721004 IAI721004 IKE721004 IUA721004 JDW721004 JNS721004 JXO721004 KHK721004 KRG721004 LBC721004 LKY721004 LUU721004 MEQ721004 MOM721004 MYI721004 NIE721004 NSA721004 OBW721004 OLS721004 OVO721004 PFK721004 PPG721004 PZC721004 QIY721004 QSU721004 RCQ721004 RMM721004 RWI721004 SGE721004 SQA721004 SZW721004 TJS721004 TTO721004 UDK721004 UNG721004 UXC721004 VGY721004 VQU721004 WAQ721004 WKM721004 WUI721004 HW786540 RS786540 ABO786540 ALK786540 AVG786540 BFC786540 BOY786540 BYU786540 CIQ786540 CSM786540 DCI786540 DME786540 DWA786540 EFW786540 EPS786540 EZO786540 FJK786540 FTG786540 GDC786540 GMY786540 GWU786540 HGQ786540 HQM786540 IAI786540 IKE786540 IUA786540 JDW786540 JNS786540 JXO786540 KHK786540 KRG786540 LBC786540 LKY786540 LUU786540 MEQ786540 MOM786540 MYI786540 NIE786540 NSA786540 OBW786540 OLS786540 OVO786540 PFK786540 PPG786540 PZC786540 QIY786540 QSU786540 RCQ786540 RMM786540 RWI786540 SGE786540 SQA786540 SZW786540 TJS786540 TTO786540 UDK786540 UNG786540 UXC786540 VGY786540 VQU786540 WAQ786540 WKM786540 WUI786540 HW852076 RS852076 ABO852076 ALK852076 AVG852076 BFC852076 BOY852076 BYU852076 CIQ852076 CSM852076 DCI852076 DME852076 DWA852076 EFW852076 EPS852076 EZO852076 FJK852076 FTG852076 GDC852076 GMY852076 GWU852076 HGQ852076 HQM852076 IAI852076 IKE852076 IUA852076 JDW852076 JNS852076 JXO852076 KHK852076 KRG852076 LBC852076 LKY852076 LUU852076 MEQ852076 MOM852076 MYI852076 NIE852076 NSA852076 OBW852076 OLS852076 OVO852076 PFK852076 PPG852076 PZC852076 QIY852076 QSU852076 RCQ852076 RMM852076 RWI852076 SGE852076 SQA852076 SZW852076 TJS852076 TTO852076 UDK852076 UNG852076 UXC852076 VGY852076 VQU852076 WAQ852076 WKM852076 WUI852076 HW917612 RS917612 ABO917612 ALK917612 AVG917612 BFC917612 BOY917612 BYU917612 CIQ917612 CSM917612 DCI917612 DME917612 DWA917612 EFW917612 EPS917612 EZO917612 FJK917612 FTG917612 GDC917612 GMY917612 GWU917612 HGQ917612 HQM917612 IAI917612 IKE917612 IUA917612 JDW917612 JNS917612 JXO917612 KHK917612 KRG917612 LBC917612 LKY917612 LUU917612 MEQ917612 MOM917612 MYI917612 NIE917612 NSA917612 OBW917612 OLS917612 OVO917612 PFK917612 PPG917612 PZC917612 QIY917612 QSU917612 RCQ917612 RMM917612 RWI917612 SGE917612 SQA917612 SZW917612 TJS917612 TTO917612 UDK917612 UNG917612 UXC917612 VGY917612 VQU917612 WAQ917612 WKM917612 WUI917612 HW983148 RS983148 ABO983148 ALK983148 AVG983148 BFC983148 BOY983148 BYU983148 CIQ983148 CSM983148 DCI983148 DME983148 DWA983148 EFW983148 EPS983148 EZO983148 FJK983148 FTG983148 GDC983148 GMY983148 GWU983148 HGQ983148 HQM983148 IAI983148 IKE983148 IUA983148 JDW983148 JNS983148 JXO983148 KHK983148 KRG983148 LBC983148 LKY983148 LUU983148 MEQ983148 MOM983148 MYI983148 NIE983148 NSA983148 OBW983148 OLS983148 OVO983148 PFK983148 PPG983148 PZC983148 QIY983148 QSU983148 RCQ983148 RMM983148 RWI983148 SGE983148 SQA983148 SZW983148 TJS983148 TTO983148 UDK983148 UNG983148 UXC983148 VGY983148 VQU983148 WAQ983148 WKM983148 WUI983148 HW65655 RS65655 ABO65655 ALK65655 AVG65655 BFC65655 BOY65655 BYU65655 CIQ65655 CSM65655 DCI65655 DME65655 DWA65655 EFW65655 EPS65655 EZO65655 FJK65655 FTG65655 GDC65655 GMY65655 GWU65655 HGQ65655 HQM65655 IAI65655 IKE65655 IUA65655 JDW65655 JNS65655 JXO65655 KHK65655 KRG65655 LBC65655 LKY65655 LUU65655 MEQ65655 MOM65655 MYI65655 NIE65655 NSA65655 OBW65655 OLS65655 OVO65655 PFK65655 PPG65655 PZC65655 QIY65655 QSU65655 RCQ65655 RMM65655 RWI65655 SGE65655 SQA65655 SZW65655 TJS65655 TTO65655 UDK65655 UNG65655 UXC65655 VGY65655 VQU65655 WAQ65655 WKM65655 WUI65655 HW131191 RS131191 ABO131191 ALK131191 AVG131191 BFC131191 BOY131191 BYU131191 CIQ131191 CSM131191 DCI131191 DME131191 DWA131191 EFW131191 EPS131191 EZO131191 FJK131191 FTG131191 GDC131191 GMY131191 GWU131191 HGQ131191 HQM131191 IAI131191 IKE131191 IUA131191 JDW131191 JNS131191 JXO131191 KHK131191 KRG131191 LBC131191 LKY131191 LUU131191 MEQ131191 MOM131191 MYI131191 NIE131191 NSA131191 OBW131191 OLS131191 OVO131191 PFK131191 PPG131191 PZC131191 QIY131191 QSU131191 RCQ131191 RMM131191 RWI131191 SGE131191 SQA131191 SZW131191 TJS131191 TTO131191 UDK131191 UNG131191 UXC131191 VGY131191 VQU131191 WAQ131191 WKM131191 WUI131191 HW196727 RS196727 ABO196727 ALK196727 AVG196727 BFC196727 BOY196727 BYU196727 CIQ196727 CSM196727 DCI196727 DME196727 DWA196727 EFW196727 EPS196727 EZO196727 FJK196727 FTG196727 GDC196727 GMY196727 GWU196727 HGQ196727 HQM196727 IAI196727 IKE196727 IUA196727 JDW196727 JNS196727 JXO196727 KHK196727 KRG196727 LBC196727 LKY196727 LUU196727 MEQ196727 MOM196727 MYI196727 NIE196727 NSA196727 OBW196727 OLS196727 OVO196727 PFK196727 PPG196727 PZC196727 QIY196727 QSU196727 RCQ196727 RMM196727 RWI196727 SGE196727 SQA196727 SZW196727 TJS196727 TTO196727 UDK196727 UNG196727 UXC196727 VGY196727 VQU196727 WAQ196727 WKM196727 WUI196727 HW262263 RS262263 ABO262263 ALK262263 AVG262263 BFC262263 BOY262263 BYU262263 CIQ262263 CSM262263 DCI262263 DME262263 DWA262263 EFW262263 EPS262263 EZO262263 FJK262263 FTG262263 GDC262263 GMY262263 GWU262263 HGQ262263 HQM262263 IAI262263 IKE262263 IUA262263 JDW262263 JNS262263 JXO262263 KHK262263 KRG262263 LBC262263 LKY262263 LUU262263 MEQ262263 MOM262263 MYI262263 NIE262263 NSA262263 OBW262263 OLS262263 OVO262263 PFK262263 PPG262263 PZC262263 QIY262263 QSU262263 RCQ262263 RMM262263 RWI262263 SGE262263 SQA262263 SZW262263 TJS262263 TTO262263 UDK262263 UNG262263 UXC262263 VGY262263 VQU262263 WAQ262263 WKM262263 WUI262263 HW327799 RS327799 ABO327799 ALK327799 AVG327799 BFC327799 BOY327799 BYU327799 CIQ327799 CSM327799 DCI327799 DME327799 DWA327799 EFW327799 EPS327799 EZO327799 FJK327799 FTG327799 GDC327799 GMY327799 GWU327799 HGQ327799 HQM327799 IAI327799 IKE327799 IUA327799 JDW327799 JNS327799 JXO327799 KHK327799 KRG327799 LBC327799 LKY327799 LUU327799 MEQ327799 MOM327799 MYI327799 NIE327799 NSA327799 OBW327799 OLS327799 OVO327799 PFK327799 PPG327799 PZC327799 QIY327799 QSU327799 RCQ327799 RMM327799 RWI327799 SGE327799 SQA327799 SZW327799 TJS327799 TTO327799 UDK327799 UNG327799 UXC327799 VGY327799 VQU327799 WAQ327799 WKM327799 WUI327799 HW393335 RS393335 ABO393335 ALK393335 AVG393335 BFC393335 BOY393335 BYU393335 CIQ393335 CSM393335 DCI393335 DME393335 DWA393335 EFW393335 EPS393335 EZO393335 FJK393335 FTG393335 GDC393335 GMY393335 GWU393335 HGQ393335 HQM393335 IAI393335 IKE393335 IUA393335 JDW393335 JNS393335 JXO393335 KHK393335 KRG393335 LBC393335 LKY393335 LUU393335 MEQ393335 MOM393335 MYI393335 NIE393335 NSA393335 OBW393335 OLS393335 OVO393335 PFK393335 PPG393335 PZC393335 QIY393335 QSU393335 RCQ393335 RMM393335 RWI393335 SGE393335 SQA393335 SZW393335 TJS393335 TTO393335 UDK393335 UNG393335 UXC393335 VGY393335 VQU393335 WAQ393335 WKM393335 WUI393335 HW458871 RS458871 ABO458871 ALK458871 AVG458871 BFC458871 BOY458871 BYU458871 CIQ458871 CSM458871 DCI458871 DME458871 DWA458871 EFW458871 EPS458871 EZO458871 FJK458871 FTG458871 GDC458871 GMY458871 GWU458871 HGQ458871 HQM458871 IAI458871 IKE458871 IUA458871 JDW458871 JNS458871 JXO458871 KHK458871 KRG458871 LBC458871 LKY458871 LUU458871 MEQ458871 MOM458871 MYI458871 NIE458871 NSA458871 OBW458871 OLS458871 OVO458871 PFK458871 PPG458871 PZC458871 QIY458871 QSU458871 RCQ458871 RMM458871 RWI458871 SGE458871 SQA458871 SZW458871 TJS458871 TTO458871 UDK458871 UNG458871 UXC458871 VGY458871 VQU458871 WAQ458871 WKM458871 WUI458871 HW524407 RS524407 ABO524407 ALK524407 AVG524407 BFC524407 BOY524407 BYU524407 CIQ524407 CSM524407 DCI524407 DME524407 DWA524407 EFW524407 EPS524407 EZO524407 FJK524407 FTG524407 GDC524407 GMY524407 GWU524407 HGQ524407 HQM524407 IAI524407 IKE524407 IUA524407 JDW524407 JNS524407 JXO524407 KHK524407 KRG524407 LBC524407 LKY524407 LUU524407 MEQ524407 MOM524407 MYI524407 NIE524407 NSA524407 OBW524407 OLS524407 OVO524407 PFK524407 PPG524407 PZC524407 QIY524407 QSU524407 RCQ524407 RMM524407 RWI524407 SGE524407 SQA524407 SZW524407 TJS524407 TTO524407 UDK524407 UNG524407 UXC524407 VGY524407 VQU524407 WAQ524407 WKM524407 WUI524407 HW589943 RS589943 ABO589943 ALK589943 AVG589943 BFC589943 BOY589943 BYU589943 CIQ589943 CSM589943 DCI589943 DME589943 DWA589943 EFW589943 EPS589943 EZO589943 FJK589943 FTG589943 GDC589943 GMY589943 GWU589943 HGQ589943 HQM589943 IAI589943 IKE589943 IUA589943 JDW589943 JNS589943 JXO589943 KHK589943 KRG589943 LBC589943 LKY589943 LUU589943 MEQ589943 MOM589943 MYI589943 NIE589943 NSA589943 OBW589943 OLS589943 OVO589943 PFK589943 PPG589943 PZC589943 QIY589943 QSU589943 RCQ589943 RMM589943 RWI589943 SGE589943 SQA589943 SZW589943 TJS589943 TTO589943 UDK589943 UNG589943 UXC589943 VGY589943 VQU589943 WAQ589943 WKM589943 WUI589943 HW655479 RS655479 ABO655479 ALK655479 AVG655479 BFC655479 BOY655479 BYU655479 CIQ655479 CSM655479 DCI655479 DME655479 DWA655479 EFW655479 EPS655479 EZO655479 FJK655479 FTG655479 GDC655479 GMY655479 GWU655479 HGQ655479 HQM655479 IAI655479 IKE655479 IUA655479 JDW655479 JNS655479 JXO655479 KHK655479 KRG655479 LBC655479 LKY655479 LUU655479 MEQ655479 MOM655479 MYI655479 NIE655479 NSA655479 OBW655479 OLS655479 OVO655479 PFK655479 PPG655479 PZC655479 QIY655479 QSU655479 RCQ655479 RMM655479 RWI655479 SGE655479 SQA655479 SZW655479 TJS655479 TTO655479 UDK655479 UNG655479 UXC655479 VGY655479 VQU655479 WAQ655479 WKM655479 WUI655479 HW721015 RS721015 ABO721015 ALK721015 AVG721015 BFC721015 BOY721015 BYU721015 CIQ721015 CSM721015 DCI721015 DME721015 DWA721015 EFW721015 EPS721015 EZO721015 FJK721015 FTG721015 GDC721015 GMY721015 GWU721015 HGQ721015 HQM721015 IAI721015 IKE721015 IUA721015 JDW721015 JNS721015 JXO721015 KHK721015 KRG721015 LBC721015 LKY721015 LUU721015 MEQ721015 MOM721015 MYI721015 NIE721015 NSA721015 OBW721015 OLS721015 OVO721015 PFK721015 PPG721015 PZC721015 QIY721015 QSU721015 RCQ721015 RMM721015 RWI721015 SGE721015 SQA721015 SZW721015 TJS721015 TTO721015 UDK721015 UNG721015 UXC721015 VGY721015 VQU721015 WAQ721015 WKM721015 WUI721015 HW786551 RS786551 ABO786551 ALK786551 AVG786551 BFC786551 BOY786551 BYU786551 CIQ786551 CSM786551 DCI786551 DME786551 DWA786551 EFW786551 EPS786551 EZO786551 FJK786551 FTG786551 GDC786551 GMY786551 GWU786551 HGQ786551 HQM786551 IAI786551 IKE786551 IUA786551 JDW786551 JNS786551 JXO786551 KHK786551 KRG786551 LBC786551 LKY786551 LUU786551 MEQ786551 MOM786551 MYI786551 NIE786551 NSA786551 OBW786551 OLS786551 OVO786551 PFK786551 PPG786551 PZC786551 QIY786551 QSU786551 RCQ786551 RMM786551 RWI786551 SGE786551 SQA786551 SZW786551 TJS786551 TTO786551 UDK786551 UNG786551 UXC786551 VGY786551 VQU786551 WAQ786551 WKM786551 WUI786551 HW852087 RS852087 ABO852087 ALK852087 AVG852087 BFC852087 BOY852087 BYU852087 CIQ852087 CSM852087 DCI852087 DME852087 DWA852087 EFW852087 EPS852087 EZO852087 FJK852087 FTG852087 GDC852087 GMY852087 GWU852087 HGQ852087 HQM852087 IAI852087 IKE852087 IUA852087 JDW852087 JNS852087 JXO852087 KHK852087 KRG852087 LBC852087 LKY852087 LUU852087 MEQ852087 MOM852087 MYI852087 NIE852087 NSA852087 OBW852087 OLS852087 OVO852087 PFK852087 PPG852087 PZC852087 QIY852087 QSU852087 RCQ852087 RMM852087 RWI852087 SGE852087 SQA852087 SZW852087 TJS852087 TTO852087 UDK852087 UNG852087 UXC852087 VGY852087 VQU852087 WAQ852087 WKM852087 WUI852087 HW917623 RS917623 ABO917623 ALK917623 AVG917623 BFC917623 BOY917623 BYU917623 CIQ917623 CSM917623 DCI917623 DME917623 DWA917623 EFW917623 EPS917623 EZO917623 FJK917623 FTG917623 GDC917623 GMY917623 GWU917623 HGQ917623 HQM917623 IAI917623 IKE917623 IUA917623 JDW917623 JNS917623 JXO917623 KHK917623 KRG917623 LBC917623 LKY917623 LUU917623 MEQ917623 MOM917623 MYI917623 NIE917623 NSA917623 OBW917623 OLS917623 OVO917623 PFK917623 PPG917623 PZC917623 QIY917623 QSU917623 RCQ917623 RMM917623 RWI917623 SGE917623 SQA917623 SZW917623 TJS917623 TTO917623 UDK917623 UNG917623 UXC917623 VGY917623 VQU917623 WAQ917623 WKM917623 WUI917623 HW983159 RS983159 ABO983159 ALK983159 AVG983159 BFC983159 BOY983159 BYU983159 CIQ983159 CSM983159 DCI983159 DME983159 DWA983159 EFW983159 EPS983159 EZO983159 FJK983159 FTG983159 GDC983159 GMY983159 GWU983159 HGQ983159 HQM983159 IAI983159 IKE983159 IUA983159 JDW983159 JNS983159 JXO983159 KHK983159 KRG983159 LBC983159 LKY983159 LUU983159 MEQ983159 MOM983159 MYI983159 NIE983159 NSA983159 OBW983159 OLS983159 OVO983159 PFK983159 PPG983159 PZC983159 QIY983159 QSU983159 RCQ983159 RMM983159 RWI983159 SGE983159 SQA983159 SZW983159 TJS983159 TTO983159 UDK983159 UNG983159 UXC983159 VGY983159 VQU983159 WAQ983159 WKM983159 WUI983159 HW65650 RS65650 ABO65650 ALK65650 AVG65650 BFC65650 BOY65650 BYU65650 CIQ65650 CSM65650 DCI65650 DME65650 DWA65650 EFW65650 EPS65650 EZO65650 FJK65650 FTG65650 GDC65650 GMY65650 GWU65650 HGQ65650 HQM65650 IAI65650 IKE65650 IUA65650 JDW65650 JNS65650 JXO65650 KHK65650 KRG65650 LBC65650 LKY65650 LUU65650 MEQ65650 MOM65650 MYI65650 NIE65650 NSA65650 OBW65650 OLS65650 OVO65650 PFK65650 PPG65650 PZC65650 QIY65650 QSU65650 RCQ65650 RMM65650 RWI65650 SGE65650 SQA65650 SZW65650 TJS65650 TTO65650 UDK65650 UNG65650 UXC65650 VGY65650 VQU65650 WAQ65650 WKM65650 WUI65650 HW131186 RS131186 ABO131186 ALK131186 AVG131186 BFC131186 BOY131186 BYU131186 CIQ131186 CSM131186 DCI131186 DME131186 DWA131186 EFW131186 EPS131186 EZO131186 FJK131186 FTG131186 GDC131186 GMY131186 GWU131186 HGQ131186 HQM131186 IAI131186 IKE131186 IUA131186 JDW131186 JNS131186 JXO131186 KHK131186 KRG131186 LBC131186 LKY131186 LUU131186 MEQ131186 MOM131186 MYI131186 NIE131186 NSA131186 OBW131186 OLS131186 OVO131186 PFK131186 PPG131186 PZC131186 QIY131186 QSU131186 RCQ131186 RMM131186 RWI131186 SGE131186 SQA131186 SZW131186 TJS131186 TTO131186 UDK131186 UNG131186 UXC131186 VGY131186 VQU131186 WAQ131186 WKM131186 WUI131186 HW196722 RS196722 ABO196722 ALK196722 AVG196722 BFC196722 BOY196722 BYU196722 CIQ196722 CSM196722 DCI196722 DME196722 DWA196722 EFW196722 EPS196722 EZO196722 FJK196722 FTG196722 GDC196722 GMY196722 GWU196722 HGQ196722 HQM196722 IAI196722 IKE196722 IUA196722 JDW196722 JNS196722 JXO196722 KHK196722 KRG196722 LBC196722 LKY196722 LUU196722 MEQ196722 MOM196722 MYI196722 NIE196722 NSA196722 OBW196722 OLS196722 OVO196722 PFK196722 PPG196722 PZC196722 QIY196722 QSU196722 RCQ196722 RMM196722 RWI196722 SGE196722 SQA196722 SZW196722 TJS196722 TTO196722 UDK196722 UNG196722 UXC196722 VGY196722 VQU196722 WAQ196722 WKM196722 WUI196722 HW262258 RS262258 ABO262258 ALK262258 AVG262258 BFC262258 BOY262258 BYU262258 CIQ262258 CSM262258 DCI262258 DME262258 DWA262258 EFW262258 EPS262258 EZO262258 FJK262258 FTG262258 GDC262258 GMY262258 GWU262258 HGQ262258 HQM262258 IAI262258 IKE262258 IUA262258 JDW262258 JNS262258 JXO262258 KHK262258 KRG262258 LBC262258 LKY262258 LUU262258 MEQ262258 MOM262258 MYI262258 NIE262258 NSA262258 OBW262258 OLS262258 OVO262258 PFK262258 PPG262258 PZC262258 QIY262258 QSU262258 RCQ262258 RMM262258 RWI262258 SGE262258 SQA262258 SZW262258 TJS262258 TTO262258 UDK262258 UNG262258 UXC262258 VGY262258 VQU262258 WAQ262258 WKM262258 WUI262258 HW327794 RS327794 ABO327794 ALK327794 AVG327794 BFC327794 BOY327794 BYU327794 CIQ327794 CSM327794 DCI327794 DME327794 DWA327794 EFW327794 EPS327794 EZO327794 FJK327794 FTG327794 GDC327794 GMY327794 GWU327794 HGQ327794 HQM327794 IAI327794 IKE327794 IUA327794 JDW327794 JNS327794 JXO327794 KHK327794 KRG327794 LBC327794 LKY327794 LUU327794 MEQ327794 MOM327794 MYI327794 NIE327794 NSA327794 OBW327794 OLS327794 OVO327794 PFK327794 PPG327794 PZC327794 QIY327794 QSU327794 RCQ327794 RMM327794 RWI327794 SGE327794 SQA327794 SZW327794 TJS327794 TTO327794 UDK327794 UNG327794 UXC327794 VGY327794 VQU327794 WAQ327794 WKM327794 WUI327794 HW393330 RS393330 ABO393330 ALK393330 AVG393330 BFC393330 BOY393330 BYU393330 CIQ393330 CSM393330 DCI393330 DME393330 DWA393330 EFW393330 EPS393330 EZO393330 FJK393330 FTG393330 GDC393330 GMY393330 GWU393330 HGQ393330 HQM393330 IAI393330 IKE393330 IUA393330 JDW393330 JNS393330 JXO393330 KHK393330 KRG393330 LBC393330 LKY393330 LUU393330 MEQ393330 MOM393330 MYI393330 NIE393330 NSA393330 OBW393330 OLS393330 OVO393330 PFK393330 PPG393330 PZC393330 QIY393330 QSU393330 RCQ393330 RMM393330 RWI393330 SGE393330 SQA393330 SZW393330 TJS393330 TTO393330 UDK393330 UNG393330 UXC393330 VGY393330 VQU393330 WAQ393330 WKM393330 WUI393330 HW458866 RS458866 ABO458866 ALK458866 AVG458866 BFC458866 BOY458866 BYU458866 CIQ458866 CSM458866 DCI458866 DME458866 DWA458866 EFW458866 EPS458866 EZO458866 FJK458866 FTG458866 GDC458866 GMY458866 GWU458866 HGQ458866 HQM458866 IAI458866 IKE458866 IUA458866 JDW458866 JNS458866 JXO458866 KHK458866 KRG458866 LBC458866 LKY458866 LUU458866 MEQ458866 MOM458866 MYI458866 NIE458866 NSA458866 OBW458866 OLS458866 OVO458866 PFK458866 PPG458866 PZC458866 QIY458866 QSU458866 RCQ458866 RMM458866 RWI458866 SGE458866 SQA458866 SZW458866 TJS458866 TTO458866 UDK458866 UNG458866 UXC458866 VGY458866 VQU458866 WAQ458866 WKM458866 WUI458866 HW524402 RS524402 ABO524402 ALK524402 AVG524402 BFC524402 BOY524402 BYU524402 CIQ524402 CSM524402 DCI524402 DME524402 DWA524402 EFW524402 EPS524402 EZO524402 FJK524402 FTG524402 GDC524402 GMY524402 GWU524402 HGQ524402 HQM524402 IAI524402 IKE524402 IUA524402 JDW524402 JNS524402 JXO524402 KHK524402 KRG524402 LBC524402 LKY524402 LUU524402 MEQ524402 MOM524402 MYI524402 NIE524402 NSA524402 OBW524402 OLS524402 OVO524402 PFK524402 PPG524402 PZC524402 QIY524402 QSU524402 RCQ524402 RMM524402 RWI524402 SGE524402 SQA524402 SZW524402 TJS524402 TTO524402 UDK524402 UNG524402 UXC524402 VGY524402 VQU524402 WAQ524402 WKM524402 WUI524402 HW589938 RS589938 ABO589938 ALK589938 AVG589938 BFC589938 BOY589938 BYU589938 CIQ589938 CSM589938 DCI589938 DME589938 DWA589938 EFW589938 EPS589938 EZO589938 FJK589938 FTG589938 GDC589938 GMY589938 GWU589938 HGQ589938 HQM589938 IAI589938 IKE589938 IUA589938 JDW589938 JNS589938 JXO589938 KHK589938 KRG589938 LBC589938 LKY589938 LUU589938 MEQ589938 MOM589938 MYI589938 NIE589938 NSA589938 OBW589938 OLS589938 OVO589938 PFK589938 PPG589938 PZC589938 QIY589938 QSU589938 RCQ589938 RMM589938 RWI589938 SGE589938 SQA589938 SZW589938 TJS589938 TTO589938 UDK589938 UNG589938 UXC589938 VGY589938 VQU589938 WAQ589938 WKM589938 WUI589938 HW655474 RS655474 ABO655474 ALK655474 AVG655474 BFC655474 BOY655474 BYU655474 CIQ655474 CSM655474 DCI655474 DME655474 DWA655474 EFW655474 EPS655474 EZO655474 FJK655474 FTG655474 GDC655474 GMY655474 GWU655474 HGQ655474 HQM655474 IAI655474 IKE655474 IUA655474 JDW655474 JNS655474 JXO655474 KHK655474 KRG655474 LBC655474 LKY655474 LUU655474 MEQ655474 MOM655474 MYI655474 NIE655474 NSA655474 OBW655474 OLS655474 OVO655474 PFK655474 PPG655474 PZC655474 QIY655474 QSU655474 RCQ655474 RMM655474 RWI655474 SGE655474 SQA655474 SZW655474 TJS655474 TTO655474 UDK655474 UNG655474 UXC655474 VGY655474 VQU655474 WAQ655474 WKM655474 WUI655474 HW721010 RS721010 ABO721010 ALK721010 AVG721010 BFC721010 BOY721010 BYU721010 CIQ721010 CSM721010 DCI721010 DME721010 DWA721010 EFW721010 EPS721010 EZO721010 FJK721010 FTG721010 GDC721010 GMY721010 GWU721010 HGQ721010 HQM721010 IAI721010 IKE721010 IUA721010 JDW721010 JNS721010 JXO721010 KHK721010 KRG721010 LBC721010 LKY721010 LUU721010 MEQ721010 MOM721010 MYI721010 NIE721010 NSA721010 OBW721010 OLS721010 OVO721010 PFK721010 PPG721010 PZC721010 QIY721010 QSU721010 RCQ721010 RMM721010 RWI721010 SGE721010 SQA721010 SZW721010 TJS721010 TTO721010 UDK721010 UNG721010 UXC721010 VGY721010 VQU721010 WAQ721010 WKM721010 WUI721010 HW786546 RS786546 ABO786546 ALK786546 AVG786546 BFC786546 BOY786546 BYU786546 CIQ786546 CSM786546 DCI786546 DME786546 DWA786546 EFW786546 EPS786546 EZO786546 FJK786546 FTG786546 GDC786546 GMY786546 GWU786546 HGQ786546 HQM786546 IAI786546 IKE786546 IUA786546 JDW786546 JNS786546 JXO786546 KHK786546 KRG786546 LBC786546 LKY786546 LUU786546 MEQ786546 MOM786546 MYI786546 NIE786546 NSA786546 OBW786546 OLS786546 OVO786546 PFK786546 PPG786546 PZC786546 QIY786546 QSU786546 RCQ786546 RMM786546 RWI786546 SGE786546 SQA786546 SZW786546 TJS786546 TTO786546 UDK786546 UNG786546 UXC786546 VGY786546 VQU786546 WAQ786546 WKM786546 WUI786546 HW852082 RS852082 ABO852082 ALK852082 AVG852082 BFC852082 BOY852082 BYU852082 CIQ852082 CSM852082 DCI852082 DME852082 DWA852082 EFW852082 EPS852082 EZO852082 FJK852082 FTG852082 GDC852082 GMY852082 GWU852082 HGQ852082 HQM852082 IAI852082 IKE852082 IUA852082 JDW852082 JNS852082 JXO852082 KHK852082 KRG852082 LBC852082 LKY852082 LUU852082 MEQ852082 MOM852082 MYI852082 NIE852082 NSA852082 OBW852082 OLS852082 OVO852082 PFK852082 PPG852082 PZC852082 QIY852082 QSU852082 RCQ852082 RMM852082 RWI852082 SGE852082 SQA852082 SZW852082 TJS852082 TTO852082 UDK852082 UNG852082 UXC852082 VGY852082 VQU852082 WAQ852082 WKM852082 WUI852082 HW917618 RS917618 ABO917618 ALK917618 AVG917618 BFC917618 BOY917618 BYU917618 CIQ917618 CSM917618 DCI917618 DME917618 DWA917618 EFW917618 EPS917618 EZO917618 FJK917618 FTG917618 GDC917618 GMY917618 GWU917618 HGQ917618 HQM917618 IAI917618 IKE917618 IUA917618 JDW917618 JNS917618 JXO917618 KHK917618 KRG917618 LBC917618 LKY917618 LUU917618 MEQ917618 MOM917618 MYI917618 NIE917618 NSA917618 OBW917618 OLS917618 OVO917618 PFK917618 PPG917618 PZC917618 QIY917618 QSU917618 RCQ917618 RMM917618 RWI917618 SGE917618 SQA917618 SZW917618 TJS917618 TTO917618 UDK917618 UNG917618 UXC917618 VGY917618 VQU917618 WAQ917618 WKM917618 WUI917618 HW983154 RS983154 ABO983154 ALK983154 AVG983154 BFC983154 BOY983154 BYU983154 CIQ983154 CSM983154 DCI983154 DME983154 DWA983154 EFW983154 EPS983154 EZO983154 FJK983154 FTG983154 GDC983154 GMY983154 GWU983154 HGQ983154 HQM983154 IAI983154 IKE983154 IUA983154 JDW983154 JNS983154 JXO983154 KHK983154 KRG983154 LBC983154 LKY983154 LUU983154 MEQ983154 MOM983154 MYI983154 NIE983154 NSA983154 OBW983154 OLS983154 OVO983154 PFK983154 PPG983154 PZC983154 QIY983154 QSU983154 RCQ983154 RMM983154 RWI983154 SGE983154 SQA983154 SZW983154 TJS983154 TTO983154 UDK983154 UNG983154 UXC983154 VGY983154 VQU983154 WAQ983154 WKM983154 WUI983154 E983154 E917618 E852082 E786546 E721010 E655474 E589938 E524402 E458866 E393330 E327794 E262258 E196722 E131186 E65650 E983159 E917623 E852087 E786551 E721015 E655479 E589943 E524407 E458871 E393335 E327799 E262263 E196727 E131191 E65655 E983148 E917612 E852076 E786540 E721004 E655468 E589932 E524396 E458860 E393324 E327788 E262252 E196716 E131180" xr:uid="{00000000-0002-0000-0400-000000000000}">
      <formula1>"Yes,No"</formula1>
    </dataValidation>
  </dataValidations>
  <pageMargins left="0.7" right="0.7" top="0.75" bottom="0.75" header="0.3" footer="0.3"/>
  <pageSetup orientation="portrait" horizontalDpi="4294967293" r:id="rId1"/>
  <ignoredErrors>
    <ignoredError sqref="E119 G215"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59"/>
  <sheetViews>
    <sheetView showGridLines="0" zoomScale="80" zoomScaleNormal="80" workbookViewId="0">
      <pane xSplit="1" ySplit="3" topLeftCell="B4" activePane="bottomRight" state="frozen"/>
      <selection pane="topRight" activeCell="B1" sqref="B1"/>
      <selection pane="bottomLeft" activeCell="A4" sqref="A4"/>
      <selection pane="bottomRight" activeCell="H24" sqref="H24"/>
    </sheetView>
  </sheetViews>
  <sheetFormatPr baseColWidth="10" defaultColWidth="9.6640625" defaultRowHeight="15"/>
  <cols>
    <col min="1" max="1" width="2.6640625" customWidth="1"/>
    <col min="2" max="2" width="69.6640625" customWidth="1"/>
    <col min="3" max="4" width="15.6640625" customWidth="1"/>
    <col min="5" max="5" width="48.1640625" customWidth="1"/>
    <col min="6" max="7" width="13.6640625" customWidth="1"/>
    <col min="8" max="11" width="25.83203125" customWidth="1"/>
    <col min="12" max="14" width="13.6640625" customWidth="1"/>
  </cols>
  <sheetData>
    <row r="1" spans="2:11" ht="16" thickBot="1">
      <c r="D1" s="65"/>
      <c r="F1" s="66"/>
    </row>
    <row r="2" spans="2:11" ht="30" customHeight="1" thickBot="1">
      <c r="B2" s="93" t="s">
        <v>216</v>
      </c>
      <c r="C2" s="69"/>
      <c r="D2" s="94"/>
      <c r="E2" s="70"/>
      <c r="F2" s="66"/>
      <c r="G2" s="328"/>
      <c r="H2" s="328"/>
      <c r="I2" s="328"/>
      <c r="J2" s="328"/>
      <c r="K2" s="328"/>
    </row>
    <row r="3" spans="2:11" ht="19" thickBot="1">
      <c r="B3" s="95" t="s">
        <v>452</v>
      </c>
      <c r="C3" s="96"/>
      <c r="D3" s="97"/>
      <c r="E3" s="104"/>
      <c r="F3" s="66"/>
      <c r="G3" s="328"/>
      <c r="H3" s="328"/>
      <c r="I3" s="328"/>
      <c r="J3" s="328"/>
      <c r="K3" s="328"/>
    </row>
    <row r="4" spans="2:11" ht="16" thickBot="1">
      <c r="D4" s="65"/>
      <c r="F4" s="66"/>
    </row>
    <row r="5" spans="2:11" ht="35" thickBot="1">
      <c r="B5" s="118" t="str">
        <f>Inputs!E23</f>
        <v>Generation Equipment</v>
      </c>
      <c r="C5" s="108" t="s">
        <v>0</v>
      </c>
      <c r="D5" s="109" t="s">
        <v>95</v>
      </c>
      <c r="E5" s="99" t="s">
        <v>163</v>
      </c>
    </row>
    <row r="6" spans="2:11" ht="16">
      <c r="B6" s="730" t="s">
        <v>96</v>
      </c>
      <c r="C6" s="731">
        <v>0</v>
      </c>
      <c r="D6" s="141">
        <v>1</v>
      </c>
      <c r="E6" s="317" t="s">
        <v>19</v>
      </c>
    </row>
    <row r="7" spans="2:11" ht="16">
      <c r="B7" s="730" t="s">
        <v>96</v>
      </c>
      <c r="C7" s="731">
        <v>0</v>
      </c>
      <c r="D7" s="141">
        <v>1</v>
      </c>
      <c r="E7" s="317" t="s">
        <v>19</v>
      </c>
    </row>
    <row r="8" spans="2:11" ht="16">
      <c r="B8" s="730" t="s">
        <v>96</v>
      </c>
      <c r="C8" s="731">
        <v>0</v>
      </c>
      <c r="D8" s="141">
        <v>1</v>
      </c>
      <c r="E8" s="317" t="s">
        <v>19</v>
      </c>
    </row>
    <row r="9" spans="2:11" ht="16">
      <c r="B9" s="730" t="s">
        <v>96</v>
      </c>
      <c r="C9" s="731">
        <v>0</v>
      </c>
      <c r="D9" s="141">
        <v>1</v>
      </c>
      <c r="E9" s="317" t="s">
        <v>19</v>
      </c>
    </row>
    <row r="10" spans="2:11" ht="16">
      <c r="B10" s="730" t="s">
        <v>96</v>
      </c>
      <c r="C10" s="731">
        <v>0</v>
      </c>
      <c r="D10" s="141">
        <v>1</v>
      </c>
      <c r="E10" s="317" t="s">
        <v>19</v>
      </c>
    </row>
    <row r="11" spans="2:11" ht="16">
      <c r="B11" s="730" t="s">
        <v>96</v>
      </c>
      <c r="C11" s="731">
        <v>0</v>
      </c>
      <c r="D11" s="141">
        <v>1</v>
      </c>
      <c r="E11" s="317" t="s">
        <v>19</v>
      </c>
    </row>
    <row r="12" spans="2:11" ht="16">
      <c r="B12" s="730" t="s">
        <v>96</v>
      </c>
      <c r="C12" s="731">
        <v>0</v>
      </c>
      <c r="D12" s="141">
        <v>1</v>
      </c>
      <c r="E12" s="317" t="s">
        <v>19</v>
      </c>
    </row>
    <row r="13" spans="2:11" ht="16">
      <c r="B13" s="730" t="s">
        <v>96</v>
      </c>
      <c r="C13" s="731">
        <v>0</v>
      </c>
      <c r="D13" s="141">
        <v>1</v>
      </c>
      <c r="E13" s="317" t="s">
        <v>19</v>
      </c>
    </row>
    <row r="14" spans="2:11" ht="16">
      <c r="B14" s="730" t="s">
        <v>96</v>
      </c>
      <c r="C14" s="731">
        <v>0</v>
      </c>
      <c r="D14" s="141">
        <v>1</v>
      </c>
      <c r="E14" s="317" t="s">
        <v>19</v>
      </c>
    </row>
    <row r="15" spans="2:11" ht="16">
      <c r="B15" s="142" t="s">
        <v>96</v>
      </c>
      <c r="C15" s="143">
        <v>0</v>
      </c>
      <c r="D15" s="141">
        <v>1</v>
      </c>
      <c r="E15" s="317" t="s">
        <v>19</v>
      </c>
    </row>
    <row r="16" spans="2:11" ht="16">
      <c r="B16" s="142" t="s">
        <v>96</v>
      </c>
      <c r="C16" s="143">
        <v>0</v>
      </c>
      <c r="D16" s="141">
        <v>1</v>
      </c>
      <c r="E16" s="317" t="s">
        <v>19</v>
      </c>
    </row>
    <row r="17" spans="2:5" ht="16">
      <c r="B17" s="142" t="s">
        <v>96</v>
      </c>
      <c r="C17" s="143">
        <v>0</v>
      </c>
      <c r="D17" s="141">
        <v>1</v>
      </c>
      <c r="E17" s="317" t="s">
        <v>19</v>
      </c>
    </row>
    <row r="18" spans="2:5" ht="16">
      <c r="B18" s="142" t="s">
        <v>96</v>
      </c>
      <c r="C18" s="143">
        <v>0</v>
      </c>
      <c r="D18" s="141">
        <v>1</v>
      </c>
      <c r="E18" s="317" t="s">
        <v>19</v>
      </c>
    </row>
    <row r="19" spans="2:5" ht="16">
      <c r="B19" s="142" t="s">
        <v>96</v>
      </c>
      <c r="C19" s="143">
        <v>0</v>
      </c>
      <c r="D19" s="141">
        <v>1</v>
      </c>
      <c r="E19" s="317" t="s">
        <v>19</v>
      </c>
    </row>
    <row r="20" spans="2:5" ht="16">
      <c r="B20" s="142" t="s">
        <v>96</v>
      </c>
      <c r="C20" s="143">
        <v>0</v>
      </c>
      <c r="D20" s="141">
        <v>1</v>
      </c>
      <c r="E20" s="317" t="s">
        <v>19</v>
      </c>
    </row>
    <row r="21" spans="2:5" ht="16">
      <c r="B21" s="142" t="s">
        <v>96</v>
      </c>
      <c r="C21" s="143">
        <v>0</v>
      </c>
      <c r="D21" s="141">
        <v>1</v>
      </c>
      <c r="E21" s="317" t="s">
        <v>19</v>
      </c>
    </row>
    <row r="22" spans="2:5" ht="16">
      <c r="B22" s="142" t="s">
        <v>96</v>
      </c>
      <c r="C22" s="143">
        <v>0</v>
      </c>
      <c r="D22" s="141">
        <v>1</v>
      </c>
      <c r="E22" s="317" t="s">
        <v>19</v>
      </c>
    </row>
    <row r="23" spans="2:5" ht="16">
      <c r="B23" s="142" t="s">
        <v>96</v>
      </c>
      <c r="C23" s="143">
        <v>0</v>
      </c>
      <c r="D23" s="141">
        <v>1</v>
      </c>
      <c r="E23" s="317" t="s">
        <v>19</v>
      </c>
    </row>
    <row r="24" spans="2:5" ht="16">
      <c r="B24" s="142" t="s">
        <v>96</v>
      </c>
      <c r="C24" s="143">
        <v>0</v>
      </c>
      <c r="D24" s="141">
        <v>1</v>
      </c>
      <c r="E24" s="317" t="s">
        <v>19</v>
      </c>
    </row>
    <row r="25" spans="2:5" ht="17" thickBot="1">
      <c r="B25" s="144" t="s">
        <v>96</v>
      </c>
      <c r="C25" s="145">
        <v>0</v>
      </c>
      <c r="D25" s="146">
        <v>1</v>
      </c>
      <c r="E25" s="317" t="s">
        <v>19</v>
      </c>
    </row>
    <row r="26" spans="2:5" ht="30" customHeight="1" thickTop="1">
      <c r="B26" s="105" t="s">
        <v>167</v>
      </c>
      <c r="C26" s="106">
        <f>SUM(C6:C25)</f>
        <v>0</v>
      </c>
      <c r="D26" s="77" t="e">
        <f>SUMPRODUCT(C6:C25,D6:D25)/C26</f>
        <v>#DIV/0!</v>
      </c>
      <c r="E26" s="107"/>
    </row>
    <row r="27" spans="2:5" ht="16.5" customHeight="1">
      <c r="B27" s="113"/>
      <c r="C27" s="114"/>
      <c r="D27" s="100"/>
      <c r="E27" s="25"/>
    </row>
    <row r="28" spans="2:5" ht="30" customHeight="1">
      <c r="B28" s="74" t="s">
        <v>97</v>
      </c>
      <c r="C28" s="114"/>
      <c r="D28" s="100"/>
      <c r="E28" s="25"/>
    </row>
    <row r="29" spans="2:5" s="14" customFormat="1" ht="17" thickBot="1">
      <c r="B29" s="115"/>
      <c r="C29" s="116"/>
      <c r="D29" s="117"/>
      <c r="E29" s="112"/>
    </row>
    <row r="30" spans="2:5" ht="30" customHeight="1" thickBot="1">
      <c r="B30" s="118" t="str">
        <f>Inputs!E24</f>
        <v>Balance of Plant</v>
      </c>
      <c r="C30" s="108" t="s">
        <v>0</v>
      </c>
      <c r="D30" s="109" t="s">
        <v>95</v>
      </c>
      <c r="E30" s="99" t="s">
        <v>163</v>
      </c>
    </row>
    <row r="31" spans="2:5" ht="16">
      <c r="B31" s="730" t="s">
        <v>96</v>
      </c>
      <c r="C31" s="731">
        <v>0</v>
      </c>
      <c r="D31" s="141">
        <v>1</v>
      </c>
      <c r="E31" s="317" t="s">
        <v>19</v>
      </c>
    </row>
    <row r="32" spans="2:5" ht="16">
      <c r="B32" s="730" t="s">
        <v>96</v>
      </c>
      <c r="C32" s="731">
        <v>0</v>
      </c>
      <c r="D32" s="732">
        <v>1</v>
      </c>
      <c r="E32" s="733" t="s">
        <v>19</v>
      </c>
    </row>
    <row r="33" spans="2:5" ht="16">
      <c r="B33" s="730" t="s">
        <v>96</v>
      </c>
      <c r="C33" s="731">
        <v>0</v>
      </c>
      <c r="D33" s="732">
        <v>1</v>
      </c>
      <c r="E33" s="733" t="s">
        <v>19</v>
      </c>
    </row>
    <row r="34" spans="2:5" ht="16">
      <c r="B34" s="730" t="s">
        <v>96</v>
      </c>
      <c r="C34" s="731">
        <v>0</v>
      </c>
      <c r="D34" s="732">
        <v>1</v>
      </c>
      <c r="E34" s="733" t="s">
        <v>19</v>
      </c>
    </row>
    <row r="35" spans="2:5" ht="16">
      <c r="B35" s="730" t="s">
        <v>96</v>
      </c>
      <c r="C35" s="731">
        <v>0</v>
      </c>
      <c r="D35" s="732">
        <v>1</v>
      </c>
      <c r="E35" s="317" t="s">
        <v>19</v>
      </c>
    </row>
    <row r="36" spans="2:5" ht="16">
      <c r="B36" s="730" t="s">
        <v>96</v>
      </c>
      <c r="C36" s="731">
        <v>0</v>
      </c>
      <c r="D36" s="732">
        <v>1</v>
      </c>
      <c r="E36" s="317" t="s">
        <v>19</v>
      </c>
    </row>
    <row r="37" spans="2:5" ht="16">
      <c r="B37" s="730" t="s">
        <v>96</v>
      </c>
      <c r="C37" s="731">
        <v>0</v>
      </c>
      <c r="D37" s="732">
        <v>1</v>
      </c>
      <c r="E37" s="317" t="s">
        <v>19</v>
      </c>
    </row>
    <row r="38" spans="2:5" ht="16">
      <c r="B38" s="730" t="s">
        <v>96</v>
      </c>
      <c r="C38" s="731">
        <v>0</v>
      </c>
      <c r="D38" s="732">
        <v>1</v>
      </c>
      <c r="E38" s="317" t="s">
        <v>19</v>
      </c>
    </row>
    <row r="39" spans="2:5" ht="16">
      <c r="B39" s="730" t="s">
        <v>96</v>
      </c>
      <c r="C39" s="731">
        <v>0</v>
      </c>
      <c r="D39" s="732">
        <v>1</v>
      </c>
      <c r="E39" s="317" t="s">
        <v>19</v>
      </c>
    </row>
    <row r="40" spans="2:5" ht="16">
      <c r="B40" s="730" t="s">
        <v>96</v>
      </c>
      <c r="C40" s="731">
        <v>0</v>
      </c>
      <c r="D40" s="732">
        <v>1</v>
      </c>
      <c r="E40" s="733" t="s">
        <v>19</v>
      </c>
    </row>
    <row r="41" spans="2:5" ht="16">
      <c r="B41" s="142" t="s">
        <v>96</v>
      </c>
      <c r="C41" s="143">
        <v>0</v>
      </c>
      <c r="D41" s="732">
        <v>1</v>
      </c>
      <c r="E41" s="317" t="s">
        <v>19</v>
      </c>
    </row>
    <row r="42" spans="2:5" ht="16">
      <c r="B42" s="142" t="s">
        <v>96</v>
      </c>
      <c r="C42" s="143">
        <v>0</v>
      </c>
      <c r="D42" s="732">
        <v>1</v>
      </c>
      <c r="E42" s="317" t="s">
        <v>19</v>
      </c>
    </row>
    <row r="43" spans="2:5" ht="16">
      <c r="B43" s="142" t="s">
        <v>96</v>
      </c>
      <c r="C43" s="143">
        <v>0</v>
      </c>
      <c r="D43" s="141">
        <v>1</v>
      </c>
      <c r="E43" s="317" t="s">
        <v>19</v>
      </c>
    </row>
    <row r="44" spans="2:5" ht="16">
      <c r="B44" s="142" t="s">
        <v>96</v>
      </c>
      <c r="C44" s="143">
        <v>0</v>
      </c>
      <c r="D44" s="141">
        <v>1</v>
      </c>
      <c r="E44" s="317" t="s">
        <v>19</v>
      </c>
    </row>
    <row r="45" spans="2:5" ht="16">
      <c r="B45" s="142" t="s">
        <v>96</v>
      </c>
      <c r="C45" s="143">
        <v>0</v>
      </c>
      <c r="D45" s="141">
        <v>1</v>
      </c>
      <c r="E45" s="317" t="s">
        <v>19</v>
      </c>
    </row>
    <row r="46" spans="2:5" ht="16">
      <c r="B46" s="142" t="s">
        <v>96</v>
      </c>
      <c r="C46" s="143">
        <v>0</v>
      </c>
      <c r="D46" s="141">
        <v>1</v>
      </c>
      <c r="E46" s="317" t="s">
        <v>19</v>
      </c>
    </row>
    <row r="47" spans="2:5" ht="16">
      <c r="B47" s="142" t="s">
        <v>96</v>
      </c>
      <c r="C47" s="143">
        <v>0</v>
      </c>
      <c r="D47" s="141">
        <v>1</v>
      </c>
      <c r="E47" s="317" t="s">
        <v>19</v>
      </c>
    </row>
    <row r="48" spans="2:5" ht="16">
      <c r="B48" s="142" t="s">
        <v>96</v>
      </c>
      <c r="C48" s="143">
        <v>0</v>
      </c>
      <c r="D48" s="141">
        <v>1</v>
      </c>
      <c r="E48" s="317" t="s">
        <v>19</v>
      </c>
    </row>
    <row r="49" spans="2:5" ht="16">
      <c r="B49" s="142" t="s">
        <v>96</v>
      </c>
      <c r="C49" s="143">
        <v>0</v>
      </c>
      <c r="D49" s="141">
        <v>1</v>
      </c>
      <c r="E49" s="317" t="s">
        <v>19</v>
      </c>
    </row>
    <row r="50" spans="2:5" ht="17" thickBot="1">
      <c r="B50" s="144" t="s">
        <v>96</v>
      </c>
      <c r="C50" s="145">
        <v>0</v>
      </c>
      <c r="D50" s="146">
        <v>1</v>
      </c>
      <c r="E50" s="317" t="s">
        <v>19</v>
      </c>
    </row>
    <row r="51" spans="2:5" ht="30" customHeight="1" thickTop="1">
      <c r="B51" s="105" t="s">
        <v>169</v>
      </c>
      <c r="C51" s="106">
        <f>SUM(C31:C50)</f>
        <v>0</v>
      </c>
      <c r="D51" s="77" t="e">
        <f>SUMPRODUCT(C31:C50,D31:D50)/C51</f>
        <v>#DIV/0!</v>
      </c>
      <c r="E51" s="73"/>
    </row>
    <row r="53" spans="2:5" ht="30" customHeight="1">
      <c r="B53" s="74" t="s">
        <v>97</v>
      </c>
    </row>
    <row r="54" spans="2:5" ht="16" thickBot="1"/>
    <row r="55" spans="2:5" ht="35" thickBot="1">
      <c r="B55" s="67" t="str">
        <f>Inputs!E25</f>
        <v>Interconnection</v>
      </c>
      <c r="C55" s="108" t="s">
        <v>0</v>
      </c>
      <c r="D55" s="109" t="s">
        <v>95</v>
      </c>
      <c r="E55" s="99" t="s">
        <v>163</v>
      </c>
    </row>
    <row r="56" spans="2:5" ht="16">
      <c r="B56" s="734" t="s">
        <v>96</v>
      </c>
      <c r="C56" s="735">
        <v>0</v>
      </c>
      <c r="D56" s="141">
        <v>0.5</v>
      </c>
      <c r="E56" s="317" t="s">
        <v>22</v>
      </c>
    </row>
    <row r="57" spans="2:5" ht="16">
      <c r="B57" s="734" t="s">
        <v>96</v>
      </c>
      <c r="C57" s="735">
        <v>0</v>
      </c>
      <c r="D57" s="141">
        <v>0.5</v>
      </c>
      <c r="E57" s="317" t="s">
        <v>22</v>
      </c>
    </row>
    <row r="58" spans="2:5" ht="16">
      <c r="B58" s="734" t="s">
        <v>96</v>
      </c>
      <c r="C58" s="735">
        <v>0</v>
      </c>
      <c r="D58" s="141">
        <v>0.5</v>
      </c>
      <c r="E58" s="317" t="s">
        <v>22</v>
      </c>
    </row>
    <row r="59" spans="2:5" ht="16">
      <c r="B59" s="734" t="s">
        <v>96</v>
      </c>
      <c r="C59" s="735">
        <v>0</v>
      </c>
      <c r="D59" s="141">
        <v>0.5</v>
      </c>
      <c r="E59" s="317" t="s">
        <v>22</v>
      </c>
    </row>
    <row r="60" spans="2:5" ht="16">
      <c r="B60" s="318" t="s">
        <v>96</v>
      </c>
      <c r="C60" s="319">
        <v>0</v>
      </c>
      <c r="D60" s="141">
        <v>0.5</v>
      </c>
      <c r="E60" s="317" t="s">
        <v>22</v>
      </c>
    </row>
    <row r="61" spans="2:5" ht="16">
      <c r="B61" s="318" t="s">
        <v>96</v>
      </c>
      <c r="C61" s="319">
        <v>0</v>
      </c>
      <c r="D61" s="141">
        <v>0.5</v>
      </c>
      <c r="E61" s="317" t="s">
        <v>22</v>
      </c>
    </row>
    <row r="62" spans="2:5" ht="16">
      <c r="B62" s="318" t="s">
        <v>96</v>
      </c>
      <c r="C62" s="319">
        <v>0</v>
      </c>
      <c r="D62" s="141">
        <v>0.5</v>
      </c>
      <c r="E62" s="317" t="s">
        <v>22</v>
      </c>
    </row>
    <row r="63" spans="2:5" ht="16">
      <c r="B63" s="318" t="s">
        <v>96</v>
      </c>
      <c r="C63" s="319">
        <v>0</v>
      </c>
      <c r="D63" s="141">
        <v>0.5</v>
      </c>
      <c r="E63" s="317" t="s">
        <v>22</v>
      </c>
    </row>
    <row r="64" spans="2:5" ht="16">
      <c r="B64" s="318" t="s">
        <v>96</v>
      </c>
      <c r="C64" s="319">
        <v>0</v>
      </c>
      <c r="D64" s="141">
        <v>0.5</v>
      </c>
      <c r="E64" s="317" t="s">
        <v>22</v>
      </c>
    </row>
    <row r="65" spans="2:5" ht="16">
      <c r="B65" s="318" t="s">
        <v>96</v>
      </c>
      <c r="C65" s="319">
        <v>0</v>
      </c>
      <c r="D65" s="141">
        <v>0.5</v>
      </c>
      <c r="E65" s="317" t="s">
        <v>22</v>
      </c>
    </row>
    <row r="66" spans="2:5" ht="16">
      <c r="B66" s="318" t="s">
        <v>96</v>
      </c>
      <c r="C66" s="319">
        <v>0</v>
      </c>
      <c r="D66" s="141">
        <v>0.5</v>
      </c>
      <c r="E66" s="317" t="s">
        <v>22</v>
      </c>
    </row>
    <row r="67" spans="2:5" ht="16">
      <c r="B67" s="318" t="s">
        <v>96</v>
      </c>
      <c r="C67" s="319">
        <v>0</v>
      </c>
      <c r="D67" s="141">
        <v>0.5</v>
      </c>
      <c r="E67" s="317" t="s">
        <v>22</v>
      </c>
    </row>
    <row r="68" spans="2:5" ht="16">
      <c r="B68" s="318" t="s">
        <v>96</v>
      </c>
      <c r="C68" s="319">
        <v>0</v>
      </c>
      <c r="D68" s="141">
        <v>0.5</v>
      </c>
      <c r="E68" s="317" t="s">
        <v>22</v>
      </c>
    </row>
    <row r="69" spans="2:5" ht="16">
      <c r="B69" s="318" t="s">
        <v>96</v>
      </c>
      <c r="C69" s="319">
        <v>0</v>
      </c>
      <c r="D69" s="141">
        <v>0.5</v>
      </c>
      <c r="E69" s="317" t="s">
        <v>22</v>
      </c>
    </row>
    <row r="70" spans="2:5" ht="16">
      <c r="B70" s="318" t="s">
        <v>96</v>
      </c>
      <c r="C70" s="319">
        <v>0</v>
      </c>
      <c r="D70" s="141">
        <v>0.5</v>
      </c>
      <c r="E70" s="317" t="s">
        <v>22</v>
      </c>
    </row>
    <row r="71" spans="2:5" ht="16">
      <c r="B71" s="318" t="s">
        <v>96</v>
      </c>
      <c r="C71" s="319">
        <v>0</v>
      </c>
      <c r="D71" s="141">
        <v>0.5</v>
      </c>
      <c r="E71" s="317" t="s">
        <v>22</v>
      </c>
    </row>
    <row r="72" spans="2:5" ht="16">
      <c r="B72" s="318" t="s">
        <v>96</v>
      </c>
      <c r="C72" s="319">
        <v>0</v>
      </c>
      <c r="D72" s="141">
        <v>0.5</v>
      </c>
      <c r="E72" s="317" t="s">
        <v>22</v>
      </c>
    </row>
    <row r="73" spans="2:5" ht="16">
      <c r="B73" s="318" t="s">
        <v>96</v>
      </c>
      <c r="C73" s="319">
        <v>0</v>
      </c>
      <c r="D73" s="141">
        <v>0.5</v>
      </c>
      <c r="E73" s="317" t="s">
        <v>22</v>
      </c>
    </row>
    <row r="74" spans="2:5" ht="16">
      <c r="B74" s="318" t="s">
        <v>96</v>
      </c>
      <c r="C74" s="319">
        <v>0</v>
      </c>
      <c r="D74" s="141">
        <v>0.5</v>
      </c>
      <c r="E74" s="317" t="s">
        <v>22</v>
      </c>
    </row>
    <row r="75" spans="2:5" ht="17" thickBot="1">
      <c r="B75" s="144" t="s">
        <v>96</v>
      </c>
      <c r="C75" s="145">
        <v>0</v>
      </c>
      <c r="D75" s="146">
        <v>0.5</v>
      </c>
      <c r="E75" s="317" t="s">
        <v>22</v>
      </c>
    </row>
    <row r="76" spans="2:5" ht="30" customHeight="1" thickTop="1">
      <c r="B76" s="105" t="s">
        <v>170</v>
      </c>
      <c r="C76" s="106">
        <f>SUM(C56:C75)</f>
        <v>0</v>
      </c>
      <c r="D76" s="77" t="e">
        <f>SUMPRODUCT(C56:C75,D56:D75)/C76</f>
        <v>#DIV/0!</v>
      </c>
      <c r="E76" s="75"/>
    </row>
    <row r="77" spans="2:5" ht="15.75" customHeight="1"/>
    <row r="78" spans="2:5" ht="30" customHeight="1">
      <c r="B78" s="74" t="s">
        <v>97</v>
      </c>
    </row>
    <row r="79" spans="2:5" ht="15.75" customHeight="1" thickBot="1">
      <c r="B79" s="74"/>
    </row>
    <row r="80" spans="2:5" ht="35" thickBot="1">
      <c r="B80" s="67" t="str">
        <f>Inputs!E26</f>
        <v>Development Costs &amp; Fee</v>
      </c>
      <c r="C80" s="108" t="s">
        <v>0</v>
      </c>
      <c r="D80" s="109" t="s">
        <v>95</v>
      </c>
      <c r="E80" s="99" t="s">
        <v>163</v>
      </c>
    </row>
    <row r="81" spans="2:5" ht="16">
      <c r="B81" s="730" t="s">
        <v>96</v>
      </c>
      <c r="C81" s="731">
        <v>0</v>
      </c>
      <c r="D81" s="141">
        <v>1</v>
      </c>
      <c r="E81" s="317" t="s">
        <v>19</v>
      </c>
    </row>
    <row r="82" spans="2:5" ht="16">
      <c r="B82" s="730" t="s">
        <v>96</v>
      </c>
      <c r="C82" s="731">
        <v>0</v>
      </c>
      <c r="D82" s="141">
        <v>1</v>
      </c>
      <c r="E82" s="317" t="s">
        <v>19</v>
      </c>
    </row>
    <row r="83" spans="2:5" ht="16">
      <c r="B83" s="730" t="s">
        <v>96</v>
      </c>
      <c r="C83" s="731">
        <v>0</v>
      </c>
      <c r="D83" s="141">
        <v>1</v>
      </c>
      <c r="E83" s="317" t="s">
        <v>19</v>
      </c>
    </row>
    <row r="84" spans="2:5" ht="16">
      <c r="B84" s="730" t="s">
        <v>96</v>
      </c>
      <c r="C84" s="731">
        <v>0</v>
      </c>
      <c r="D84" s="141">
        <v>1</v>
      </c>
      <c r="E84" s="317" t="s">
        <v>19</v>
      </c>
    </row>
    <row r="85" spans="2:5" ht="16">
      <c r="B85" s="730" t="s">
        <v>96</v>
      </c>
      <c r="C85" s="731">
        <v>0</v>
      </c>
      <c r="D85" s="141">
        <v>1</v>
      </c>
      <c r="E85" s="317" t="s">
        <v>19</v>
      </c>
    </row>
    <row r="86" spans="2:5" ht="16">
      <c r="B86" s="730" t="s">
        <v>96</v>
      </c>
      <c r="C86" s="731">
        <v>0</v>
      </c>
      <c r="D86" s="141">
        <v>1</v>
      </c>
      <c r="E86" s="317" t="s">
        <v>19</v>
      </c>
    </row>
    <row r="87" spans="2:5" ht="16">
      <c r="B87" s="142" t="s">
        <v>96</v>
      </c>
      <c r="C87" s="143">
        <v>0</v>
      </c>
      <c r="D87" s="141">
        <v>1</v>
      </c>
      <c r="E87" s="317" t="s">
        <v>19</v>
      </c>
    </row>
    <row r="88" spans="2:5" ht="16">
      <c r="B88" s="142" t="s">
        <v>96</v>
      </c>
      <c r="C88" s="143">
        <v>0</v>
      </c>
      <c r="D88" s="141">
        <v>1</v>
      </c>
      <c r="E88" s="317" t="s">
        <v>19</v>
      </c>
    </row>
    <row r="89" spans="2:5" ht="16">
      <c r="B89" s="142" t="s">
        <v>96</v>
      </c>
      <c r="C89" s="143">
        <v>0</v>
      </c>
      <c r="D89" s="141">
        <v>1</v>
      </c>
      <c r="E89" s="317" t="s">
        <v>19</v>
      </c>
    </row>
    <row r="90" spans="2:5" ht="16">
      <c r="B90" s="142" t="s">
        <v>96</v>
      </c>
      <c r="C90" s="143">
        <v>0</v>
      </c>
      <c r="D90" s="141">
        <v>1</v>
      </c>
      <c r="E90" s="317" t="s">
        <v>19</v>
      </c>
    </row>
    <row r="91" spans="2:5" ht="16">
      <c r="B91" s="142" t="s">
        <v>96</v>
      </c>
      <c r="C91" s="143">
        <v>0</v>
      </c>
      <c r="D91" s="141">
        <v>1</v>
      </c>
      <c r="E91" s="317" t="s">
        <v>19</v>
      </c>
    </row>
    <row r="92" spans="2:5" ht="16">
      <c r="B92" s="142" t="s">
        <v>96</v>
      </c>
      <c r="C92" s="143">
        <v>0</v>
      </c>
      <c r="D92" s="141">
        <v>1</v>
      </c>
      <c r="E92" s="317" t="s">
        <v>19</v>
      </c>
    </row>
    <row r="93" spans="2:5" ht="16">
      <c r="B93" s="142" t="s">
        <v>96</v>
      </c>
      <c r="C93" s="143">
        <v>0</v>
      </c>
      <c r="D93" s="141">
        <v>1</v>
      </c>
      <c r="E93" s="317" t="s">
        <v>19</v>
      </c>
    </row>
    <row r="94" spans="2:5" ht="16">
      <c r="B94" s="142" t="s">
        <v>96</v>
      </c>
      <c r="C94" s="143">
        <v>0</v>
      </c>
      <c r="D94" s="141">
        <v>1</v>
      </c>
      <c r="E94" s="317" t="s">
        <v>19</v>
      </c>
    </row>
    <row r="95" spans="2:5" ht="16">
      <c r="B95" s="142" t="s">
        <v>96</v>
      </c>
      <c r="C95" s="143">
        <v>0</v>
      </c>
      <c r="D95" s="141">
        <v>1</v>
      </c>
      <c r="E95" s="317" t="s">
        <v>19</v>
      </c>
    </row>
    <row r="96" spans="2:5" ht="16">
      <c r="B96" s="142" t="s">
        <v>96</v>
      </c>
      <c r="C96" s="143">
        <v>0</v>
      </c>
      <c r="D96" s="141">
        <v>1</v>
      </c>
      <c r="E96" s="317" t="s">
        <v>19</v>
      </c>
    </row>
    <row r="97" spans="2:5" ht="16">
      <c r="B97" s="142" t="s">
        <v>96</v>
      </c>
      <c r="C97" s="143">
        <v>0</v>
      </c>
      <c r="D97" s="141">
        <v>1</v>
      </c>
      <c r="E97" s="317" t="s">
        <v>19</v>
      </c>
    </row>
    <row r="98" spans="2:5" ht="16">
      <c r="B98" s="142" t="s">
        <v>96</v>
      </c>
      <c r="C98" s="143">
        <v>0</v>
      </c>
      <c r="D98" s="141">
        <v>1</v>
      </c>
      <c r="E98" s="317" t="s">
        <v>19</v>
      </c>
    </row>
    <row r="99" spans="2:5" ht="16">
      <c r="B99" s="142" t="s">
        <v>96</v>
      </c>
      <c r="C99" s="143">
        <v>0</v>
      </c>
      <c r="D99" s="141">
        <v>1</v>
      </c>
      <c r="E99" s="317" t="s">
        <v>19</v>
      </c>
    </row>
    <row r="100" spans="2:5" ht="17" thickBot="1">
      <c r="B100" s="144" t="s">
        <v>96</v>
      </c>
      <c r="C100" s="145">
        <v>0</v>
      </c>
      <c r="D100" s="146">
        <v>1</v>
      </c>
      <c r="E100" s="317" t="s">
        <v>19</v>
      </c>
    </row>
    <row r="101" spans="2:5" ht="30" customHeight="1" thickTop="1">
      <c r="B101" s="105" t="s">
        <v>174</v>
      </c>
      <c r="C101" s="106">
        <f>SUM(C81:C100)</f>
        <v>0</v>
      </c>
      <c r="D101" s="77" t="e">
        <f>SUMPRODUCT(C81:C100,D81:D100)/C101</f>
        <v>#DIV/0!</v>
      </c>
      <c r="E101" s="75"/>
    </row>
    <row r="102" spans="2:5" ht="15.75" customHeight="1">
      <c r="B102" s="113"/>
      <c r="C102" s="114"/>
      <c r="D102" s="100"/>
      <c r="E102" s="127"/>
    </row>
    <row r="103" spans="2:5" ht="30" customHeight="1">
      <c r="B103" s="74" t="s">
        <v>97</v>
      </c>
      <c r="C103" s="114"/>
      <c r="D103" s="100"/>
      <c r="E103" s="127"/>
    </row>
    <row r="104" spans="2:5" ht="15.75" customHeight="1" thickBot="1">
      <c r="B104" s="113"/>
      <c r="C104" s="114"/>
      <c r="D104" s="100"/>
      <c r="E104" s="127"/>
    </row>
    <row r="105" spans="2:5" ht="30" customHeight="1" thickBot="1">
      <c r="B105" s="67" t="str">
        <f>Inputs!E27</f>
        <v>Reserves &amp; Financing Costs</v>
      </c>
      <c r="C105" s="108" t="s">
        <v>0</v>
      </c>
      <c r="D105" s="109" t="s">
        <v>95</v>
      </c>
      <c r="E105" s="99" t="s">
        <v>163</v>
      </c>
    </row>
    <row r="106" spans="2:5" ht="15.75" customHeight="1">
      <c r="B106" s="105" t="s">
        <v>172</v>
      </c>
      <c r="C106" s="106">
        <f>((C26+C51+C76+C101)*Inputs!$G$62*Inputs!$G$65)</f>
        <v>0</v>
      </c>
      <c r="D106" s="141">
        <v>0</v>
      </c>
      <c r="E106" s="317" t="s">
        <v>23</v>
      </c>
    </row>
    <row r="107" spans="2:5" ht="15.75" customHeight="1">
      <c r="B107" s="71" t="s">
        <v>36</v>
      </c>
      <c r="C107" s="129">
        <f>(C26+C51+C76+C101)*(Inputs!$G$58/12)*(Inputs!$G$57/2)</f>
        <v>0</v>
      </c>
      <c r="D107" s="141">
        <v>0</v>
      </c>
      <c r="E107" s="317" t="s">
        <v>22</v>
      </c>
    </row>
    <row r="108" spans="2:5" ht="15.75" customHeight="1">
      <c r="B108" s="8" t="s">
        <v>48</v>
      </c>
      <c r="C108" s="129">
        <f>Inputs!$G$75</f>
        <v>0</v>
      </c>
      <c r="D108" s="141">
        <v>0</v>
      </c>
      <c r="E108" s="317" t="s">
        <v>22</v>
      </c>
    </row>
    <row r="109" spans="2:5" ht="15.75" customHeight="1" thickBot="1">
      <c r="B109" s="130" t="s">
        <v>173</v>
      </c>
      <c r="C109" s="131">
        <f>Inputs!$Q$81+Inputs!$Q$84</f>
        <v>336531.32449058129</v>
      </c>
      <c r="D109" s="146">
        <v>0</v>
      </c>
      <c r="E109" s="317" t="s">
        <v>23</v>
      </c>
    </row>
    <row r="110" spans="2:5" ht="30.75" customHeight="1" thickTop="1">
      <c r="B110" s="121" t="s">
        <v>137</v>
      </c>
      <c r="C110" s="106">
        <f>SUM(C106:C109)</f>
        <v>336531.32449058129</v>
      </c>
      <c r="D110" s="77">
        <f>SUMPRODUCT(C106:C109,D106:D109)/C110</f>
        <v>0</v>
      </c>
      <c r="E110" s="98"/>
    </row>
    <row r="111" spans="2:5" ht="15.75" customHeight="1">
      <c r="B111" s="110"/>
      <c r="C111" s="128"/>
      <c r="D111" s="111"/>
      <c r="E111" s="112"/>
    </row>
    <row r="112" spans="2:5" ht="30" customHeight="1">
      <c r="B112" s="74" t="s">
        <v>97</v>
      </c>
      <c r="C112" s="128"/>
      <c r="D112" s="111"/>
      <c r="E112" s="112"/>
    </row>
    <row r="113" spans="2:14" ht="15.75" customHeight="1" thickBot="1">
      <c r="B113" s="110"/>
      <c r="C113" s="128"/>
      <c r="D113" s="111"/>
      <c r="E113" s="112"/>
    </row>
    <row r="114" spans="2:14" ht="17" thickBot="1">
      <c r="B114" s="67" t="s">
        <v>168</v>
      </c>
      <c r="C114" s="68"/>
      <c r="D114" s="68"/>
      <c r="E114" s="101" t="s">
        <v>94</v>
      </c>
      <c r="F114" s="102"/>
      <c r="G114" s="102"/>
      <c r="H114" s="102"/>
      <c r="I114" s="102"/>
      <c r="J114" s="102"/>
      <c r="K114" s="102"/>
      <c r="L114" s="102"/>
      <c r="M114" s="102"/>
      <c r="N114" s="103"/>
    </row>
    <row r="115" spans="2:14" ht="35" thickBot="1">
      <c r="B115" s="118" t="s">
        <v>26</v>
      </c>
      <c r="C115" s="108" t="s">
        <v>0</v>
      </c>
      <c r="D115" s="109" t="s">
        <v>171</v>
      </c>
      <c r="E115" s="109" t="s">
        <v>26</v>
      </c>
      <c r="F115" s="109" t="s">
        <v>19</v>
      </c>
      <c r="G115" s="109" t="s">
        <v>130</v>
      </c>
      <c r="H115" s="109" t="s">
        <v>20</v>
      </c>
      <c r="I115" s="109" t="s">
        <v>131</v>
      </c>
      <c r="J115" s="109" t="s">
        <v>132</v>
      </c>
      <c r="K115" s="109" t="s">
        <v>21</v>
      </c>
      <c r="L115" s="109" t="s">
        <v>22</v>
      </c>
      <c r="M115" s="109" t="s">
        <v>133</v>
      </c>
      <c r="N115" s="140" t="s">
        <v>23</v>
      </c>
    </row>
    <row r="116" spans="2:14" ht="15.75" customHeight="1">
      <c r="B116" s="121" t="s">
        <v>162</v>
      </c>
      <c r="C116" s="124">
        <f>C26</f>
        <v>0</v>
      </c>
      <c r="D116" s="138" t="e">
        <f>C26*D26</f>
        <v>#DIV/0!</v>
      </c>
      <c r="E116" s="139" t="s">
        <v>162</v>
      </c>
      <c r="F116" s="124">
        <f>SUMIF($E$5:$E$26,F$115,$C$5:$C$26)</f>
        <v>0</v>
      </c>
      <c r="G116" s="124">
        <f t="shared" ref="G116:N116" si="0">SUMIF($E$5:$E$26,G$115,$C$5:$C$26)</f>
        <v>0</v>
      </c>
      <c r="H116" s="124">
        <f t="shared" si="0"/>
        <v>0</v>
      </c>
      <c r="I116" s="124">
        <f t="shared" si="0"/>
        <v>0</v>
      </c>
      <c r="J116" s="124">
        <f t="shared" si="0"/>
        <v>0</v>
      </c>
      <c r="K116" s="124">
        <f t="shared" si="0"/>
        <v>0</v>
      </c>
      <c r="L116" s="124">
        <f t="shared" si="0"/>
        <v>0</v>
      </c>
      <c r="M116" s="124">
        <f t="shared" si="0"/>
        <v>0</v>
      </c>
      <c r="N116" s="124">
        <f t="shared" si="0"/>
        <v>0</v>
      </c>
    </row>
    <row r="117" spans="2:14" ht="15.75" customHeight="1">
      <c r="B117" s="72" t="s">
        <v>164</v>
      </c>
      <c r="C117" s="119">
        <f>C51</f>
        <v>0</v>
      </c>
      <c r="D117" s="126" t="e">
        <f>C51*D51</f>
        <v>#DIV/0!</v>
      </c>
      <c r="E117" s="136" t="s">
        <v>164</v>
      </c>
      <c r="F117" s="119">
        <f>SUMIF($E$30:$E$51,F$115,$C$30:$C$51)</f>
        <v>0</v>
      </c>
      <c r="G117" s="119">
        <f t="shared" ref="G117:N117" si="1">SUMIF($E$30:$E$51,G$115,$C$30:$C$51)</f>
        <v>0</v>
      </c>
      <c r="H117" s="119">
        <f t="shared" si="1"/>
        <v>0</v>
      </c>
      <c r="I117" s="119">
        <f t="shared" si="1"/>
        <v>0</v>
      </c>
      <c r="J117" s="119">
        <f t="shared" si="1"/>
        <v>0</v>
      </c>
      <c r="K117" s="119">
        <f t="shared" si="1"/>
        <v>0</v>
      </c>
      <c r="L117" s="119">
        <f t="shared" si="1"/>
        <v>0</v>
      </c>
      <c r="M117" s="119">
        <f t="shared" si="1"/>
        <v>0</v>
      </c>
      <c r="N117" s="119">
        <f t="shared" si="1"/>
        <v>0</v>
      </c>
    </row>
    <row r="118" spans="2:14" ht="15.75" customHeight="1">
      <c r="B118" s="72" t="s">
        <v>165</v>
      </c>
      <c r="C118" s="119">
        <f>C76</f>
        <v>0</v>
      </c>
      <c r="D118" s="126" t="e">
        <f>C76*D76</f>
        <v>#DIV/0!</v>
      </c>
      <c r="E118" s="136" t="s">
        <v>165</v>
      </c>
      <c r="F118" s="119">
        <f>SUMIF($E$55:$E$76,F$115,$C$55:$C$76)</f>
        <v>0</v>
      </c>
      <c r="G118" s="119">
        <f t="shared" ref="G118:N118" si="2">SUMIF($E$55:$E$76,G$115,$C$55:$C$76)</f>
        <v>0</v>
      </c>
      <c r="H118" s="119">
        <f t="shared" si="2"/>
        <v>0</v>
      </c>
      <c r="I118" s="119">
        <f t="shared" si="2"/>
        <v>0</v>
      </c>
      <c r="J118" s="119">
        <f t="shared" si="2"/>
        <v>0</v>
      </c>
      <c r="K118" s="119">
        <f t="shared" si="2"/>
        <v>0</v>
      </c>
      <c r="L118" s="119">
        <f t="shared" si="2"/>
        <v>0</v>
      </c>
      <c r="M118" s="119">
        <f t="shared" si="2"/>
        <v>0</v>
      </c>
      <c r="N118" s="119">
        <f t="shared" si="2"/>
        <v>0</v>
      </c>
    </row>
    <row r="119" spans="2:14" ht="15.75" customHeight="1">
      <c r="B119" s="72" t="s">
        <v>166</v>
      </c>
      <c r="C119" s="119">
        <f>C101</f>
        <v>0</v>
      </c>
      <c r="D119" s="126" t="e">
        <f>C101*D101</f>
        <v>#DIV/0!</v>
      </c>
      <c r="E119" s="136" t="s">
        <v>166</v>
      </c>
      <c r="F119" s="119">
        <f>SUMIF($E$80:$E$101,F$115,$C$80:$C$101)</f>
        <v>0</v>
      </c>
      <c r="G119" s="119">
        <f t="shared" ref="G119:N119" si="3">SUMIF($E$80:$E$101,G$115,$C$80:$C$101)</f>
        <v>0</v>
      </c>
      <c r="H119" s="119">
        <f t="shared" si="3"/>
        <v>0</v>
      </c>
      <c r="I119" s="119">
        <f t="shared" si="3"/>
        <v>0</v>
      </c>
      <c r="J119" s="119">
        <f t="shared" si="3"/>
        <v>0</v>
      </c>
      <c r="K119" s="119">
        <f t="shared" si="3"/>
        <v>0</v>
      </c>
      <c r="L119" s="119">
        <f t="shared" si="3"/>
        <v>0</v>
      </c>
      <c r="M119" s="119">
        <f t="shared" si="3"/>
        <v>0</v>
      </c>
      <c r="N119" s="119">
        <f t="shared" si="3"/>
        <v>0</v>
      </c>
    </row>
    <row r="120" spans="2:14" ht="15.75" customHeight="1" thickBot="1">
      <c r="B120" s="122" t="s">
        <v>98</v>
      </c>
      <c r="C120" s="123">
        <f>C110</f>
        <v>336531.32449058129</v>
      </c>
      <c r="D120" s="132">
        <f>C110*D110</f>
        <v>0</v>
      </c>
      <c r="E120" s="137" t="s">
        <v>98</v>
      </c>
      <c r="F120" s="135">
        <f>SUMIF($E$105:$E$110,F$115,$C$105:$C$110)</f>
        <v>0</v>
      </c>
      <c r="G120" s="135">
        <f t="shared" ref="G120:N120" si="4">SUMIF($E$105:$E$110,G$115,$C$105:$C$110)</f>
        <v>0</v>
      </c>
      <c r="H120" s="135">
        <f t="shared" si="4"/>
        <v>0</v>
      </c>
      <c r="I120" s="135">
        <f t="shared" si="4"/>
        <v>0</v>
      </c>
      <c r="J120" s="135">
        <f t="shared" si="4"/>
        <v>0</v>
      </c>
      <c r="K120" s="135">
        <f t="shared" si="4"/>
        <v>0</v>
      </c>
      <c r="L120" s="135">
        <f t="shared" si="4"/>
        <v>0</v>
      </c>
      <c r="M120" s="135">
        <f t="shared" si="4"/>
        <v>0</v>
      </c>
      <c r="N120" s="135">
        <f t="shared" si="4"/>
        <v>336531.32449058129</v>
      </c>
    </row>
    <row r="121" spans="2:14" ht="30" customHeight="1" thickTop="1">
      <c r="B121" s="120" t="s">
        <v>137</v>
      </c>
      <c r="C121" s="125">
        <f>SUM(C116:C120)</f>
        <v>336531.32449058129</v>
      </c>
      <c r="D121" s="125" t="e">
        <f>SUM(D116:D120)</f>
        <v>#DIV/0!</v>
      </c>
      <c r="E121" s="72"/>
      <c r="F121" s="125">
        <f>SUM(F116:F120)</f>
        <v>0</v>
      </c>
      <c r="G121" s="125">
        <f t="shared" ref="G121:N121" si="5">SUM(G116:G120)</f>
        <v>0</v>
      </c>
      <c r="H121" s="125">
        <f t="shared" si="5"/>
        <v>0</v>
      </c>
      <c r="I121" s="125">
        <f t="shared" si="5"/>
        <v>0</v>
      </c>
      <c r="J121" s="125">
        <f t="shared" si="5"/>
        <v>0</v>
      </c>
      <c r="K121" s="125">
        <f t="shared" si="5"/>
        <v>0</v>
      </c>
      <c r="L121" s="125">
        <f t="shared" si="5"/>
        <v>0</v>
      </c>
      <c r="M121" s="125">
        <f t="shared" si="5"/>
        <v>0</v>
      </c>
      <c r="N121" s="125">
        <f t="shared" si="5"/>
        <v>336531.32449058129</v>
      </c>
    </row>
    <row r="122" spans="2:14">
      <c r="B122" s="14"/>
      <c r="C122" s="14"/>
      <c r="D122" s="14"/>
      <c r="E122" s="14"/>
    </row>
    <row r="123" spans="2:14" ht="16">
      <c r="B123" s="254" t="s">
        <v>192</v>
      </c>
      <c r="C123" s="255" t="str">
        <f>Inputs!G84</f>
        <v>Yes</v>
      </c>
    </row>
    <row r="124" spans="2:14" ht="16" thickBot="1">
      <c r="B124" s="329"/>
      <c r="C124" s="329"/>
      <c r="D124" s="329"/>
      <c r="E124" s="329"/>
      <c r="F124" s="329"/>
      <c r="G124" s="329"/>
      <c r="H124" s="329"/>
      <c r="I124" s="329"/>
      <c r="J124" s="329"/>
      <c r="K124" s="329"/>
      <c r="L124" s="329"/>
      <c r="M124" s="329"/>
      <c r="N124" s="329"/>
    </row>
    <row r="125" spans="2:14" ht="16" thickBot="1">
      <c r="D125" s="316"/>
      <c r="E125" s="316"/>
    </row>
    <row r="126" spans="2:14" ht="30" customHeight="1" thickBot="1">
      <c r="B126" s="817" t="s">
        <v>215</v>
      </c>
      <c r="C126" s="818"/>
      <c r="D126" s="818"/>
      <c r="E126" s="819"/>
    </row>
    <row r="127" spans="2:14" ht="16" thickBot="1"/>
    <row r="128" spans="2:14" ht="69" thickBot="1">
      <c r="C128" s="326" t="s">
        <v>252</v>
      </c>
      <c r="D128" s="327" t="s">
        <v>255</v>
      </c>
    </row>
    <row r="129" spans="3:6" ht="16">
      <c r="C129" s="482">
        <f>'Cash Flow'!G2</f>
        <v>1</v>
      </c>
      <c r="D129" s="483">
        <v>5</v>
      </c>
      <c r="F129" s="382"/>
    </row>
    <row r="130" spans="3:6" ht="16">
      <c r="C130" s="484">
        <f>C129+1</f>
        <v>2</v>
      </c>
      <c r="D130" s="485">
        <v>5.0999999999999996</v>
      </c>
      <c r="F130" s="382"/>
    </row>
    <row r="131" spans="3:6" ht="16">
      <c r="C131" s="484">
        <f t="shared" ref="C131:C158" si="6">C130+1</f>
        <v>3</v>
      </c>
      <c r="D131" s="485">
        <v>5.202</v>
      </c>
      <c r="F131" s="382"/>
    </row>
    <row r="132" spans="3:6" ht="16">
      <c r="C132" s="484">
        <f t="shared" si="6"/>
        <v>4</v>
      </c>
      <c r="D132" s="485">
        <v>5.3060400000000003</v>
      </c>
      <c r="F132" s="382"/>
    </row>
    <row r="133" spans="3:6" ht="16">
      <c r="C133" s="484">
        <f t="shared" si="6"/>
        <v>5</v>
      </c>
      <c r="D133" s="485">
        <v>5.4121608000000005</v>
      </c>
      <c r="F133" s="382"/>
    </row>
    <row r="134" spans="3:6" ht="16">
      <c r="C134" s="484">
        <f t="shared" si="6"/>
        <v>6</v>
      </c>
      <c r="D134" s="485">
        <v>5.5204040160000005</v>
      </c>
      <c r="F134" s="382"/>
    </row>
    <row r="135" spans="3:6" ht="16">
      <c r="C135" s="484">
        <f t="shared" si="6"/>
        <v>7</v>
      </c>
      <c r="D135" s="485">
        <v>5.6308120963200006</v>
      </c>
      <c r="E135" s="25"/>
      <c r="F135" s="382"/>
    </row>
    <row r="136" spans="3:6" ht="16">
      <c r="C136" s="484">
        <f t="shared" si="6"/>
        <v>8</v>
      </c>
      <c r="D136" s="485">
        <v>5.7434283382464004</v>
      </c>
      <c r="E136" s="133"/>
      <c r="F136" s="382"/>
    </row>
    <row r="137" spans="3:6" ht="16">
      <c r="C137" s="484">
        <f t="shared" si="6"/>
        <v>9</v>
      </c>
      <c r="D137" s="485">
        <v>5.8582969050113283</v>
      </c>
      <c r="E137" s="134"/>
      <c r="F137" s="382"/>
    </row>
    <row r="138" spans="3:6" ht="16">
      <c r="C138" s="484">
        <f t="shared" si="6"/>
        <v>10</v>
      </c>
      <c r="D138" s="485">
        <v>5.9754628431115551</v>
      </c>
      <c r="E138" s="134"/>
      <c r="F138" s="382"/>
    </row>
    <row r="139" spans="3:6" ht="16">
      <c r="C139" s="484">
        <f t="shared" si="6"/>
        <v>11</v>
      </c>
      <c r="D139" s="485">
        <v>6.094972099973786</v>
      </c>
      <c r="E139" s="134"/>
      <c r="F139" s="382"/>
    </row>
    <row r="140" spans="3:6" ht="16">
      <c r="C140" s="484">
        <f t="shared" si="6"/>
        <v>12</v>
      </c>
      <c r="D140" s="485">
        <v>6.2168715419732621</v>
      </c>
      <c r="E140" s="134"/>
      <c r="F140" s="382"/>
    </row>
    <row r="141" spans="3:6" ht="16">
      <c r="C141" s="484">
        <f t="shared" si="6"/>
        <v>13</v>
      </c>
      <c r="D141" s="485">
        <v>6.3412089728127281</v>
      </c>
      <c r="E141" s="134"/>
      <c r="F141" s="382"/>
    </row>
    <row r="142" spans="3:6" ht="16">
      <c r="C142" s="484">
        <f t="shared" si="6"/>
        <v>14</v>
      </c>
      <c r="D142" s="485">
        <v>6.4680331522689825</v>
      </c>
      <c r="E142" s="134"/>
      <c r="F142" s="382"/>
    </row>
    <row r="143" spans="3:6" ht="16">
      <c r="C143" s="484">
        <f t="shared" si="6"/>
        <v>15</v>
      </c>
      <c r="D143" s="485">
        <v>6.5973938153143621</v>
      </c>
      <c r="E143" s="134"/>
      <c r="F143" s="382"/>
    </row>
    <row r="144" spans="3:6" ht="16">
      <c r="C144" s="484">
        <f t="shared" si="6"/>
        <v>16</v>
      </c>
      <c r="D144" s="485">
        <v>6.7293416916206494</v>
      </c>
      <c r="E144" s="134"/>
      <c r="F144" s="382"/>
    </row>
    <row r="145" spans="3:6" ht="16">
      <c r="C145" s="484">
        <f t="shared" si="6"/>
        <v>17</v>
      </c>
      <c r="D145" s="485">
        <v>6.8639285254530638</v>
      </c>
      <c r="E145" s="134"/>
      <c r="F145" s="382"/>
    </row>
    <row r="146" spans="3:6" ht="16">
      <c r="C146" s="484">
        <f t="shared" si="6"/>
        <v>18</v>
      </c>
      <c r="D146" s="485">
        <v>7.0012070959621253</v>
      </c>
      <c r="E146" s="25"/>
      <c r="F146" s="382"/>
    </row>
    <row r="147" spans="3:6" ht="16">
      <c r="C147" s="484">
        <f t="shared" si="6"/>
        <v>19</v>
      </c>
      <c r="D147" s="485">
        <v>7.1412312378813683</v>
      </c>
      <c r="E147" s="25"/>
      <c r="F147" s="382"/>
    </row>
    <row r="148" spans="3:6" ht="16">
      <c r="C148" s="484">
        <f t="shared" si="6"/>
        <v>20</v>
      </c>
      <c r="D148" s="485">
        <v>7.2840558626389953</v>
      </c>
      <c r="E148" s="25"/>
      <c r="F148" s="382"/>
    </row>
    <row r="149" spans="3:6" ht="16">
      <c r="C149" s="484">
        <f t="shared" si="6"/>
        <v>21</v>
      </c>
      <c r="D149" s="485">
        <v>7.4297369798917758</v>
      </c>
      <c r="F149" s="382"/>
    </row>
    <row r="150" spans="3:6" ht="16">
      <c r="C150" s="484">
        <f t="shared" si="6"/>
        <v>22</v>
      </c>
      <c r="D150" s="485">
        <v>7.5783317194896114</v>
      </c>
      <c r="F150" s="382"/>
    </row>
    <row r="151" spans="3:6" ht="16">
      <c r="C151" s="484">
        <f t="shared" si="6"/>
        <v>23</v>
      </c>
      <c r="D151" s="485">
        <v>7.7298983538794035</v>
      </c>
      <c r="F151" s="382"/>
    </row>
    <row r="152" spans="3:6" ht="16">
      <c r="C152" s="484">
        <f t="shared" si="6"/>
        <v>24</v>
      </c>
      <c r="D152" s="485">
        <v>7.8844963209569912</v>
      </c>
      <c r="F152" s="382"/>
    </row>
    <row r="153" spans="3:6" ht="16">
      <c r="C153" s="484">
        <f t="shared" si="6"/>
        <v>25</v>
      </c>
      <c r="D153" s="485">
        <v>8.0421862473761312</v>
      </c>
      <c r="F153" s="382"/>
    </row>
    <row r="154" spans="3:6" ht="16">
      <c r="C154" s="484">
        <f t="shared" si="6"/>
        <v>26</v>
      </c>
      <c r="D154" s="485">
        <v>8.2030299723236535</v>
      </c>
      <c r="F154" s="382"/>
    </row>
    <row r="155" spans="3:6" ht="16">
      <c r="C155" s="484">
        <f t="shared" si="6"/>
        <v>27</v>
      </c>
      <c r="D155" s="485">
        <v>8.3670905717701274</v>
      </c>
      <c r="F155" s="382"/>
    </row>
    <row r="156" spans="3:6" ht="16">
      <c r="C156" s="484">
        <f t="shared" si="6"/>
        <v>28</v>
      </c>
      <c r="D156" s="485">
        <v>8.5344323832055302</v>
      </c>
      <c r="F156" s="382"/>
    </row>
    <row r="157" spans="3:6" ht="16">
      <c r="C157" s="484">
        <f t="shared" si="6"/>
        <v>29</v>
      </c>
      <c r="D157" s="485">
        <v>8.7051210308696394</v>
      </c>
      <c r="F157" s="382"/>
    </row>
    <row r="158" spans="3:6" ht="16">
      <c r="C158" s="484">
        <f t="shared" si="6"/>
        <v>30</v>
      </c>
      <c r="D158" s="485">
        <v>8.8792234514870323</v>
      </c>
      <c r="F158" s="382"/>
    </row>
    <row r="159" spans="3:6" ht="30" customHeight="1">
      <c r="C159" s="820" t="s">
        <v>217</v>
      </c>
      <c r="D159" s="821"/>
    </row>
  </sheetData>
  <protectedRanges>
    <protectedRange sqref="D129:D158" name="Market Value"/>
    <protectedRange sqref="B6:E25 B31:E50 B56:E75 B81:E100 D106:E109" name="Complex Inputs"/>
  </protectedRanges>
  <mergeCells count="2">
    <mergeCell ref="B126:E126"/>
    <mergeCell ref="C159:D159"/>
  </mergeCells>
  <conditionalFormatting sqref="D106:E110 D6:E26 D56:E76 D116:N121 D81:E101 D31:E51">
    <cfRule type="expression" dxfId="2" priority="1">
      <formula>$C$123="No"</formula>
    </cfRule>
  </conditionalFormatting>
  <conditionalFormatting sqref="B108">
    <cfRule type="expression" dxfId="1" priority="5">
      <formula>#REF!="100% Equity"</formula>
    </cfRule>
  </conditionalFormatting>
  <conditionalFormatting sqref="B108">
    <cfRule type="expression" dxfId="0" priority="6">
      <formula>#REF!="(use dropdown)"</formula>
    </cfRule>
  </conditionalFormatting>
  <dataValidations count="1">
    <dataValidation type="list" allowBlank="1" showInputMessage="1" showErrorMessage="1" sqref="E6:E25 E31:E50 E106:E109 E56:E75 E81:E100" xr:uid="{00000000-0002-0000-0500-000000000000}">
      <formula1>$F$115:$N$115</formula1>
    </dataValidation>
  </dataValidations>
  <hyperlinks>
    <hyperlink ref="B53" location="Inputs!A1" display="Click Here to Return to Inputs Worksheet" xr:uid="{00000000-0004-0000-0500-000000000000}"/>
    <hyperlink ref="B78" location="Inputs!A1" display="Click Here to Return to Inputs Worksheet" xr:uid="{00000000-0004-0000-0500-000001000000}"/>
    <hyperlink ref="B28" location="Inputs!A1" display="Click Here to Return to Inputs Worksheet" xr:uid="{00000000-0004-0000-0500-000002000000}"/>
    <hyperlink ref="B103" location="Inputs!A1" display="Click Here to Return to Inputs Worksheet" xr:uid="{00000000-0004-0000-0500-000003000000}"/>
    <hyperlink ref="B112" location="Inputs!A1" display="Click Here to Return to Inputs Worksheet" xr:uid="{00000000-0004-0000-0500-000004000000}"/>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Inputs</vt:lpstr>
      <vt:lpstr>Summary Results</vt:lpstr>
      <vt:lpstr>Annual Cash Flows &amp; Returns</vt:lpstr>
      <vt:lpstr>Cash Flow</vt:lpstr>
      <vt:lpstr>Complex Inputs</vt:lpstr>
      <vt:lpstr>Inputs!_ftnref1</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 for Anaerobic Digestion</dc:title>
  <dc:subject>A model to assess project economics, design cost-based incentives, and evaluate the impact of state and federal support structures on renewable energy</dc:subject>
  <dc:creator/>
  <cp:keywords/>
  <dc:description/>
  <cp:lastModifiedBy>Harrison Dreves</cp:lastModifiedBy>
  <cp:lastPrinted>2010-07-30T20:36:23Z</cp:lastPrinted>
  <dcterms:created xsi:type="dcterms:W3CDTF">2010-03-29T19:24:38Z</dcterms:created>
  <dcterms:modified xsi:type="dcterms:W3CDTF">2019-01-21T19:30:39Z</dcterms:modified>
  <cp:category/>
</cp:coreProperties>
</file>